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a81685cd5063f9d2/Dokumenty/Models stocks/"/>
    </mc:Choice>
  </mc:AlternateContent>
  <xr:revisionPtr revIDLastSave="1949" documentId="8_{EEBA2970-F21E-4089-8841-A9BD4CE5C97E}" xr6:coauthVersionLast="47" xr6:coauthVersionMax="47" xr10:uidLastSave="{82A47A98-3838-452A-AB60-01BC2AB41E9E}"/>
  <bookViews>
    <workbookView xWindow="24" yWindow="1536" windowWidth="23016" windowHeight="11700" activeTab="1" xr2:uid="{C2A537D2-81CC-41DE-90E3-F8EDF7DA01A3}"/>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1" l="1"/>
  <c r="AC89" i="2"/>
  <c r="AD89" i="2" s="1"/>
  <c r="AE89" i="2" s="1"/>
  <c r="G11" i="1"/>
  <c r="G10" i="1"/>
  <c r="Q84" i="2"/>
  <c r="Q82" i="2"/>
  <c r="Q73" i="2"/>
  <c r="Q62" i="2"/>
  <c r="Q89" i="2" s="1"/>
  <c r="Q37" i="2"/>
  <c r="Q27" i="2"/>
  <c r="Q25" i="2"/>
  <c r="Q5" i="2"/>
  <c r="Q17" i="2"/>
  <c r="Q13" i="2"/>
  <c r="Q7" i="2"/>
  <c r="N84" i="2"/>
  <c r="N81" i="2"/>
  <c r="N80" i="2"/>
  <c r="N79" i="2"/>
  <c r="N78" i="2"/>
  <c r="N77" i="2"/>
  <c r="N76" i="2"/>
  <c r="N75" i="2"/>
  <c r="N82" i="2" s="1"/>
  <c r="N72" i="2"/>
  <c r="N71" i="2"/>
  <c r="N70" i="2"/>
  <c r="N69" i="2"/>
  <c r="N68" i="2"/>
  <c r="N67" i="2"/>
  <c r="N66" i="2"/>
  <c r="N65" i="2"/>
  <c r="N64" i="2"/>
  <c r="N73" i="2"/>
  <c r="N61" i="2"/>
  <c r="N60" i="2"/>
  <c r="N59" i="2"/>
  <c r="N58" i="2"/>
  <c r="N57" i="2"/>
  <c r="N56" i="2"/>
  <c r="N55" i="2"/>
  <c r="N54" i="2"/>
  <c r="N53" i="2"/>
  <c r="N52" i="2"/>
  <c r="N51" i="2"/>
  <c r="N50" i="2"/>
  <c r="N49" i="2"/>
  <c r="N48" i="2"/>
  <c r="N47" i="2"/>
  <c r="N46" i="2"/>
  <c r="N45" i="2"/>
  <c r="N44" i="2"/>
  <c r="N43" i="2"/>
  <c r="N42" i="2"/>
  <c r="N41" i="2"/>
  <c r="N40" i="2"/>
  <c r="N39" i="2"/>
  <c r="N38" i="2"/>
  <c r="N33" i="2"/>
  <c r="N32" i="2"/>
  <c r="N34" i="2"/>
  <c r="N27" i="2"/>
  <c r="N25" i="2"/>
  <c r="N7" i="2"/>
  <c r="N8" i="2"/>
  <c r="N9" i="2"/>
  <c r="N10" i="2"/>
  <c r="N11" i="2"/>
  <c r="N12" i="2"/>
  <c r="N15" i="2"/>
  <c r="N16" i="2"/>
  <c r="N17" i="2"/>
  <c r="N19" i="2"/>
  <c r="N21" i="2"/>
  <c r="N6" i="2"/>
  <c r="N5" i="2"/>
  <c r="M84" i="2"/>
  <c r="M82" i="2"/>
  <c r="M73" i="2"/>
  <c r="M37" i="2"/>
  <c r="M34" i="2"/>
  <c r="M35" i="2" s="1"/>
  <c r="M31" i="2"/>
  <c r="M25" i="2"/>
  <c r="M17" i="2"/>
  <c r="M13" i="2"/>
  <c r="M7" i="2"/>
  <c r="M27" i="2" s="1"/>
  <c r="F76" i="2"/>
  <c r="F77" i="2"/>
  <c r="F78" i="2"/>
  <c r="F79" i="2"/>
  <c r="F80" i="2"/>
  <c r="F81" i="2"/>
  <c r="F75" i="2"/>
  <c r="F72" i="2"/>
  <c r="F71" i="2"/>
  <c r="F70" i="2"/>
  <c r="F69" i="2"/>
  <c r="F68" i="2"/>
  <c r="F67" i="2"/>
  <c r="F66" i="2"/>
  <c r="F65" i="2"/>
  <c r="F64" i="2"/>
  <c r="F61" i="2"/>
  <c r="F60" i="2"/>
  <c r="F59" i="2"/>
  <c r="F58" i="2"/>
  <c r="F57" i="2"/>
  <c r="F56" i="2"/>
  <c r="F55" i="2"/>
  <c r="F54" i="2"/>
  <c r="F53" i="2"/>
  <c r="F52" i="2"/>
  <c r="F51" i="2"/>
  <c r="F50" i="2"/>
  <c r="F49" i="2"/>
  <c r="F48" i="2"/>
  <c r="F47" i="2"/>
  <c r="F46" i="2"/>
  <c r="F45" i="2"/>
  <c r="F44" i="2"/>
  <c r="F43" i="2"/>
  <c r="F42" i="2"/>
  <c r="F41" i="2"/>
  <c r="F40" i="2"/>
  <c r="F38" i="2"/>
  <c r="F33" i="2"/>
  <c r="F32" i="2"/>
  <c r="F34" i="2" s="1"/>
  <c r="F8" i="2"/>
  <c r="F9" i="2"/>
  <c r="F10" i="2"/>
  <c r="F11" i="2"/>
  <c r="F12" i="2"/>
  <c r="F15" i="2"/>
  <c r="F16" i="2"/>
  <c r="F19" i="2"/>
  <c r="F21" i="2"/>
  <c r="F6" i="2"/>
  <c r="F5" i="2"/>
  <c r="F25" i="2" s="1"/>
  <c r="J81" i="2"/>
  <c r="J80" i="2"/>
  <c r="J79" i="2"/>
  <c r="J78" i="2"/>
  <c r="J77" i="2"/>
  <c r="J76" i="2"/>
  <c r="J75" i="2"/>
  <c r="J72" i="2"/>
  <c r="J71" i="2"/>
  <c r="J70" i="2"/>
  <c r="J69" i="2"/>
  <c r="J68" i="2"/>
  <c r="J67" i="2"/>
  <c r="J66" i="2"/>
  <c r="J65" i="2"/>
  <c r="J64" i="2"/>
  <c r="J61" i="2"/>
  <c r="J60" i="2"/>
  <c r="J59" i="2"/>
  <c r="J58" i="2"/>
  <c r="J57" i="2"/>
  <c r="J56" i="2"/>
  <c r="J55" i="2"/>
  <c r="J54" i="2"/>
  <c r="J53" i="2"/>
  <c r="J52" i="2"/>
  <c r="J51" i="2"/>
  <c r="J50" i="2"/>
  <c r="J49" i="2"/>
  <c r="J48" i="2"/>
  <c r="J47" i="2"/>
  <c r="J46" i="2"/>
  <c r="J45" i="2"/>
  <c r="J44" i="2"/>
  <c r="J43" i="2"/>
  <c r="J42" i="2"/>
  <c r="J41" i="2"/>
  <c r="J40" i="2"/>
  <c r="J38" i="2"/>
  <c r="J33" i="2"/>
  <c r="J32" i="2"/>
  <c r="J34" i="2" s="1"/>
  <c r="J21" i="2"/>
  <c r="J8" i="2"/>
  <c r="J9" i="2"/>
  <c r="J10" i="2"/>
  <c r="J11" i="2"/>
  <c r="J12" i="2"/>
  <c r="J15" i="2"/>
  <c r="J16" i="2"/>
  <c r="J19" i="2"/>
  <c r="J6" i="2"/>
  <c r="J5" i="2"/>
  <c r="J25" i="2" s="1"/>
  <c r="I82" i="2"/>
  <c r="E73" i="2"/>
  <c r="I73" i="2"/>
  <c r="I34" i="2"/>
  <c r="E34" i="2"/>
  <c r="E25" i="2"/>
  <c r="E17" i="2"/>
  <c r="E13" i="2"/>
  <c r="E7" i="2"/>
  <c r="E27" i="2" s="1"/>
  <c r="I25" i="2"/>
  <c r="I17" i="2"/>
  <c r="I13" i="2"/>
  <c r="I7" i="2"/>
  <c r="I27" i="2" s="1"/>
  <c r="H84" i="2"/>
  <c r="H82" i="2"/>
  <c r="D82" i="2"/>
  <c r="H73" i="2"/>
  <c r="D73" i="2"/>
  <c r="D34" i="2"/>
  <c r="H34" i="2"/>
  <c r="D25" i="2"/>
  <c r="D17" i="2"/>
  <c r="D13" i="2"/>
  <c r="D7" i="2"/>
  <c r="D27" i="2" s="1"/>
  <c r="H25" i="2"/>
  <c r="H17" i="2"/>
  <c r="H13" i="2"/>
  <c r="H7" i="2"/>
  <c r="H27" i="2" s="1"/>
  <c r="C82" i="2"/>
  <c r="G82" i="2"/>
  <c r="C73" i="2"/>
  <c r="G73" i="2"/>
  <c r="C39" i="2"/>
  <c r="F39" i="2" s="1"/>
  <c r="G39" i="2"/>
  <c r="J39" i="2" s="1"/>
  <c r="G25" i="2"/>
  <c r="C34" i="2"/>
  <c r="G34" i="2"/>
  <c r="C25" i="2"/>
  <c r="C17" i="2"/>
  <c r="C13" i="2"/>
  <c r="C7" i="2"/>
  <c r="C27" i="2" s="1"/>
  <c r="G17" i="2"/>
  <c r="G13" i="2"/>
  <c r="G7" i="2"/>
  <c r="G27" i="2" s="1"/>
  <c r="V82" i="2"/>
  <c r="W82" i="2"/>
  <c r="X78" i="2"/>
  <c r="X82" i="2"/>
  <c r="V73" i="2"/>
  <c r="W73" i="2"/>
  <c r="X73" i="2"/>
  <c r="X54" i="2"/>
  <c r="X39" i="2"/>
  <c r="V34" i="2"/>
  <c r="W34" i="2"/>
  <c r="X34" i="2"/>
  <c r="V25" i="2"/>
  <c r="V17" i="2"/>
  <c r="V13" i="2"/>
  <c r="V7" i="2"/>
  <c r="V27" i="2" s="1"/>
  <c r="W25" i="2"/>
  <c r="W17" i="2"/>
  <c r="W13" i="2"/>
  <c r="W7" i="2"/>
  <c r="W27" i="2" s="1"/>
  <c r="X25" i="2"/>
  <c r="X17" i="2"/>
  <c r="X13" i="2"/>
  <c r="X7" i="2"/>
  <c r="X27" i="2" s="1"/>
  <c r="AA13" i="2"/>
  <c r="N13" i="2" s="1"/>
  <c r="Z13" i="2"/>
  <c r="Y13" i="2"/>
  <c r="F11" i="1"/>
  <c r="AF89" i="2" l="1"/>
  <c r="AG89" i="2" s="1"/>
  <c r="AH89" i="2" s="1"/>
  <c r="AI89" i="2" s="1"/>
  <c r="AJ89" i="2" s="1"/>
  <c r="AK89" i="2" s="1"/>
  <c r="AL89" i="2" s="1"/>
  <c r="AM89" i="2" s="1"/>
  <c r="AN89" i="2" s="1"/>
  <c r="AO89" i="2" s="1"/>
  <c r="AP89" i="2" s="1"/>
  <c r="AQ89" i="2" s="1"/>
  <c r="AR89" i="2" s="1"/>
  <c r="AS89" i="2" s="1"/>
  <c r="AT89" i="2" s="1"/>
  <c r="AU89" i="2" s="1"/>
  <c r="AV89" i="2" s="1"/>
  <c r="AW89" i="2" s="1"/>
  <c r="AX89" i="2" s="1"/>
  <c r="AY89" i="2" s="1"/>
  <c r="AZ89" i="2" s="1"/>
  <c r="BA89" i="2" s="1"/>
  <c r="BB89" i="2" s="1"/>
  <c r="BC89" i="2" s="1"/>
  <c r="BD89" i="2" s="1"/>
  <c r="BE89" i="2" s="1"/>
  <c r="BF89" i="2" s="1"/>
  <c r="BG89" i="2" s="1"/>
  <c r="BH89" i="2" s="1"/>
  <c r="BI89" i="2" s="1"/>
  <c r="BJ89" i="2" s="1"/>
  <c r="BK89" i="2" s="1"/>
  <c r="BL89" i="2" s="1"/>
  <c r="BM89" i="2" s="1"/>
  <c r="BN89" i="2" s="1"/>
  <c r="BO89" i="2" s="1"/>
  <c r="BP89" i="2" s="1"/>
  <c r="BQ89" i="2" s="1"/>
  <c r="BR89" i="2" s="1"/>
  <c r="BS89" i="2" s="1"/>
  <c r="BT89" i="2" s="1"/>
  <c r="BU89" i="2" s="1"/>
  <c r="BV89" i="2" s="1"/>
  <c r="BW89" i="2" s="1"/>
  <c r="BX89" i="2" s="1"/>
  <c r="BY89" i="2" s="1"/>
  <c r="BZ89" i="2" s="1"/>
  <c r="CA89" i="2" s="1"/>
  <c r="CB89" i="2" s="1"/>
  <c r="CC89" i="2" s="1"/>
  <c r="CD89" i="2" s="1"/>
  <c r="CE89" i="2" s="1"/>
  <c r="CF89" i="2" s="1"/>
  <c r="CG89" i="2" s="1"/>
  <c r="CH89" i="2" s="1"/>
  <c r="CI89" i="2" s="1"/>
  <c r="CJ89" i="2" s="1"/>
  <c r="CK89" i="2" s="1"/>
  <c r="CL89" i="2" s="1"/>
  <c r="CM89" i="2" s="1"/>
  <c r="CN89" i="2" s="1"/>
  <c r="CO89" i="2" s="1"/>
  <c r="CP89" i="2" s="1"/>
  <c r="CQ89" i="2" s="1"/>
  <c r="CR89" i="2" s="1"/>
  <c r="CS89" i="2" s="1"/>
  <c r="CT89" i="2" s="1"/>
  <c r="CU89" i="2" s="1"/>
  <c r="CV89" i="2" s="1"/>
  <c r="CW89" i="2" s="1"/>
  <c r="CX89" i="2" s="1"/>
  <c r="CY89" i="2" s="1"/>
  <c r="CZ89" i="2" s="1"/>
  <c r="DA89" i="2" s="1"/>
  <c r="DB89" i="2" s="1"/>
  <c r="DC89" i="2" s="1"/>
  <c r="DD89" i="2" s="1"/>
  <c r="DE89" i="2" s="1"/>
  <c r="DF89" i="2" s="1"/>
  <c r="DG89" i="2" s="1"/>
  <c r="DH89" i="2" s="1"/>
  <c r="DI89" i="2" s="1"/>
  <c r="DJ89" i="2" s="1"/>
  <c r="DK89" i="2" s="1"/>
  <c r="DL89" i="2" s="1"/>
  <c r="DM89" i="2" s="1"/>
  <c r="DN89" i="2" s="1"/>
  <c r="DO89" i="2" s="1"/>
  <c r="DP89" i="2" s="1"/>
  <c r="DQ89" i="2" s="1"/>
  <c r="DR89" i="2" s="1"/>
  <c r="DS89" i="2" s="1"/>
  <c r="DT89" i="2" s="1"/>
  <c r="DU89" i="2" s="1"/>
  <c r="DV89" i="2" s="1"/>
  <c r="DW89" i="2" s="1"/>
  <c r="DX89" i="2" s="1"/>
  <c r="DY89" i="2" s="1"/>
  <c r="DZ89" i="2" s="1"/>
  <c r="EA89" i="2" s="1"/>
  <c r="EB89" i="2" s="1"/>
  <c r="EC89" i="2" s="1"/>
  <c r="ED89" i="2" s="1"/>
  <c r="EE89" i="2" s="1"/>
  <c r="EF89" i="2" s="1"/>
  <c r="EG89" i="2" s="1"/>
  <c r="EH89" i="2" s="1"/>
  <c r="EI89" i="2" s="1"/>
  <c r="EJ89" i="2" s="1"/>
  <c r="EK89" i="2" s="1"/>
  <c r="EL89" i="2" s="1"/>
  <c r="EM89" i="2" s="1"/>
  <c r="EN89" i="2" s="1"/>
  <c r="EO89" i="2" s="1"/>
  <c r="EP89" i="2" s="1"/>
  <c r="EQ89" i="2" s="1"/>
  <c r="ER89" i="2" s="1"/>
  <c r="ES89" i="2" s="1"/>
  <c r="ET89" i="2" s="1"/>
  <c r="EU89" i="2" s="1"/>
  <c r="EV89" i="2" s="1"/>
  <c r="EW89" i="2" s="1"/>
  <c r="EX89" i="2" s="1"/>
  <c r="EY89" i="2" s="1"/>
  <c r="EZ89" i="2" s="1"/>
  <c r="Q85" i="2"/>
  <c r="Q87" i="2" s="1"/>
  <c r="Q14" i="2"/>
  <c r="Q18" i="2" s="1"/>
  <c r="M62" i="2"/>
  <c r="M89" i="2" s="1"/>
  <c r="M18" i="2"/>
  <c r="J82" i="2"/>
  <c r="F13" i="2"/>
  <c r="J73" i="2"/>
  <c r="J13" i="2"/>
  <c r="J7" i="2"/>
  <c r="J27" i="2" s="1"/>
  <c r="F73" i="2"/>
  <c r="J14" i="2"/>
  <c r="F7" i="2"/>
  <c r="F27" i="2" s="1"/>
  <c r="F82" i="2"/>
  <c r="E82" i="2"/>
  <c r="E14" i="2"/>
  <c r="E18" i="2" s="1"/>
  <c r="I14" i="2"/>
  <c r="I18" i="2" s="1"/>
  <c r="D14" i="2"/>
  <c r="D18" i="2" s="1"/>
  <c r="H14" i="2"/>
  <c r="H18" i="2" s="1"/>
  <c r="C14" i="2"/>
  <c r="C18" i="2" s="1"/>
  <c r="G14" i="2"/>
  <c r="G18" i="2" s="1"/>
  <c r="G26" i="2" s="1"/>
  <c r="V14" i="2"/>
  <c r="V18" i="2" s="1"/>
  <c r="V20" i="2" s="1"/>
  <c r="W14" i="2"/>
  <c r="W18" i="2" s="1"/>
  <c r="W20" i="2" s="1"/>
  <c r="X14" i="2"/>
  <c r="X18" i="2" s="1"/>
  <c r="AF93" i="2" l="1"/>
  <c r="AF94" i="2" s="1"/>
  <c r="Q20" i="2"/>
  <c r="Q28" i="2" s="1"/>
  <c r="Q26" i="2"/>
  <c r="M85" i="2"/>
  <c r="M87" i="2" s="1"/>
  <c r="M26" i="2"/>
  <c r="M20" i="2"/>
  <c r="M28" i="2" s="1"/>
  <c r="I20" i="2"/>
  <c r="I26" i="2"/>
  <c r="F14" i="2"/>
  <c r="E26" i="2"/>
  <c r="E20" i="2"/>
  <c r="D20" i="2"/>
  <c r="D26" i="2"/>
  <c r="H26" i="2"/>
  <c r="H20" i="2"/>
  <c r="C26" i="2"/>
  <c r="C20" i="2"/>
  <c r="X26" i="2"/>
  <c r="X20" i="2"/>
  <c r="W31" i="2"/>
  <c r="W35" i="2" s="1"/>
  <c r="W37" i="2"/>
  <c r="W62" i="2" s="1"/>
  <c r="V31" i="2"/>
  <c r="V35" i="2" s="1"/>
  <c r="V37" i="2"/>
  <c r="V62" i="2" s="1"/>
  <c r="G20" i="2"/>
  <c r="V26" i="2"/>
  <c r="V28" i="2"/>
  <c r="W26" i="2"/>
  <c r="W28" i="2"/>
  <c r="P84" i="2"/>
  <c r="L84" i="2"/>
  <c r="P82" i="2"/>
  <c r="L82" i="2"/>
  <c r="L73" i="2"/>
  <c r="P73" i="2"/>
  <c r="L34" i="2"/>
  <c r="L25" i="2"/>
  <c r="L17" i="2"/>
  <c r="L13" i="2"/>
  <c r="L7" i="2"/>
  <c r="L27" i="2" s="1"/>
  <c r="P34" i="2"/>
  <c r="P25" i="2"/>
  <c r="P13" i="2"/>
  <c r="O13" i="2"/>
  <c r="K13" i="2"/>
  <c r="P17" i="2"/>
  <c r="P7" i="2"/>
  <c r="P27" i="2" s="1"/>
  <c r="E28" i="2" l="1"/>
  <c r="E37" i="2"/>
  <c r="E62" i="2" s="1"/>
  <c r="E31" i="2"/>
  <c r="E35" i="2" s="1"/>
  <c r="I37" i="2"/>
  <c r="I62" i="2" s="1"/>
  <c r="I31" i="2"/>
  <c r="I35" i="2" s="1"/>
  <c r="I28" i="2"/>
  <c r="C28" i="2"/>
  <c r="C31" i="2"/>
  <c r="C35" i="2" s="1"/>
  <c r="C37" i="2"/>
  <c r="C62" i="2" s="1"/>
  <c r="H28" i="2"/>
  <c r="H37" i="2"/>
  <c r="H62" i="2" s="1"/>
  <c r="H31" i="2"/>
  <c r="H35" i="2" s="1"/>
  <c r="G37" i="2"/>
  <c r="G62" i="2" s="1"/>
  <c r="G28" i="2"/>
  <c r="D37" i="2"/>
  <c r="D62" i="2" s="1"/>
  <c r="D31" i="2"/>
  <c r="D35" i="2" s="1"/>
  <c r="D28" i="2"/>
  <c r="G31" i="2"/>
  <c r="G35" i="2" s="1"/>
  <c r="V89" i="2"/>
  <c r="V85" i="2"/>
  <c r="V87" i="2" s="1"/>
  <c r="W89" i="2"/>
  <c r="W85" i="2"/>
  <c r="W87" i="2" s="1"/>
  <c r="X28" i="2"/>
  <c r="X31" i="2"/>
  <c r="X35" i="2" s="1"/>
  <c r="X37" i="2"/>
  <c r="X62" i="2" s="1"/>
  <c r="L14" i="2"/>
  <c r="L18" i="2" s="1"/>
  <c r="L26" i="2" s="1"/>
  <c r="P14" i="2"/>
  <c r="P18" i="2" s="1"/>
  <c r="K82" i="2"/>
  <c r="O82" i="2"/>
  <c r="K73" i="2"/>
  <c r="O73" i="2"/>
  <c r="K34" i="2"/>
  <c r="O34" i="2"/>
  <c r="K25" i="2"/>
  <c r="K17" i="2"/>
  <c r="K7" i="2"/>
  <c r="K27" i="2" s="1"/>
  <c r="O25" i="2"/>
  <c r="O17" i="2"/>
  <c r="O7" i="2"/>
  <c r="O27" i="2" s="1"/>
  <c r="Y82" i="2"/>
  <c r="Z82" i="2"/>
  <c r="AA82" i="2"/>
  <c r="Y73" i="2"/>
  <c r="Z73" i="2"/>
  <c r="AA73" i="2"/>
  <c r="Y34" i="2"/>
  <c r="Z34" i="2"/>
  <c r="AA34" i="2"/>
  <c r="Y25" i="2"/>
  <c r="Z25" i="2"/>
  <c r="AA25" i="2"/>
  <c r="Y17" i="2"/>
  <c r="F17" i="2" s="1"/>
  <c r="F18" i="2" s="1"/>
  <c r="Z17" i="2"/>
  <c r="J17" i="2" s="1"/>
  <c r="J18" i="2" s="1"/>
  <c r="AA17" i="2"/>
  <c r="Y7" i="2"/>
  <c r="Y27" i="2" s="1"/>
  <c r="Z7" i="2"/>
  <c r="Z27" i="2" s="1"/>
  <c r="AA7" i="2"/>
  <c r="AA27" i="2" s="1"/>
  <c r="F10" i="1"/>
  <c r="F8" i="1" a="1"/>
  <c r="F8" i="1" s="1"/>
  <c r="F7" i="1" a="1"/>
  <c r="F7" i="1" s="1"/>
  <c r="W2" i="2"/>
  <c r="X2" i="2" s="1"/>
  <c r="Y2" i="2" s="1"/>
  <c r="Z2" i="2" s="1"/>
  <c r="AA2" i="2" s="1"/>
  <c r="AB2" i="2" s="1"/>
  <c r="AC2" i="2" s="1"/>
  <c r="AD2" i="2" s="1"/>
  <c r="AE2" i="2" s="1"/>
  <c r="AF2" i="2" s="1"/>
  <c r="AG2" i="2" s="1"/>
  <c r="AH2" i="2" s="1"/>
  <c r="AI2" i="2" s="1"/>
  <c r="AJ2" i="2" s="1"/>
  <c r="AK2" i="2" s="1"/>
  <c r="AL2" i="2" s="1"/>
  <c r="AM2" i="2" s="1"/>
  <c r="AN2" i="2" s="1"/>
  <c r="AO2" i="2" s="1"/>
  <c r="AP2" i="2" s="1"/>
  <c r="AQ2" i="2" s="1"/>
  <c r="AR2" i="2" s="1"/>
  <c r="AS2" i="2" s="1"/>
  <c r="AT2" i="2" s="1"/>
  <c r="AU2" i="2" s="1"/>
  <c r="AV2" i="2" s="1"/>
  <c r="AW2" i="2" s="1"/>
  <c r="AX2" i="2" s="1"/>
  <c r="AY2" i="2" s="1"/>
  <c r="AZ2" i="2" s="1"/>
  <c r="BA2" i="2" s="1"/>
  <c r="BB2" i="2" s="1"/>
  <c r="BC2" i="2" s="1"/>
  <c r="BD2" i="2" s="1"/>
  <c r="BE2" i="2" s="1"/>
  <c r="BF2" i="2" s="1"/>
  <c r="BG2" i="2" s="1"/>
  <c r="BH2" i="2" s="1"/>
  <c r="BI2" i="2" s="1"/>
  <c r="BJ2" i="2" s="1"/>
  <c r="BK2" i="2" s="1"/>
  <c r="BL2" i="2" s="1"/>
  <c r="BM2" i="2" s="1"/>
  <c r="BN2" i="2" s="1"/>
  <c r="BO2" i="2" s="1"/>
  <c r="BP2" i="2" s="1"/>
  <c r="BQ2" i="2" s="1"/>
  <c r="BR2" i="2" s="1"/>
  <c r="BS2" i="2" s="1"/>
  <c r="BT2" i="2" s="1"/>
  <c r="BU2" i="2" s="1"/>
  <c r="BV2" i="2" s="1"/>
  <c r="BW2" i="2" s="1"/>
  <c r="BX2" i="2" s="1"/>
  <c r="BY2" i="2" s="1"/>
  <c r="BZ2" i="2" s="1"/>
  <c r="CA2" i="2" s="1"/>
  <c r="CB2" i="2" s="1"/>
  <c r="CC2" i="2" s="1"/>
  <c r="CD2" i="2" s="1"/>
  <c r="CE2" i="2" s="1"/>
  <c r="CF2" i="2" s="1"/>
  <c r="CG2" i="2" s="1"/>
  <c r="CH2" i="2" s="1"/>
  <c r="CI2" i="2" s="1"/>
  <c r="CJ2" i="2" s="1"/>
  <c r="CK2" i="2" s="1"/>
  <c r="CL2" i="2" s="1"/>
  <c r="CM2" i="2" s="1"/>
  <c r="CN2" i="2" s="1"/>
  <c r="CO2" i="2" s="1"/>
  <c r="CP2" i="2" s="1"/>
  <c r="CQ2" i="2" s="1"/>
  <c r="CR2" i="2" s="1"/>
  <c r="CS2" i="2" s="1"/>
  <c r="CT2" i="2" s="1"/>
  <c r="CU2" i="2" s="1"/>
  <c r="CV2" i="2" s="1"/>
  <c r="CW2" i="2" s="1"/>
  <c r="CX2" i="2" s="1"/>
  <c r="CY2" i="2" s="1"/>
  <c r="CZ2" i="2" s="1"/>
  <c r="DA2" i="2" s="1"/>
  <c r="DB2" i="2" s="1"/>
  <c r="DC2" i="2" s="1"/>
  <c r="DD2" i="2" s="1"/>
  <c r="DE2" i="2" s="1"/>
  <c r="DF2" i="2" s="1"/>
  <c r="DG2" i="2" s="1"/>
  <c r="DH2" i="2" s="1"/>
  <c r="DI2" i="2" s="1"/>
  <c r="DJ2" i="2" s="1"/>
  <c r="DK2" i="2" s="1"/>
  <c r="DL2" i="2" s="1"/>
  <c r="DM2" i="2" s="1"/>
  <c r="DN2" i="2" s="1"/>
  <c r="DO2" i="2" s="1"/>
  <c r="DP2" i="2" s="1"/>
  <c r="DQ2" i="2" s="1"/>
  <c r="DR2" i="2" s="1"/>
  <c r="DS2" i="2" s="1"/>
  <c r="DT2" i="2" s="1"/>
  <c r="DU2" i="2" s="1"/>
  <c r="DV2" i="2" s="1"/>
  <c r="DW2" i="2" s="1"/>
  <c r="DX2" i="2" s="1"/>
  <c r="DY2" i="2" s="1"/>
  <c r="DZ2" i="2" s="1"/>
  <c r="EA2" i="2" s="1"/>
  <c r="EB2" i="2" s="1"/>
  <c r="EC2" i="2" s="1"/>
  <c r="ED2" i="2" s="1"/>
  <c r="EE2" i="2" s="1"/>
  <c r="EF2" i="2" s="1"/>
  <c r="EG2" i="2" s="1"/>
  <c r="EH2" i="2" s="1"/>
  <c r="EI2" i="2" s="1"/>
  <c r="EJ2" i="2" s="1"/>
  <c r="EK2" i="2" s="1"/>
  <c r="EL2" i="2" s="1"/>
  <c r="EM2" i="2" s="1"/>
  <c r="EN2" i="2" s="1"/>
  <c r="EO2" i="2" s="1"/>
  <c r="EP2" i="2" s="1"/>
  <c r="EQ2" i="2" s="1"/>
  <c r="ER2" i="2" s="1"/>
  <c r="ES2" i="2" s="1"/>
  <c r="ET2" i="2" s="1"/>
  <c r="EU2" i="2" s="1"/>
  <c r="EV2" i="2" s="1"/>
  <c r="EW2" i="2" s="1"/>
  <c r="EX2" i="2" s="1"/>
  <c r="EY2" i="2" s="1"/>
  <c r="EZ2" i="2" s="1"/>
  <c r="F20" i="2" l="1"/>
  <c r="F26" i="2"/>
  <c r="H89" i="2"/>
  <c r="H85" i="2"/>
  <c r="H87" i="2" s="1"/>
  <c r="J20" i="2"/>
  <c r="J26" i="2"/>
  <c r="I89" i="2"/>
  <c r="I85" i="2"/>
  <c r="I87" i="2" s="1"/>
  <c r="E89" i="2"/>
  <c r="E85" i="2"/>
  <c r="E87" i="2" s="1"/>
  <c r="D89" i="2"/>
  <c r="D85" i="2"/>
  <c r="D87" i="2" s="1"/>
  <c r="G89" i="2"/>
  <c r="G85" i="2"/>
  <c r="G87" i="2" s="1"/>
  <c r="C89" i="2"/>
  <c r="C85" i="2"/>
  <c r="C87" i="2" s="1"/>
  <c r="X89" i="2"/>
  <c r="X85" i="2"/>
  <c r="X87" i="2" s="1"/>
  <c r="P20" i="2"/>
  <c r="P26" i="2"/>
  <c r="L20" i="2"/>
  <c r="AA14" i="2"/>
  <c r="Z14" i="2"/>
  <c r="Z18" i="2" s="1"/>
  <c r="Y14" i="2"/>
  <c r="Y18" i="2" s="1"/>
  <c r="K14" i="2"/>
  <c r="K18" i="2" s="1"/>
  <c r="O14" i="2"/>
  <c r="O18" i="2" s="1"/>
  <c r="F9" i="1"/>
  <c r="C20" i="1" s="1"/>
  <c r="AA18" i="2" l="1"/>
  <c r="N18" i="2" s="1"/>
  <c r="N26" i="2" s="1"/>
  <c r="N14" i="2"/>
  <c r="AF95" i="2"/>
  <c r="G12" i="1"/>
  <c r="J37" i="2"/>
  <c r="J62" i="2" s="1"/>
  <c r="J31" i="2"/>
  <c r="J35" i="2" s="1"/>
  <c r="J28" i="2"/>
  <c r="F31" i="2"/>
  <c r="F35" i="2" s="1"/>
  <c r="F28" i="2"/>
  <c r="F37" i="2"/>
  <c r="F62" i="2" s="1"/>
  <c r="L31" i="2"/>
  <c r="L35" i="2" s="1"/>
  <c r="L37" i="2"/>
  <c r="L62" i="2" s="1"/>
  <c r="P37" i="2"/>
  <c r="P62" i="2" s="1"/>
  <c r="P31" i="2"/>
  <c r="P35" i="2" s="1"/>
  <c r="P28" i="2"/>
  <c r="L28" i="2"/>
  <c r="Y20" i="2"/>
  <c r="Y26" i="2"/>
  <c r="Z20" i="2"/>
  <c r="Z26" i="2"/>
  <c r="O20" i="2"/>
  <c r="O26" i="2"/>
  <c r="F12" i="1"/>
  <c r="K26" i="2"/>
  <c r="K20" i="2"/>
  <c r="AA26" i="2" l="1"/>
  <c r="AA20" i="2"/>
  <c r="N20" i="2" s="1"/>
  <c r="F89" i="2"/>
  <c r="F85" i="2"/>
  <c r="F87" i="2" s="1"/>
  <c r="J89" i="2"/>
  <c r="J85" i="2"/>
  <c r="J87" i="2" s="1"/>
  <c r="L89" i="2"/>
  <c r="L85" i="2"/>
  <c r="L87" i="2" s="1"/>
  <c r="P89" i="2"/>
  <c r="P85" i="2"/>
  <c r="P87" i="2" s="1"/>
  <c r="O31" i="2"/>
  <c r="O35" i="2" s="1"/>
  <c r="O37" i="2"/>
  <c r="O62" i="2" s="1"/>
  <c r="O28" i="2"/>
  <c r="Z31" i="2"/>
  <c r="Z35" i="2" s="1"/>
  <c r="Z37" i="2"/>
  <c r="Z62" i="2" s="1"/>
  <c r="Z28" i="2"/>
  <c r="K28" i="2"/>
  <c r="K31" i="2"/>
  <c r="K35" i="2" s="1"/>
  <c r="K37" i="2"/>
  <c r="K62" i="2" s="1"/>
  <c r="Y28" i="2"/>
  <c r="Y31" i="2"/>
  <c r="Y35" i="2" s="1"/>
  <c r="Y37" i="2"/>
  <c r="Y62" i="2" s="1"/>
  <c r="AA37" i="2" l="1"/>
  <c r="AA62" i="2" s="1"/>
  <c r="AA89" i="2" s="1"/>
  <c r="AA31" i="2"/>
  <c r="AA35" i="2" s="1"/>
  <c r="AA28" i="2"/>
  <c r="AB20" i="2"/>
  <c r="AC20" i="2" s="1"/>
  <c r="AD20" i="2" s="1"/>
  <c r="AE20" i="2" s="1"/>
  <c r="AF20" i="2" s="1"/>
  <c r="AG20" i="2" s="1"/>
  <c r="AH20" i="2" s="1"/>
  <c r="AI20" i="2" s="1"/>
  <c r="AJ20" i="2" s="1"/>
  <c r="AK20" i="2" s="1"/>
  <c r="AL20" i="2" s="1"/>
  <c r="AM20" i="2" s="1"/>
  <c r="AN20" i="2" s="1"/>
  <c r="AO20" i="2" s="1"/>
  <c r="AP20" i="2" s="1"/>
  <c r="AQ20" i="2" s="1"/>
  <c r="AR20" i="2" s="1"/>
  <c r="AS20" i="2" s="1"/>
  <c r="AT20" i="2" s="1"/>
  <c r="AU20" i="2" s="1"/>
  <c r="AV20" i="2" s="1"/>
  <c r="AW20" i="2" s="1"/>
  <c r="AX20" i="2" s="1"/>
  <c r="AY20" i="2" s="1"/>
  <c r="AZ20" i="2" s="1"/>
  <c r="BA20" i="2" s="1"/>
  <c r="BB20" i="2" s="1"/>
  <c r="BC20" i="2" s="1"/>
  <c r="BD20" i="2" s="1"/>
  <c r="BE20" i="2" s="1"/>
  <c r="BF20" i="2" s="1"/>
  <c r="BG20" i="2" s="1"/>
  <c r="BH20" i="2" s="1"/>
  <c r="BI20" i="2" s="1"/>
  <c r="BJ20" i="2" s="1"/>
  <c r="BK20" i="2" s="1"/>
  <c r="BL20" i="2" s="1"/>
  <c r="BM20" i="2" s="1"/>
  <c r="BN20" i="2" s="1"/>
  <c r="BO20" i="2" s="1"/>
  <c r="BP20" i="2" s="1"/>
  <c r="BQ20" i="2" s="1"/>
  <c r="BR20" i="2" s="1"/>
  <c r="BS20" i="2" s="1"/>
  <c r="BT20" i="2" s="1"/>
  <c r="BU20" i="2" s="1"/>
  <c r="BV20" i="2" s="1"/>
  <c r="BW20" i="2" s="1"/>
  <c r="BX20" i="2" s="1"/>
  <c r="BY20" i="2" s="1"/>
  <c r="BZ20" i="2" s="1"/>
  <c r="CA20" i="2" s="1"/>
  <c r="CB20" i="2" s="1"/>
  <c r="CC20" i="2" s="1"/>
  <c r="CD20" i="2" s="1"/>
  <c r="CE20" i="2" s="1"/>
  <c r="CF20" i="2" s="1"/>
  <c r="CG20" i="2" s="1"/>
  <c r="CH20" i="2" s="1"/>
  <c r="CI20" i="2" s="1"/>
  <c r="CJ20" i="2" s="1"/>
  <c r="CK20" i="2" s="1"/>
  <c r="CL20" i="2" s="1"/>
  <c r="CM20" i="2" s="1"/>
  <c r="CN20" i="2" s="1"/>
  <c r="CO20" i="2" s="1"/>
  <c r="CP20" i="2" s="1"/>
  <c r="CQ20" i="2" s="1"/>
  <c r="CR20" i="2" s="1"/>
  <c r="CS20" i="2" s="1"/>
  <c r="CT20" i="2" s="1"/>
  <c r="CU20" i="2" s="1"/>
  <c r="CV20" i="2" s="1"/>
  <c r="CW20" i="2" s="1"/>
  <c r="CX20" i="2" s="1"/>
  <c r="CY20" i="2" s="1"/>
  <c r="CZ20" i="2" s="1"/>
  <c r="DA20" i="2" s="1"/>
  <c r="DB20" i="2" s="1"/>
  <c r="DC20" i="2" s="1"/>
  <c r="DD20" i="2" s="1"/>
  <c r="DE20" i="2" s="1"/>
  <c r="DF20" i="2" s="1"/>
  <c r="DG20" i="2" s="1"/>
  <c r="DH20" i="2" s="1"/>
  <c r="DI20" i="2" s="1"/>
  <c r="DJ20" i="2" s="1"/>
  <c r="DK20" i="2" s="1"/>
  <c r="DL20" i="2" s="1"/>
  <c r="DM20" i="2" s="1"/>
  <c r="DN20" i="2" s="1"/>
  <c r="DO20" i="2" s="1"/>
  <c r="DP20" i="2" s="1"/>
  <c r="DQ20" i="2" s="1"/>
  <c r="DR20" i="2" s="1"/>
  <c r="DS20" i="2" s="1"/>
  <c r="DT20" i="2" s="1"/>
  <c r="DU20" i="2" s="1"/>
  <c r="DV20" i="2" s="1"/>
  <c r="DW20" i="2" s="1"/>
  <c r="DX20" i="2" s="1"/>
  <c r="DY20" i="2" s="1"/>
  <c r="DZ20" i="2" s="1"/>
  <c r="EA20" i="2" s="1"/>
  <c r="EB20" i="2" s="1"/>
  <c r="EC20" i="2" s="1"/>
  <c r="ED20" i="2" s="1"/>
  <c r="EE20" i="2" s="1"/>
  <c r="EF20" i="2" s="1"/>
  <c r="EG20" i="2" s="1"/>
  <c r="EH20" i="2" s="1"/>
  <c r="EI20" i="2" s="1"/>
  <c r="EJ20" i="2" s="1"/>
  <c r="EK20" i="2" s="1"/>
  <c r="EL20" i="2" s="1"/>
  <c r="EM20" i="2" s="1"/>
  <c r="EN20" i="2" s="1"/>
  <c r="EO20" i="2" s="1"/>
  <c r="EP20" i="2" s="1"/>
  <c r="EQ20" i="2" s="1"/>
  <c r="ER20" i="2" s="1"/>
  <c r="ES20" i="2" s="1"/>
  <c r="ET20" i="2" s="1"/>
  <c r="EU20" i="2" s="1"/>
  <c r="EV20" i="2" s="1"/>
  <c r="EW20" i="2" s="1"/>
  <c r="EX20" i="2" s="1"/>
  <c r="EY20" i="2" s="1"/>
  <c r="EZ20" i="2" s="1"/>
  <c r="N37" i="2"/>
  <c r="N62" i="2" s="1"/>
  <c r="N31" i="2"/>
  <c r="N35" i="2" s="1"/>
  <c r="N28" i="2"/>
  <c r="Y89" i="2"/>
  <c r="Y85" i="2"/>
  <c r="Y87" i="2" s="1"/>
  <c r="Z89" i="2"/>
  <c r="Z85" i="2"/>
  <c r="Z87" i="2" s="1"/>
  <c r="O89" i="2"/>
  <c r="O85" i="2"/>
  <c r="O87" i="2" s="1"/>
  <c r="K89" i="2"/>
  <c r="K85" i="2"/>
  <c r="K87" i="2" s="1"/>
  <c r="AA85" i="2" l="1"/>
  <c r="AA87" i="2" s="1"/>
  <c r="N85" i="2"/>
  <c r="N87" i="2" s="1"/>
  <c r="N89" i="2"/>
  <c r="AF27" i="2"/>
  <c r="AF28" i="2" l="1"/>
  <c r="AF30" i="2" s="1"/>
  <c r="AG2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<sst xmlns="http://schemas.openxmlformats.org/spreadsheetml/2006/main" count="394" uniqueCount="132">
  <si>
    <t>Price</t>
  </si>
  <si>
    <t>Shares</t>
  </si>
  <si>
    <t>MC</t>
  </si>
  <si>
    <t>Cash</t>
  </si>
  <si>
    <t>Debt</t>
  </si>
  <si>
    <t>EV</t>
  </si>
  <si>
    <t>Q122</t>
  </si>
  <si>
    <t>Q222</t>
  </si>
  <si>
    <t>Q322</t>
  </si>
  <si>
    <t>Q422</t>
  </si>
  <si>
    <t>Q123</t>
  </si>
  <si>
    <t>Q223</t>
  </si>
  <si>
    <t>Q323</t>
  </si>
  <si>
    <t>Q423</t>
  </si>
  <si>
    <t>Q124</t>
  </si>
  <si>
    <t>Q224</t>
  </si>
  <si>
    <t>in K</t>
  </si>
  <si>
    <t>in K usd</t>
  </si>
  <si>
    <t>main</t>
  </si>
  <si>
    <t>Net revenues</t>
  </si>
  <si>
    <t>Cost of revenues</t>
  </si>
  <si>
    <t>Gross profit</t>
  </si>
  <si>
    <t>Q324</t>
  </si>
  <si>
    <t>R&amp;D</t>
  </si>
  <si>
    <t>S&amp;M</t>
  </si>
  <si>
    <t>G&amp;A</t>
  </si>
  <si>
    <t>Total operating expenses</t>
  </si>
  <si>
    <t>(Loss) income from operations</t>
  </si>
  <si>
    <t>Interest expense, net</t>
  </si>
  <si>
    <t>Other income (expense) net</t>
  </si>
  <si>
    <t>Total interest epxnese net and other income (expense) net</t>
  </si>
  <si>
    <t>Income before income taxes</t>
  </si>
  <si>
    <t>Income taxes</t>
  </si>
  <si>
    <t>Net income (loss)</t>
  </si>
  <si>
    <t>eps</t>
  </si>
  <si>
    <t>shares out</t>
  </si>
  <si>
    <t>revenue y/y</t>
  </si>
  <si>
    <t>tax rate</t>
  </si>
  <si>
    <t>GM</t>
  </si>
  <si>
    <t>PM</t>
  </si>
  <si>
    <t>Net (loss) income</t>
  </si>
  <si>
    <t>Change in net unrealized loss on investments</t>
  </si>
  <si>
    <t>Change in fx</t>
  </si>
  <si>
    <t>Other comprehensive income (loss)</t>
  </si>
  <si>
    <t>Total comprehensive (loss) income</t>
  </si>
  <si>
    <t>Share-based compensation expense</t>
  </si>
  <si>
    <t>Deferred tax assets</t>
  </si>
  <si>
    <t>(Gain)/loss on early extinguishments of debt</t>
  </si>
  <si>
    <t>Loss contingency accrual</t>
  </si>
  <si>
    <t>Impairment of intangible asset</t>
  </si>
  <si>
    <t>Loss from write-offs of property and equipment</t>
  </si>
  <si>
    <t>Amortization of debt issuance costs</t>
  </si>
  <si>
    <t>Operating lease expense, net of accretion</t>
  </si>
  <si>
    <t>Realized loss on sale of investments</t>
  </si>
  <si>
    <t>(Gain)/loss on textbook library, net</t>
  </si>
  <si>
    <t>Print textbook depreciation expense</t>
  </si>
  <si>
    <t>Gain on foreign currency remeasurement of purchase consideration</t>
  </si>
  <si>
    <t>Impairment on lease related assets</t>
  </si>
  <si>
    <t>Gain on sale of strategic equity investments</t>
  </si>
  <si>
    <t>Loss on change in fair value of derivative instruments net</t>
  </si>
  <si>
    <t>Other non-cash items</t>
  </si>
  <si>
    <t>-</t>
  </si>
  <si>
    <t>AR</t>
  </si>
  <si>
    <t>prepaid expenses and other current assets</t>
  </si>
  <si>
    <t>other assets</t>
  </si>
  <si>
    <t>AP</t>
  </si>
  <si>
    <t>deferred revenue</t>
  </si>
  <si>
    <t>accrued liabilities</t>
  </si>
  <si>
    <t>other liabilities</t>
  </si>
  <si>
    <t>CFFO</t>
  </si>
  <si>
    <t>purcahases of PP&amp;E</t>
  </si>
  <si>
    <t>purchases of textbooks</t>
  </si>
  <si>
    <t>proceeds from disposition of textbooks</t>
  </si>
  <si>
    <t>purchases of investments</t>
  </si>
  <si>
    <t>proceeds from sale of investments</t>
  </si>
  <si>
    <t>maturities of investments</t>
  </si>
  <si>
    <t>proceeds from sale of strategic equity investments</t>
  </si>
  <si>
    <t>acquisition of business net of csah acquired</t>
  </si>
  <si>
    <t>purchases of strategic equity investment</t>
  </si>
  <si>
    <t>CFFI</t>
  </si>
  <si>
    <t>Proceeds from common stock issued under stock plans, net</t>
  </si>
  <si>
    <t>Payment of taxes related to the net sahre settlement of equity awards</t>
  </si>
  <si>
    <t>Proceeds from equity offering net of offering costs</t>
  </si>
  <si>
    <t>Repayment of convertible senior notes</t>
  </si>
  <si>
    <t>Proceeds from exercise of convertible senior notes capped call</t>
  </si>
  <si>
    <t>Payment of escrow related to acquisition</t>
  </si>
  <si>
    <t>Repurchase of common stock</t>
  </si>
  <si>
    <t>CFFA</t>
  </si>
  <si>
    <t>FX</t>
  </si>
  <si>
    <t>Change in cash</t>
  </si>
  <si>
    <t>cash beg</t>
  </si>
  <si>
    <t>cash end</t>
  </si>
  <si>
    <t>FCF</t>
  </si>
  <si>
    <t>Depreciation and amortization expense</t>
  </si>
  <si>
    <t>EasyBib</t>
  </si>
  <si>
    <t>2U, Inc., Simplilearn, and Kenzie Academy.</t>
  </si>
  <si>
    <t>General Assembly, Galvanize, Inc., Flatiron School, Codecademy, DataCamp, and Lambda, Inc.</t>
  </si>
  <si>
    <t>Duolingo and Babbel</t>
  </si>
  <si>
    <t>Chegg Skills - corporate</t>
  </si>
  <si>
    <t>Photomath, Gauthmath, and Symbolab</t>
  </si>
  <si>
    <t>Grammarly</t>
  </si>
  <si>
    <t>Course Hero, Quizlet, Khan Academy, and Brainly</t>
  </si>
  <si>
    <t>Busuu - language learning</t>
  </si>
  <si>
    <t>Chegg Math - Mathway</t>
  </si>
  <si>
    <t>Chegg Writing - EasyBib, Citation Machine, CiteThisForMe</t>
  </si>
  <si>
    <t>Chegg Study</t>
  </si>
  <si>
    <t>Chegg Study Pack (Study, Writing, Math)</t>
  </si>
  <si>
    <t>f</t>
  </si>
  <si>
    <t>gr</t>
  </si>
  <si>
    <t>dr</t>
  </si>
  <si>
    <t>npv</t>
  </si>
  <si>
    <t>net npv</t>
  </si>
  <si>
    <t>up</t>
  </si>
  <si>
    <t>the platform sucks</t>
  </si>
  <si>
    <t>Impairment expense</t>
  </si>
  <si>
    <t>Subscription services</t>
  </si>
  <si>
    <t>Skills and other</t>
  </si>
  <si>
    <t>cash</t>
  </si>
  <si>
    <t>LT invest</t>
  </si>
  <si>
    <t>ST invest</t>
  </si>
  <si>
    <t>Restructuring charges</t>
  </si>
  <si>
    <t>Founded: 2005</t>
  </si>
  <si>
    <t>senior notes are debt too</t>
  </si>
  <si>
    <t>Q121</t>
  </si>
  <si>
    <t>Q221</t>
  </si>
  <si>
    <t>Q321</t>
  </si>
  <si>
    <t>Q421</t>
  </si>
  <si>
    <t>Q424</t>
  </si>
  <si>
    <t xml:space="preserve">FCF </t>
  </si>
  <si>
    <t>Q12324</t>
  </si>
  <si>
    <t>EV/FCF</t>
  </si>
  <si>
    <t>net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</si>
</sst>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d\-mm;@"/>
  </numFmts>
  <fonts count="11" x14ac:knownFonts="1">
    <font>
      <sz val="11"/>
      <color theme="1"/>
      <name val="Calibri"/>
      <family val="2"/>
      <charset val="238"/>
      <scheme val="minor"/>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8"/>
      <name val="Calibri"/>
      <family val="2"/>
      <charset val="238"/>
      <scheme val="minor"/>
    </font>
    <font>
      <u/>
      <sz val="11"/>
      <color theme="10"/>
      <name val="Calibri"/>
      <family val="2"/>
      <charset val="238"/>
      <scheme val="minor"/>
    </font>
    <font>
      <sz val="10"/>
      <color rgb="FFFF0000"/>
      <name val="Arial"/>
      <family val="2"/>
      <charset val="238"/>
    </font>
    <font>
      <b/>
      <sz val="10"/>
      <color theme="1"/>
      <name val="Arial"/>
      <family val="2"/>
      <charset val="238"/>
    </font>
    <font>
      <u/>
      <sz val="10"/>
      <color theme="10"/>
      <name val="Arial"/>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5" fillId="0" borderId="0" xfId="0" applyFont="1"/>
    <xf numFmtId="3" fontId="5" fillId="0" borderId="0" xfId="0" applyNumberFormat="1" applyFont="1"/>
    <xf numFmtId="0" fontId="9" fillId="0" borderId="0" xfId="0" applyFont="1"/>
    <xf numFmtId="3" fontId="9" fillId="0" borderId="0" xfId="0" applyNumberFormat="1" applyFont="1"/>
    <xf numFmtId="3" fontId="8" fillId="0" borderId="0" xfId="0" applyNumberFormat="1" applyFont="1"/>
    <xf numFmtId="164" fontId="5" fillId="0" borderId="0" xfId="0" applyNumberFormat="1" applyFont="1"/>
    <xf numFmtId="0" fontId="4" fillId="0" borderId="0" xfId="0" applyFont="1"/>
    <xf numFmtId="3" fontId="4" fillId="0" borderId="0" xfId="0" applyNumberFormat="1" applyFont="1"/>
    <xf numFmtId="9" fontId="4" fillId="0" borderId="0" xfId="0" applyNumberFormat="1" applyFont="1"/>
    <xf numFmtId="0" fontId="3" fillId="0" borderId="0" xfId="0" applyFont="1"/>
    <xf numFmtId="165" fontId="10" fillId="0" borderId="0" xfId="1" applyNumberFormat="1" applyFont="1"/>
    <xf numFmtId="165" fontId="4" fillId="0" borderId="0" xfId="0" applyNumberFormat="1" applyFont="1"/>
    <xf numFmtId="3" fontId="3" fillId="0" borderId="0" xfId="0" applyNumberFormat="1" applyFont="1"/>
    <xf numFmtId="0" fontId="2" fillId="0" borderId="0" xfId="0" applyFont="1"/>
    <xf numFmtId="0" fontId="1" fillId="0" borderId="0" xfId="0" applyFont="1"/>
    <xf numFmtId="2" fontId="5" fillId="0" borderId="0" xfId="0" applyNumberFormat="1" applyFont="1"/>
    <xf numFmtId="3"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350520</xdr:colOff>
      <xdr:row>19</xdr:row>
      <xdr:rowOff>36479</xdr:rowOff>
    </xdr:from>
    <xdr:to>
      <xdr:col>19</xdr:col>
      <xdr:colOff>490809</xdr:colOff>
      <xdr:row>34</xdr:row>
      <xdr:rowOff>93905</xdr:rowOff>
    </xdr:to>
    <xdr:pic>
      <xdr:nvPicPr>
        <xdr:cNvPr id="2" name="Picture 1">
          <a:extLst>
            <a:ext uri="{FF2B5EF4-FFF2-40B4-BE49-F238E27FC236}">
              <a16:creationId xmlns:a16="http://schemas.microsoft.com/office/drawing/2014/main" id="{23836F02-6E24-224B-FA54-1E3854A790F8}"/>
            </a:ext>
          </a:extLst>
        </xdr:cNvPr>
        <xdr:cNvPicPr>
          <a:picLocks noChangeAspect="1"/>
        </xdr:cNvPicPr>
      </xdr:nvPicPr>
      <xdr:blipFill>
        <a:blip xmlns:r="http://schemas.openxmlformats.org/officeDocument/2006/relationships" r:embed="rId1"/>
        <a:stretch>
          <a:fillRect/>
        </a:stretch>
      </xdr:blipFill>
      <xdr:spPr>
        <a:xfrm>
          <a:off x="6446520" y="3221639"/>
          <a:ext cx="5626689" cy="25720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26323</xdr:colOff>
      <xdr:row>0</xdr:row>
      <xdr:rowOff>145473</xdr:rowOff>
    </xdr:from>
    <xdr:to>
      <xdr:col>17</xdr:col>
      <xdr:colOff>26323</xdr:colOff>
      <xdr:row>137</xdr:row>
      <xdr:rowOff>146743</xdr:rowOff>
    </xdr:to>
    <xdr:cxnSp macro="">
      <xdr:nvCxnSpPr>
        <xdr:cNvPr id="3" name="Straight Connector 2">
          <a:extLst>
            <a:ext uri="{FF2B5EF4-FFF2-40B4-BE49-F238E27FC236}">
              <a16:creationId xmlns:a16="http://schemas.microsoft.com/office/drawing/2014/main" id="{AB974397-2621-224F-51AE-B64322E22395}"/>
            </a:ext>
          </a:extLst>
        </xdr:cNvPr>
        <xdr:cNvCxnSpPr/>
      </xdr:nvCxnSpPr>
      <xdr:spPr>
        <a:xfrm>
          <a:off x="10854343" y="145473"/>
          <a:ext cx="0" cy="22967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48492</xdr:colOff>
      <xdr:row>1</xdr:row>
      <xdr:rowOff>76201</xdr:rowOff>
    </xdr:from>
    <xdr:to>
      <xdr:col>27</xdr:col>
      <xdr:colOff>48492</xdr:colOff>
      <xdr:row>138</xdr:row>
      <xdr:rowOff>85091</xdr:rowOff>
    </xdr:to>
    <xdr:cxnSp macro="">
      <xdr:nvCxnSpPr>
        <xdr:cNvPr id="5" name="Straight Connector 4">
          <a:extLst>
            <a:ext uri="{FF2B5EF4-FFF2-40B4-BE49-F238E27FC236}">
              <a16:creationId xmlns:a16="http://schemas.microsoft.com/office/drawing/2014/main" id="{B0EE9528-761F-4EF3-BEE3-E462C1297277}"/>
            </a:ext>
          </a:extLst>
        </xdr:cNvPr>
        <xdr:cNvCxnSpPr/>
      </xdr:nvCxnSpPr>
      <xdr:spPr>
        <a:xfrm>
          <a:off x="13279583" y="256310"/>
          <a:ext cx="0" cy="236031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https://www.bing.com/financeapi/forcetrigger?t=a1plyc&amp;q=XNYS%3aCHGG&amp;form=skydnc</v>
    <v>Learn more on Bing</v>
  </rv>
  <rv s="1">
    <v>en-US</v>
    <v>a1plyc</v>
    <v>268435456</v>
    <v>1</v>
    <v>Powered by Refinitiv</v>
    <v>0</v>
    <v>CHEGG, INC. (XNYS:CHGG)</v>
    <v>2</v>
    <v>3</v>
    <v>Finance</v>
    <v>4</v>
    <v>11.25</v>
    <v>1.3401000000000001</v>
    <v>1.3852</v>
    <v>5.0000000000000001E-3</v>
    <v>3.2469999999999999E-3</v>
    <v>USD</v>
    <v>Chegg, Inc. provides a student-first connected learning platform. The Company is combining generative artificial intelligence (AI) and human capabilities to provide a personalized learning assistant to be included in its Chegg Study offering. Its service and product offerings fall into two categories: Subscription Services, which encompasses its Chegg Study Pack, Chegg Study, Chegg Writing, Chegg Math, and Busuu offerings that can be accessed internationally through its websites and on mobile devices, and Skills and Other, which encompasses its Chegg Skills, advertising services, print textbooks and eTextbooks offerings. Chegg Study subscribers have access to personalized, step-by-step learning support powered by AI, computational engines and subject matter experts. Chegg Study Pack is a premium subscription bundle that includes all of the benefits of Chegg Study, as well as Chegg Writing and Chegg Math. Chegg Skills offers programs on technical skills, including AI and data analytics.</v>
    <v>1903</v>
    <v>New York Stock Exchange</v>
    <v>XNYS</v>
    <v>XNYS</v>
    <v>3990 Freedom Cir, SANTA CLARA, CA, 95054 US</v>
    <v>1.56</v>
    <v>Professional &amp; Commercial Services</v>
    <v>Stock</v>
    <v>45673.871504328126</v>
    <v>0</v>
    <v>1.4842</v>
    <v>186710100</v>
    <v>CHEGG, INC.</v>
    <v>CHEGG, INC.</v>
    <v>1.52</v>
    <v>1.54</v>
    <v>1.5449999999999999</v>
    <v>104307300</v>
    <v>CHGG</v>
    <v>CHEGG, INC. (XNYS:CHGG)</v>
    <v>1256087</v>
    <v>3285435</v>
    <v>2005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9F600-D258-4A06-817C-411221231C5A}">
  <dimension ref="A4:P20"/>
  <sheetViews>
    <sheetView workbookViewId="0">
      <selection activeCell="C20" sqref="C20"/>
    </sheetView>
  </sheetViews>
  <sheetFormatPr defaultRowHeight="13.2" x14ac:dyDescent="0.25"/>
  <cols>
    <col min="1" max="16384" width="8.88671875" style="1"/>
  </cols>
  <sheetData>
    <row r="4" spans="1:16" x14ac:dyDescent="0.25">
      <c r="F4" s="1" t="e" vm="1">
        <v>#VALUE!</v>
      </c>
      <c r="M4" s="1" t="s">
        <v>106</v>
      </c>
    </row>
    <row r="5" spans="1:16" x14ac:dyDescent="0.25">
      <c r="M5" s="1" t="s">
        <v>105</v>
      </c>
    </row>
    <row r="6" spans="1:16" x14ac:dyDescent="0.25">
      <c r="F6" s="1" t="s">
        <v>15</v>
      </c>
      <c r="G6" s="14" t="s">
        <v>22</v>
      </c>
      <c r="M6" s="1" t="s">
        <v>104</v>
      </c>
    </row>
    <row r="7" spans="1:16" x14ac:dyDescent="0.25">
      <c r="E7" s="1" t="s">
        <v>0</v>
      </c>
      <c r="F7" s="6" cm="1">
        <f t="array" aca="1" ref="F7" ca="1">+_FV(F4,"Price")</f>
        <v>1.5449999999999999</v>
      </c>
      <c r="M7" s="1" t="s">
        <v>103</v>
      </c>
    </row>
    <row r="8" spans="1:16" x14ac:dyDescent="0.25">
      <c r="B8" s="1">
        <v>133</v>
      </c>
      <c r="C8" s="1" t="s">
        <v>117</v>
      </c>
      <c r="E8" s="1" t="s">
        <v>1</v>
      </c>
      <c r="F8" s="2" cm="1">
        <f t="array" aca="1" ref="F8" ca="1">+_FV(F4,"Shares outstanding",TRUE)/1000</f>
        <v>104307.3</v>
      </c>
      <c r="G8" s="2"/>
      <c r="H8" s="1" t="s">
        <v>16</v>
      </c>
      <c r="M8" s="1" t="s">
        <v>102</v>
      </c>
    </row>
    <row r="9" spans="1:16" x14ac:dyDescent="0.25">
      <c r="B9" s="1">
        <v>212</v>
      </c>
      <c r="C9" s="1" t="s">
        <v>119</v>
      </c>
      <c r="E9" s="1" t="s">
        <v>2</v>
      </c>
      <c r="F9" s="2">
        <f ca="1">+F7*F8</f>
        <v>161154.77849999999</v>
      </c>
      <c r="G9" s="2"/>
      <c r="H9" s="1" t="s">
        <v>17</v>
      </c>
      <c r="N9" s="1" t="s">
        <v>101</v>
      </c>
    </row>
    <row r="10" spans="1:16" x14ac:dyDescent="0.25">
      <c r="B10" s="1">
        <v>260</v>
      </c>
      <c r="C10" s="1" t="s">
        <v>118</v>
      </c>
      <c r="E10" s="1" t="s">
        <v>3</v>
      </c>
      <c r="F10" s="2">
        <f>133068+212396+259925</f>
        <v>605389</v>
      </c>
      <c r="G10" s="2">
        <f>152073+209003+23749+270161</f>
        <v>654986</v>
      </c>
      <c r="H10" s="1" t="s">
        <v>17</v>
      </c>
      <c r="I10" s="1" t="s">
        <v>113</v>
      </c>
      <c r="N10" s="1" t="s">
        <v>100</v>
      </c>
      <c r="P10" s="1" t="s">
        <v>99</v>
      </c>
    </row>
    <row r="11" spans="1:16" x14ac:dyDescent="0.25">
      <c r="E11" s="1" t="s">
        <v>4</v>
      </c>
      <c r="F11" s="2">
        <f>357838+243079</f>
        <v>600917</v>
      </c>
      <c r="G11" s="2">
        <f>18124+358222+243242</f>
        <v>619588</v>
      </c>
      <c r="H11" s="1" t="s">
        <v>17</v>
      </c>
      <c r="I11" s="1" t="s">
        <v>122</v>
      </c>
      <c r="M11" s="1" t="s">
        <v>98</v>
      </c>
      <c r="P11" s="1" t="s">
        <v>97</v>
      </c>
    </row>
    <row r="12" spans="1:16" x14ac:dyDescent="0.25">
      <c r="E12" s="1" t="s">
        <v>5</v>
      </c>
      <c r="F12" s="2">
        <f ca="1">+F11+F9-F10</f>
        <v>156682.77850000001</v>
      </c>
      <c r="G12" s="2">
        <f ca="1">+F9+G11-G10</f>
        <v>125756.77850000001</v>
      </c>
      <c r="H12" s="1" t="s">
        <v>17</v>
      </c>
      <c r="P12" s="1" t="s">
        <v>96</v>
      </c>
    </row>
    <row r="13" spans="1:16" x14ac:dyDescent="0.25">
      <c r="P13" s="1" t="s">
        <v>95</v>
      </c>
    </row>
    <row r="16" spans="1:16" x14ac:dyDescent="0.25">
      <c r="A16" s="15" t="s">
        <v>129</v>
      </c>
      <c r="B16" s="15" t="s">
        <v>128</v>
      </c>
      <c r="C16" s="2">
        <v>45418</v>
      </c>
      <c r="L16" s="1" t="s">
        <v>121</v>
      </c>
      <c r="P16" s="1" t="s">
        <v>94</v>
      </c>
    </row>
    <row r="17" spans="1:3" x14ac:dyDescent="0.25">
      <c r="A17" s="15">
        <v>2024</v>
      </c>
      <c r="B17" s="15" t="s">
        <v>92</v>
      </c>
      <c r="C17" s="2">
        <f>+C16</f>
        <v>45418</v>
      </c>
    </row>
    <row r="20" spans="1:3" x14ac:dyDescent="0.25">
      <c r="A20" s="15" t="s">
        <v>130</v>
      </c>
      <c r="C20" s="16">
        <f ca="1">+F9/C17</f>
        <v>3.5482579263728034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3057-3870-4DFD-8E06-88FDDED23778}">
  <dimension ref="A1:FA106"/>
  <sheetViews>
    <sheetView tabSelected="1" zoomScaleNormal="100" workbookViewId="0">
      <pane xSplit="2" ySplit="2" topLeftCell="N3" activePane="bottomRight" state="frozen"/>
      <selection activeCell="L42" sqref="L42"/>
      <selection pane="topRight" activeCell="L42" sqref="L42"/>
      <selection pane="bottomLeft" activeCell="L42" sqref="L42"/>
      <selection pane="bottomRight" activeCell="I89" sqref="I89"/>
    </sheetView>
  </sheetViews>
  <sheetFormatPr defaultRowHeight="13.2" x14ac:dyDescent="0.25"/>
  <cols>
    <col min="1" max="1" width="5.109375" style="7" bestFit="1" customWidth="1"/>
    <col min="2" max="2" width="16.5546875" style="7" customWidth="1"/>
    <col min="3" max="3" width="9.88671875" style="7" bestFit="1" customWidth="1"/>
    <col min="4" max="5" width="9" style="7" bestFit="1" customWidth="1"/>
    <col min="6" max="6" width="9.6640625" style="7" bestFit="1" customWidth="1"/>
    <col min="7" max="12" width="9" style="7" bestFit="1" customWidth="1"/>
    <col min="13" max="14" width="8.88671875" style="7"/>
    <col min="15" max="16" width="9" style="7" bestFit="1" customWidth="1"/>
    <col min="17" max="19" width="8.88671875" style="7"/>
    <col min="20" max="21" width="9" style="7" bestFit="1" customWidth="1"/>
    <col min="22" max="22" width="8.33203125" style="7" bestFit="1" customWidth="1"/>
    <col min="23" max="23" width="8.21875" style="7" bestFit="1" customWidth="1"/>
    <col min="24" max="25" width="9.77734375" style="7" bestFit="1" customWidth="1"/>
    <col min="26" max="27" width="8.21875" style="7" bestFit="1" customWidth="1"/>
    <col min="28" max="31" width="9" style="7" bestFit="1" customWidth="1"/>
    <col min="32" max="32" width="11.88671875" style="7" bestFit="1" customWidth="1"/>
    <col min="33" max="33" width="10.5546875" style="7" bestFit="1" customWidth="1"/>
    <col min="34" max="156" width="9" style="7" bestFit="1" customWidth="1"/>
    <col min="157" max="16384" width="8.88671875" style="7"/>
  </cols>
  <sheetData>
    <row r="1" spans="1:157" s="12" customFormat="1" x14ac:dyDescent="0.25">
      <c r="A1" s="11" t="s">
        <v>18</v>
      </c>
      <c r="C1" s="12">
        <v>44286</v>
      </c>
      <c r="D1" s="12">
        <v>44377</v>
      </c>
      <c r="E1" s="12">
        <v>44469</v>
      </c>
      <c r="F1" s="12">
        <v>44561</v>
      </c>
      <c r="G1" s="12">
        <v>44651</v>
      </c>
      <c r="H1" s="12">
        <v>44742</v>
      </c>
      <c r="I1" s="12">
        <v>44834</v>
      </c>
      <c r="J1" s="12">
        <v>44926</v>
      </c>
      <c r="K1" s="12">
        <v>45016</v>
      </c>
      <c r="L1" s="12">
        <v>45107</v>
      </c>
      <c r="M1" s="12">
        <v>45107</v>
      </c>
      <c r="N1" s="12">
        <v>45291</v>
      </c>
      <c r="O1" s="12">
        <v>45382</v>
      </c>
      <c r="P1" s="12">
        <v>45473</v>
      </c>
      <c r="Q1" s="12">
        <v>45565</v>
      </c>
      <c r="V1" s="12">
        <v>43465</v>
      </c>
      <c r="W1" s="12">
        <v>43830</v>
      </c>
      <c r="X1" s="12">
        <v>44196</v>
      </c>
      <c r="Y1" s="12">
        <v>44561</v>
      </c>
      <c r="Z1" s="12">
        <v>44926</v>
      </c>
      <c r="AA1" s="12">
        <v>45291</v>
      </c>
    </row>
    <row r="2" spans="1:157" x14ac:dyDescent="0.25">
      <c r="B2" s="7" t="s">
        <v>17</v>
      </c>
      <c r="C2" s="7" t="s">
        <v>123</v>
      </c>
      <c r="D2" s="7" t="s">
        <v>124</v>
      </c>
      <c r="E2" s="7" t="s">
        <v>125</v>
      </c>
      <c r="F2" s="7" t="s">
        <v>126</v>
      </c>
      <c r="G2" s="7" t="s">
        <v>6</v>
      </c>
      <c r="H2" s="7" t="s">
        <v>7</v>
      </c>
      <c r="I2" s="7" t="s">
        <v>8</v>
      </c>
      <c r="J2" s="7" t="s">
        <v>9</v>
      </c>
      <c r="K2" s="7" t="s">
        <v>10</v>
      </c>
      <c r="L2" s="7" t="s">
        <v>11</v>
      </c>
      <c r="M2" s="7" t="s">
        <v>12</v>
      </c>
      <c r="N2" s="7" t="s">
        <v>13</v>
      </c>
      <c r="O2" s="7" t="s">
        <v>14</v>
      </c>
      <c r="P2" s="7" t="s">
        <v>15</v>
      </c>
      <c r="Q2" s="7" t="s">
        <v>22</v>
      </c>
      <c r="R2" s="10" t="s">
        <v>127</v>
      </c>
      <c r="T2" s="7">
        <v>2016</v>
      </c>
      <c r="U2" s="7">
        <v>2017</v>
      </c>
      <c r="V2" s="7">
        <v>2018</v>
      </c>
      <c r="W2" s="7">
        <f>V2+1</f>
        <v>2019</v>
      </c>
      <c r="X2" s="7">
        <f t="shared" ref="X2:AF2" si="0">W2+1</f>
        <v>2020</v>
      </c>
      <c r="Y2" s="7">
        <f t="shared" si="0"/>
        <v>2021</v>
      </c>
      <c r="Z2" s="7">
        <f t="shared" si="0"/>
        <v>2022</v>
      </c>
      <c r="AA2" s="7">
        <f t="shared" si="0"/>
        <v>2023</v>
      </c>
      <c r="AB2" s="7">
        <f t="shared" si="0"/>
        <v>2024</v>
      </c>
      <c r="AC2" s="7">
        <f t="shared" si="0"/>
        <v>2025</v>
      </c>
      <c r="AD2" s="7">
        <f t="shared" si="0"/>
        <v>2026</v>
      </c>
      <c r="AE2" s="7">
        <f t="shared" si="0"/>
        <v>2027</v>
      </c>
      <c r="AF2" s="7">
        <f t="shared" si="0"/>
        <v>2028</v>
      </c>
      <c r="AG2" s="7">
        <f t="shared" ref="AG2" si="1">AF2+1</f>
        <v>2029</v>
      </c>
      <c r="AH2" s="7">
        <f t="shared" ref="AH2" si="2">AG2+1</f>
        <v>2030</v>
      </c>
      <c r="AI2" s="7">
        <f t="shared" ref="AI2" si="3">AH2+1</f>
        <v>2031</v>
      </c>
      <c r="AJ2" s="7">
        <f t="shared" ref="AJ2" si="4">AI2+1</f>
        <v>2032</v>
      </c>
      <c r="AK2" s="7">
        <f t="shared" ref="AK2" si="5">AJ2+1</f>
        <v>2033</v>
      </c>
      <c r="AL2" s="7">
        <f t="shared" ref="AL2" si="6">AK2+1</f>
        <v>2034</v>
      </c>
      <c r="AM2" s="7">
        <f t="shared" ref="AM2" si="7">AL2+1</f>
        <v>2035</v>
      </c>
      <c r="AN2" s="7">
        <f t="shared" ref="AN2" si="8">AM2+1</f>
        <v>2036</v>
      </c>
      <c r="AO2" s="7">
        <f t="shared" ref="AO2" si="9">AN2+1</f>
        <v>2037</v>
      </c>
      <c r="AP2" s="7">
        <f t="shared" ref="AP2" si="10">AO2+1</f>
        <v>2038</v>
      </c>
      <c r="AQ2" s="7">
        <f t="shared" ref="AQ2" si="11">AP2+1</f>
        <v>2039</v>
      </c>
      <c r="AR2" s="7">
        <f t="shared" ref="AR2" si="12">AQ2+1</f>
        <v>2040</v>
      </c>
      <c r="AS2" s="7">
        <f t="shared" ref="AS2" si="13">AR2+1</f>
        <v>2041</v>
      </c>
      <c r="AT2" s="7">
        <f t="shared" ref="AT2" si="14">AS2+1</f>
        <v>2042</v>
      </c>
      <c r="AU2" s="7">
        <f t="shared" ref="AU2" si="15">AT2+1</f>
        <v>2043</v>
      </c>
      <c r="AV2" s="7">
        <f t="shared" ref="AV2" si="16">AU2+1</f>
        <v>2044</v>
      </c>
      <c r="AW2" s="7">
        <f t="shared" ref="AW2" si="17">AV2+1</f>
        <v>2045</v>
      </c>
      <c r="AX2" s="7">
        <f t="shared" ref="AX2" si="18">AW2+1</f>
        <v>2046</v>
      </c>
      <c r="AY2" s="7">
        <f t="shared" ref="AY2" si="19">AX2+1</f>
        <v>2047</v>
      </c>
      <c r="AZ2" s="7">
        <f t="shared" ref="AZ2" si="20">AY2+1</f>
        <v>2048</v>
      </c>
      <c r="BA2" s="7">
        <f t="shared" ref="BA2" si="21">AZ2+1</f>
        <v>2049</v>
      </c>
      <c r="BB2" s="7">
        <f t="shared" ref="BB2" si="22">BA2+1</f>
        <v>2050</v>
      </c>
      <c r="BC2" s="7">
        <f t="shared" ref="BC2" si="23">BB2+1</f>
        <v>2051</v>
      </c>
      <c r="BD2" s="7">
        <f t="shared" ref="BD2" si="24">BC2+1</f>
        <v>2052</v>
      </c>
      <c r="BE2" s="7">
        <f t="shared" ref="BE2" si="25">BD2+1</f>
        <v>2053</v>
      </c>
      <c r="BF2" s="7">
        <f t="shared" ref="BF2" si="26">BE2+1</f>
        <v>2054</v>
      </c>
      <c r="BG2" s="7">
        <f t="shared" ref="BG2" si="27">BF2+1</f>
        <v>2055</v>
      </c>
      <c r="BH2" s="7">
        <f t="shared" ref="BH2" si="28">BG2+1</f>
        <v>2056</v>
      </c>
      <c r="BI2" s="7">
        <f t="shared" ref="BI2" si="29">BH2+1</f>
        <v>2057</v>
      </c>
      <c r="BJ2" s="7">
        <f t="shared" ref="BJ2" si="30">BI2+1</f>
        <v>2058</v>
      </c>
      <c r="BK2" s="7">
        <f t="shared" ref="BK2" si="31">BJ2+1</f>
        <v>2059</v>
      </c>
      <c r="BL2" s="7">
        <f t="shared" ref="BL2" si="32">BK2+1</f>
        <v>2060</v>
      </c>
      <c r="BM2" s="7">
        <f t="shared" ref="BM2" si="33">BL2+1</f>
        <v>2061</v>
      </c>
      <c r="BN2" s="7">
        <f t="shared" ref="BN2" si="34">BM2+1</f>
        <v>2062</v>
      </c>
      <c r="BO2" s="7">
        <f t="shared" ref="BO2" si="35">BN2+1</f>
        <v>2063</v>
      </c>
      <c r="BP2" s="7">
        <f t="shared" ref="BP2" si="36">BO2+1</f>
        <v>2064</v>
      </c>
      <c r="BQ2" s="7">
        <f t="shared" ref="BQ2" si="37">BP2+1</f>
        <v>2065</v>
      </c>
      <c r="BR2" s="7">
        <f t="shared" ref="BR2" si="38">BQ2+1</f>
        <v>2066</v>
      </c>
      <c r="BS2" s="7">
        <f t="shared" ref="BS2" si="39">BR2+1</f>
        <v>2067</v>
      </c>
      <c r="BT2" s="7">
        <f t="shared" ref="BT2" si="40">BS2+1</f>
        <v>2068</v>
      </c>
      <c r="BU2" s="7">
        <f t="shared" ref="BU2" si="41">BT2+1</f>
        <v>2069</v>
      </c>
      <c r="BV2" s="7">
        <f t="shared" ref="BV2" si="42">BU2+1</f>
        <v>2070</v>
      </c>
      <c r="BW2" s="7">
        <f t="shared" ref="BW2" si="43">BV2+1</f>
        <v>2071</v>
      </c>
      <c r="BX2" s="7">
        <f t="shared" ref="BX2" si="44">BW2+1</f>
        <v>2072</v>
      </c>
      <c r="BY2" s="7">
        <f t="shared" ref="BY2" si="45">BX2+1</f>
        <v>2073</v>
      </c>
      <c r="BZ2" s="7">
        <f t="shared" ref="BZ2" si="46">BY2+1</f>
        <v>2074</v>
      </c>
      <c r="CA2" s="7">
        <f t="shared" ref="CA2" si="47">BZ2+1</f>
        <v>2075</v>
      </c>
      <c r="CB2" s="7">
        <f t="shared" ref="CB2" si="48">CA2+1</f>
        <v>2076</v>
      </c>
      <c r="CC2" s="7">
        <f t="shared" ref="CC2" si="49">CB2+1</f>
        <v>2077</v>
      </c>
      <c r="CD2" s="7">
        <f t="shared" ref="CD2" si="50">CC2+1</f>
        <v>2078</v>
      </c>
      <c r="CE2" s="7">
        <f t="shared" ref="CE2" si="51">CD2+1</f>
        <v>2079</v>
      </c>
      <c r="CF2" s="7">
        <f t="shared" ref="CF2" si="52">CE2+1</f>
        <v>2080</v>
      </c>
      <c r="CG2" s="7">
        <f t="shared" ref="CG2" si="53">CF2+1</f>
        <v>2081</v>
      </c>
      <c r="CH2" s="7">
        <f t="shared" ref="CH2" si="54">CG2+1</f>
        <v>2082</v>
      </c>
      <c r="CI2" s="7">
        <f t="shared" ref="CI2" si="55">CH2+1</f>
        <v>2083</v>
      </c>
      <c r="CJ2" s="7">
        <f t="shared" ref="CJ2" si="56">CI2+1</f>
        <v>2084</v>
      </c>
      <c r="CK2" s="7">
        <f t="shared" ref="CK2" si="57">CJ2+1</f>
        <v>2085</v>
      </c>
      <c r="CL2" s="7">
        <f t="shared" ref="CL2" si="58">CK2+1</f>
        <v>2086</v>
      </c>
      <c r="CM2" s="7">
        <f t="shared" ref="CM2" si="59">CL2+1</f>
        <v>2087</v>
      </c>
      <c r="CN2" s="7">
        <f t="shared" ref="CN2" si="60">CM2+1</f>
        <v>2088</v>
      </c>
      <c r="CO2" s="7">
        <f t="shared" ref="CO2" si="61">CN2+1</f>
        <v>2089</v>
      </c>
      <c r="CP2" s="7">
        <f t="shared" ref="CP2" si="62">CO2+1</f>
        <v>2090</v>
      </c>
      <c r="CQ2" s="7">
        <f t="shared" ref="CQ2" si="63">CP2+1</f>
        <v>2091</v>
      </c>
      <c r="CR2" s="7">
        <f t="shared" ref="CR2" si="64">CQ2+1</f>
        <v>2092</v>
      </c>
      <c r="CS2" s="7">
        <f t="shared" ref="CS2" si="65">CR2+1</f>
        <v>2093</v>
      </c>
      <c r="CT2" s="7">
        <f t="shared" ref="CT2" si="66">CS2+1</f>
        <v>2094</v>
      </c>
      <c r="CU2" s="7">
        <f t="shared" ref="CU2" si="67">CT2+1</f>
        <v>2095</v>
      </c>
      <c r="CV2" s="7">
        <f t="shared" ref="CV2" si="68">CU2+1</f>
        <v>2096</v>
      </c>
      <c r="CW2" s="7">
        <f t="shared" ref="CW2" si="69">CV2+1</f>
        <v>2097</v>
      </c>
      <c r="CX2" s="7">
        <f t="shared" ref="CX2" si="70">CW2+1</f>
        <v>2098</v>
      </c>
      <c r="CY2" s="7">
        <f t="shared" ref="CY2" si="71">CX2+1</f>
        <v>2099</v>
      </c>
      <c r="CZ2" s="7">
        <f t="shared" ref="CZ2" si="72">CY2+1</f>
        <v>2100</v>
      </c>
      <c r="DA2" s="7">
        <f t="shared" ref="DA2" si="73">CZ2+1</f>
        <v>2101</v>
      </c>
      <c r="DB2" s="7">
        <f t="shared" ref="DB2" si="74">DA2+1</f>
        <v>2102</v>
      </c>
      <c r="DC2" s="7">
        <f t="shared" ref="DC2" si="75">DB2+1</f>
        <v>2103</v>
      </c>
      <c r="DD2" s="7">
        <f t="shared" ref="DD2" si="76">DC2+1</f>
        <v>2104</v>
      </c>
      <c r="DE2" s="7">
        <f t="shared" ref="DE2" si="77">DD2+1</f>
        <v>2105</v>
      </c>
      <c r="DF2" s="7">
        <f t="shared" ref="DF2" si="78">DE2+1</f>
        <v>2106</v>
      </c>
      <c r="DG2" s="7">
        <f t="shared" ref="DG2" si="79">DF2+1</f>
        <v>2107</v>
      </c>
      <c r="DH2" s="7">
        <f t="shared" ref="DH2" si="80">DG2+1</f>
        <v>2108</v>
      </c>
      <c r="DI2" s="7">
        <f t="shared" ref="DI2" si="81">DH2+1</f>
        <v>2109</v>
      </c>
      <c r="DJ2" s="7">
        <f t="shared" ref="DJ2" si="82">DI2+1</f>
        <v>2110</v>
      </c>
      <c r="DK2" s="7">
        <f t="shared" ref="DK2" si="83">DJ2+1</f>
        <v>2111</v>
      </c>
      <c r="DL2" s="7">
        <f t="shared" ref="DL2" si="84">DK2+1</f>
        <v>2112</v>
      </c>
      <c r="DM2" s="7">
        <f t="shared" ref="DM2" si="85">DL2+1</f>
        <v>2113</v>
      </c>
      <c r="DN2" s="7">
        <f t="shared" ref="DN2" si="86">DM2+1</f>
        <v>2114</v>
      </c>
      <c r="DO2" s="7">
        <f t="shared" ref="DO2" si="87">DN2+1</f>
        <v>2115</v>
      </c>
      <c r="DP2" s="7">
        <f t="shared" ref="DP2" si="88">DO2+1</f>
        <v>2116</v>
      </c>
      <c r="DQ2" s="7">
        <f t="shared" ref="DQ2" si="89">DP2+1</f>
        <v>2117</v>
      </c>
      <c r="DR2" s="7">
        <f t="shared" ref="DR2" si="90">DQ2+1</f>
        <v>2118</v>
      </c>
      <c r="DS2" s="7">
        <f t="shared" ref="DS2" si="91">DR2+1</f>
        <v>2119</v>
      </c>
      <c r="DT2" s="7">
        <f t="shared" ref="DT2" si="92">DS2+1</f>
        <v>2120</v>
      </c>
      <c r="DU2" s="7">
        <f t="shared" ref="DU2" si="93">DT2+1</f>
        <v>2121</v>
      </c>
      <c r="DV2" s="7">
        <f t="shared" ref="DV2" si="94">DU2+1</f>
        <v>2122</v>
      </c>
      <c r="DW2" s="7">
        <f t="shared" ref="DW2" si="95">DV2+1</f>
        <v>2123</v>
      </c>
      <c r="DX2" s="7">
        <f t="shared" ref="DX2" si="96">DW2+1</f>
        <v>2124</v>
      </c>
      <c r="DY2" s="7">
        <f t="shared" ref="DY2" si="97">DX2+1</f>
        <v>2125</v>
      </c>
      <c r="DZ2" s="7">
        <f t="shared" ref="DZ2" si="98">DY2+1</f>
        <v>2126</v>
      </c>
      <c r="EA2" s="7">
        <f t="shared" ref="EA2" si="99">DZ2+1</f>
        <v>2127</v>
      </c>
      <c r="EB2" s="7">
        <f t="shared" ref="EB2" si="100">EA2+1</f>
        <v>2128</v>
      </c>
      <c r="EC2" s="7">
        <f t="shared" ref="EC2" si="101">EB2+1</f>
        <v>2129</v>
      </c>
      <c r="ED2" s="7">
        <f t="shared" ref="ED2" si="102">EC2+1</f>
        <v>2130</v>
      </c>
      <c r="EE2" s="7">
        <f t="shared" ref="EE2" si="103">ED2+1</f>
        <v>2131</v>
      </c>
      <c r="EF2" s="7">
        <f t="shared" ref="EF2" si="104">EE2+1</f>
        <v>2132</v>
      </c>
      <c r="EG2" s="7">
        <f t="shared" ref="EG2" si="105">EF2+1</f>
        <v>2133</v>
      </c>
      <c r="EH2" s="7">
        <f t="shared" ref="EH2" si="106">EG2+1</f>
        <v>2134</v>
      </c>
      <c r="EI2" s="7">
        <f t="shared" ref="EI2" si="107">EH2+1</f>
        <v>2135</v>
      </c>
      <c r="EJ2" s="7">
        <f t="shared" ref="EJ2" si="108">EI2+1</f>
        <v>2136</v>
      </c>
      <c r="EK2" s="7">
        <f t="shared" ref="EK2" si="109">EJ2+1</f>
        <v>2137</v>
      </c>
      <c r="EL2" s="7">
        <f t="shared" ref="EL2" si="110">EK2+1</f>
        <v>2138</v>
      </c>
      <c r="EM2" s="7">
        <f t="shared" ref="EM2" si="111">EL2+1</f>
        <v>2139</v>
      </c>
      <c r="EN2" s="7">
        <f t="shared" ref="EN2" si="112">EM2+1</f>
        <v>2140</v>
      </c>
      <c r="EO2" s="7">
        <f t="shared" ref="EO2" si="113">EN2+1</f>
        <v>2141</v>
      </c>
      <c r="EP2" s="7">
        <f t="shared" ref="EP2" si="114">EO2+1</f>
        <v>2142</v>
      </c>
      <c r="EQ2" s="7">
        <f t="shared" ref="EQ2" si="115">EP2+1</f>
        <v>2143</v>
      </c>
      <c r="ER2" s="7">
        <f t="shared" ref="ER2" si="116">EQ2+1</f>
        <v>2144</v>
      </c>
      <c r="ES2" s="7">
        <f t="shared" ref="ES2" si="117">ER2+1</f>
        <v>2145</v>
      </c>
      <c r="ET2" s="7">
        <f t="shared" ref="ET2" si="118">ES2+1</f>
        <v>2146</v>
      </c>
      <c r="EU2" s="7">
        <f t="shared" ref="EU2" si="119">ET2+1</f>
        <v>2147</v>
      </c>
      <c r="EV2" s="7">
        <f t="shared" ref="EV2" si="120">EU2+1</f>
        <v>2148</v>
      </c>
      <c r="EW2" s="7">
        <f t="shared" ref="EW2" si="121">EV2+1</f>
        <v>2149</v>
      </c>
      <c r="EX2" s="7">
        <f t="shared" ref="EX2" si="122">EW2+1</f>
        <v>2150</v>
      </c>
      <c r="EY2" s="7">
        <f t="shared" ref="EY2" si="123">EX2+1</f>
        <v>2151</v>
      </c>
      <c r="EZ2" s="7">
        <f t="shared" ref="EZ2" si="124">EY2+1</f>
        <v>2152</v>
      </c>
      <c r="FA2" s="7" t="s">
        <v>107</v>
      </c>
    </row>
    <row r="3" spans="1:157" s="8" customFormat="1" x14ac:dyDescent="0.25">
      <c r="B3" s="8" t="s">
        <v>115</v>
      </c>
      <c r="K3" s="8">
        <v>168440</v>
      </c>
      <c r="L3" s="8">
        <v>165855</v>
      </c>
      <c r="M3" s="8">
        <v>139912</v>
      </c>
      <c r="O3" s="8">
        <v>154051</v>
      </c>
      <c r="P3" s="8">
        <v>146813</v>
      </c>
      <c r="Q3" s="8">
        <v>119804</v>
      </c>
    </row>
    <row r="4" spans="1:157" s="8" customFormat="1" x14ac:dyDescent="0.25">
      <c r="B4" s="8" t="s">
        <v>116</v>
      </c>
      <c r="K4" s="8">
        <v>19161</v>
      </c>
      <c r="L4" s="8">
        <v>16998</v>
      </c>
      <c r="M4" s="8">
        <v>17942</v>
      </c>
      <c r="O4" s="8">
        <v>20299</v>
      </c>
      <c r="P4" s="8">
        <v>16334</v>
      </c>
      <c r="Q4" s="8">
        <v>16789</v>
      </c>
    </row>
    <row r="5" spans="1:157" s="3" customFormat="1" x14ac:dyDescent="0.25">
      <c r="B5" s="3" t="s">
        <v>19</v>
      </c>
      <c r="C5" s="4">
        <v>198378</v>
      </c>
      <c r="D5" s="4">
        <v>198478</v>
      </c>
      <c r="E5" s="4">
        <v>171942</v>
      </c>
      <c r="F5" s="4">
        <f>+SUM(Y5)-SUM(C5:E5)</f>
        <v>207467</v>
      </c>
      <c r="G5" s="4">
        <v>202244</v>
      </c>
      <c r="H5" s="4">
        <v>194721</v>
      </c>
      <c r="I5" s="4">
        <v>164739</v>
      </c>
      <c r="J5" s="4">
        <f>+SUM(Z5)-SUM(G5:I5)</f>
        <v>205193</v>
      </c>
      <c r="K5" s="4">
        <v>187601</v>
      </c>
      <c r="L5" s="4">
        <v>182853</v>
      </c>
      <c r="M5" s="4">
        <v>157854</v>
      </c>
      <c r="N5" s="4">
        <f>+SUM(AA5)-SUM(K5:M5)</f>
        <v>187987</v>
      </c>
      <c r="O5" s="4">
        <v>174350</v>
      </c>
      <c r="P5" s="4">
        <v>163147</v>
      </c>
      <c r="Q5" s="4">
        <f>+SUM(Q3:Q4)</f>
        <v>136593</v>
      </c>
      <c r="R5" s="4"/>
      <c r="S5" s="4"/>
      <c r="T5" s="4"/>
      <c r="U5" s="4"/>
      <c r="V5" s="4">
        <v>321084</v>
      </c>
      <c r="W5" s="4">
        <v>410926</v>
      </c>
      <c r="X5" s="4">
        <v>644338</v>
      </c>
      <c r="Y5" s="4">
        <v>776265</v>
      </c>
      <c r="Z5" s="4">
        <v>766897</v>
      </c>
      <c r="AA5" s="4">
        <v>716295</v>
      </c>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FA5" s="3" t="s">
        <v>107</v>
      </c>
    </row>
    <row r="6" spans="1:157" x14ac:dyDescent="0.25">
      <c r="B6" s="7" t="s">
        <v>20</v>
      </c>
      <c r="C6" s="8">
        <v>71384</v>
      </c>
      <c r="D6" s="8">
        <v>60708</v>
      </c>
      <c r="E6" s="8">
        <v>67102</v>
      </c>
      <c r="F6" s="8">
        <f>+SUM(Y6)-SUM(C6:E6)</f>
        <v>55710</v>
      </c>
      <c r="G6" s="8">
        <v>55085</v>
      </c>
      <c r="H6" s="8">
        <v>45684</v>
      </c>
      <c r="I6" s="8">
        <v>45203</v>
      </c>
      <c r="J6" s="8">
        <f>+SUM(Z6)-SUM(G6:I6)</f>
        <v>51424</v>
      </c>
      <c r="K6" s="8">
        <v>49150</v>
      </c>
      <c r="L6" s="8">
        <v>47412</v>
      </c>
      <c r="M6" s="8">
        <v>83575</v>
      </c>
      <c r="N6" s="8">
        <f>+SUM(AA6)-SUM(K6:M6)</f>
        <v>45804</v>
      </c>
      <c r="O6" s="8">
        <v>46497</v>
      </c>
      <c r="P6" s="8">
        <v>45411</v>
      </c>
      <c r="Q6" s="8">
        <v>43420</v>
      </c>
      <c r="R6" s="8"/>
      <c r="S6" s="8"/>
      <c r="T6" s="8"/>
      <c r="U6" s="8"/>
      <c r="V6" s="8">
        <v>79996</v>
      </c>
      <c r="W6" s="8">
        <v>92182</v>
      </c>
      <c r="X6" s="8">
        <v>205417</v>
      </c>
      <c r="Y6" s="8">
        <v>254904</v>
      </c>
      <c r="Z6" s="8">
        <v>197396</v>
      </c>
      <c r="AA6" s="8">
        <v>225941</v>
      </c>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FA6" s="7" t="s">
        <v>107</v>
      </c>
    </row>
    <row r="7" spans="1:157" x14ac:dyDescent="0.25">
      <c r="B7" s="7" t="s">
        <v>21</v>
      </c>
      <c r="C7" s="8">
        <f t="shared" ref="C7:L7" si="125">+C5-C6</f>
        <v>126994</v>
      </c>
      <c r="D7" s="8">
        <f t="shared" si="125"/>
        <v>137770</v>
      </c>
      <c r="E7" s="8">
        <f t="shared" si="125"/>
        <v>104840</v>
      </c>
      <c r="F7" s="8">
        <f t="shared" si="125"/>
        <v>151757</v>
      </c>
      <c r="G7" s="8">
        <f t="shared" si="125"/>
        <v>147159</v>
      </c>
      <c r="H7" s="8">
        <f t="shared" si="125"/>
        <v>149037</v>
      </c>
      <c r="I7" s="8">
        <f t="shared" si="125"/>
        <v>119536</v>
      </c>
      <c r="J7" s="8">
        <f t="shared" si="125"/>
        <v>153769</v>
      </c>
      <c r="K7" s="8">
        <f t="shared" si="125"/>
        <v>138451</v>
      </c>
      <c r="L7" s="8">
        <f t="shared" si="125"/>
        <v>135441</v>
      </c>
      <c r="M7" s="8">
        <f t="shared" ref="M7" si="126">+M5-M6</f>
        <v>74279</v>
      </c>
      <c r="N7" s="8">
        <f t="shared" ref="N7:N21" si="127">+SUM(AA7)-SUM(K7:M7)</f>
        <v>142183</v>
      </c>
      <c r="O7" s="8">
        <f>+O5-O6</f>
        <v>127853</v>
      </c>
      <c r="P7" s="8">
        <f>+P5-P6</f>
        <v>117736</v>
      </c>
      <c r="Q7" s="8">
        <f>+Q5-Q6</f>
        <v>93173</v>
      </c>
      <c r="R7" s="8"/>
      <c r="S7" s="8"/>
      <c r="T7" s="8"/>
      <c r="U7" s="8"/>
      <c r="V7" s="8">
        <f t="shared" ref="V7:AA7" si="128">+V5-V6</f>
        <v>241088</v>
      </c>
      <c r="W7" s="8">
        <f t="shared" si="128"/>
        <v>318744</v>
      </c>
      <c r="X7" s="8">
        <f t="shared" si="128"/>
        <v>438921</v>
      </c>
      <c r="Y7" s="8">
        <f t="shared" si="128"/>
        <v>521361</v>
      </c>
      <c r="Z7" s="8">
        <f t="shared" si="128"/>
        <v>569501</v>
      </c>
      <c r="AA7" s="8">
        <f t="shared" si="128"/>
        <v>490354</v>
      </c>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FA7" s="7" t="s">
        <v>107</v>
      </c>
    </row>
    <row r="8" spans="1:157" x14ac:dyDescent="0.25">
      <c r="B8" s="7" t="s">
        <v>23</v>
      </c>
      <c r="C8" s="8">
        <v>46131</v>
      </c>
      <c r="D8" s="8">
        <v>41595</v>
      </c>
      <c r="E8" s="8">
        <v>43269</v>
      </c>
      <c r="F8" s="8">
        <f t="shared" ref="F8:F21" si="129">+SUM(Y8)-SUM(C8:E8)</f>
        <v>47826</v>
      </c>
      <c r="G8" s="8">
        <v>52415</v>
      </c>
      <c r="H8" s="8">
        <v>52480</v>
      </c>
      <c r="I8" s="8">
        <v>45426</v>
      </c>
      <c r="J8" s="8">
        <f t="shared" ref="J8:J21" si="130">+SUM(Z8)-SUM(G8:I8)</f>
        <v>46316</v>
      </c>
      <c r="K8" s="8">
        <v>46907</v>
      </c>
      <c r="L8" s="8">
        <v>52872</v>
      </c>
      <c r="M8" s="8">
        <v>46202</v>
      </c>
      <c r="N8" s="8">
        <f t="shared" si="127"/>
        <v>45724</v>
      </c>
      <c r="O8" s="8">
        <v>44435</v>
      </c>
      <c r="P8" s="8">
        <v>43651</v>
      </c>
      <c r="Q8" s="8">
        <v>41337</v>
      </c>
      <c r="R8" s="8"/>
      <c r="S8" s="8"/>
      <c r="T8" s="8"/>
      <c r="U8" s="8"/>
      <c r="V8" s="8">
        <v>114291</v>
      </c>
      <c r="W8" s="8">
        <v>139772</v>
      </c>
      <c r="X8" s="8">
        <v>170905</v>
      </c>
      <c r="Y8" s="8">
        <v>178821</v>
      </c>
      <c r="Z8" s="8">
        <v>196637</v>
      </c>
      <c r="AA8" s="8">
        <v>191705</v>
      </c>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FA8" s="7" t="s">
        <v>107</v>
      </c>
    </row>
    <row r="9" spans="1:157" x14ac:dyDescent="0.25">
      <c r="B9" s="7" t="s">
        <v>24</v>
      </c>
      <c r="C9" s="8">
        <v>26214</v>
      </c>
      <c r="D9" s="8">
        <v>21686</v>
      </c>
      <c r="E9" s="8">
        <v>27239</v>
      </c>
      <c r="F9" s="8">
        <f t="shared" si="129"/>
        <v>30275</v>
      </c>
      <c r="G9" s="8">
        <v>42498</v>
      </c>
      <c r="H9" s="8">
        <v>35279</v>
      </c>
      <c r="I9" s="8">
        <v>31803</v>
      </c>
      <c r="J9" s="8">
        <f t="shared" si="130"/>
        <v>38080</v>
      </c>
      <c r="K9" s="8">
        <v>37017</v>
      </c>
      <c r="L9" s="8">
        <v>30956</v>
      </c>
      <c r="M9" s="8">
        <v>28872</v>
      </c>
      <c r="N9" s="8">
        <f t="shared" si="127"/>
        <v>29746</v>
      </c>
      <c r="O9" s="8">
        <v>30375</v>
      </c>
      <c r="P9" s="8">
        <v>23545</v>
      </c>
      <c r="Q9" s="8">
        <v>26508</v>
      </c>
      <c r="R9" s="8"/>
      <c r="S9" s="8"/>
      <c r="T9" s="8"/>
      <c r="U9" s="8"/>
      <c r="V9" s="8">
        <v>54714</v>
      </c>
      <c r="W9" s="8">
        <v>63569</v>
      </c>
      <c r="X9" s="8">
        <v>81914</v>
      </c>
      <c r="Y9" s="8">
        <v>105414</v>
      </c>
      <c r="Z9" s="8">
        <v>147660</v>
      </c>
      <c r="AA9" s="8">
        <v>126591</v>
      </c>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FA9" s="7" t="s">
        <v>107</v>
      </c>
    </row>
    <row r="10" spans="1:157" x14ac:dyDescent="0.25">
      <c r="B10" s="7" t="s">
        <v>25</v>
      </c>
      <c r="C10" s="8">
        <v>37870</v>
      </c>
      <c r="D10" s="8">
        <v>39719</v>
      </c>
      <c r="E10" s="8">
        <v>33971</v>
      </c>
      <c r="F10" s="8">
        <f t="shared" si="129"/>
        <v>47459</v>
      </c>
      <c r="G10" s="8">
        <v>46870</v>
      </c>
      <c r="H10" s="8">
        <v>53935</v>
      </c>
      <c r="I10" s="8">
        <v>53742</v>
      </c>
      <c r="J10" s="8">
        <f t="shared" si="130"/>
        <v>61700</v>
      </c>
      <c r="K10" s="8">
        <v>58973</v>
      </c>
      <c r="L10" s="8">
        <v>70309</v>
      </c>
      <c r="M10" s="8">
        <v>57075</v>
      </c>
      <c r="N10" s="8">
        <f t="shared" si="127"/>
        <v>53426</v>
      </c>
      <c r="O10" s="8">
        <v>55534</v>
      </c>
      <c r="P10" s="8">
        <v>54016</v>
      </c>
      <c r="Q10" s="8">
        <v>51910</v>
      </c>
      <c r="R10" s="8"/>
      <c r="S10" s="8"/>
      <c r="T10" s="8"/>
      <c r="U10" s="8"/>
      <c r="V10" s="8">
        <v>77714</v>
      </c>
      <c r="W10" s="8">
        <v>97489</v>
      </c>
      <c r="X10" s="8">
        <v>129349</v>
      </c>
      <c r="Y10" s="8">
        <v>159019</v>
      </c>
      <c r="Z10" s="8">
        <v>216247</v>
      </c>
      <c r="AA10" s="8">
        <v>239783</v>
      </c>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FA10" s="7" t="s">
        <v>107</v>
      </c>
    </row>
    <row r="11" spans="1:157" x14ac:dyDescent="0.25">
      <c r="B11" s="7" t="s">
        <v>120</v>
      </c>
      <c r="C11" s="8" t="s">
        <v>61</v>
      </c>
      <c r="D11" s="8" t="s">
        <v>61</v>
      </c>
      <c r="E11" s="8" t="s">
        <v>61</v>
      </c>
      <c r="F11" s="8">
        <f t="shared" si="129"/>
        <v>0</v>
      </c>
      <c r="G11" s="8" t="s">
        <v>61</v>
      </c>
      <c r="H11" s="8" t="s">
        <v>61</v>
      </c>
      <c r="I11" s="8" t="s">
        <v>61</v>
      </c>
      <c r="J11" s="8">
        <f t="shared" si="130"/>
        <v>0</v>
      </c>
      <c r="K11" s="8" t="s">
        <v>61</v>
      </c>
      <c r="L11" s="8" t="s">
        <v>61</v>
      </c>
      <c r="M11" s="8" t="s">
        <v>61</v>
      </c>
      <c r="N11" s="8">
        <f t="shared" si="127"/>
        <v>0</v>
      </c>
      <c r="O11" s="8"/>
      <c r="P11" s="13" t="s">
        <v>61</v>
      </c>
      <c r="Q11" s="13" t="s">
        <v>61</v>
      </c>
      <c r="R11" s="8"/>
      <c r="S11" s="8"/>
      <c r="T11" s="8"/>
      <c r="U11" s="8"/>
      <c r="V11" s="8">
        <v>589</v>
      </c>
      <c r="W11" s="8">
        <v>97</v>
      </c>
      <c r="X11" s="8"/>
      <c r="Y11" s="8"/>
      <c r="Z11" s="8"/>
      <c r="AA11" s="17" t="s">
        <v>61</v>
      </c>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row>
    <row r="12" spans="1:157" x14ac:dyDescent="0.25">
      <c r="B12" s="7" t="s">
        <v>114</v>
      </c>
      <c r="C12" s="8" t="s">
        <v>61</v>
      </c>
      <c r="D12" s="8" t="s">
        <v>61</v>
      </c>
      <c r="E12" s="8" t="s">
        <v>61</v>
      </c>
      <c r="F12" s="8">
        <f t="shared" si="129"/>
        <v>0</v>
      </c>
      <c r="G12" s="8" t="s">
        <v>61</v>
      </c>
      <c r="H12" s="8" t="s">
        <v>61</v>
      </c>
      <c r="I12" s="8" t="s">
        <v>61</v>
      </c>
      <c r="J12" s="8">
        <f t="shared" si="130"/>
        <v>0</v>
      </c>
      <c r="K12" s="8" t="s">
        <v>61</v>
      </c>
      <c r="L12" s="8" t="s">
        <v>61</v>
      </c>
      <c r="M12" s="8" t="s">
        <v>61</v>
      </c>
      <c r="N12" s="8">
        <f t="shared" si="127"/>
        <v>0</v>
      </c>
      <c r="O12" s="8"/>
      <c r="P12" s="8">
        <v>481531</v>
      </c>
      <c r="Q12" s="8">
        <v>195708</v>
      </c>
      <c r="R12" s="8"/>
      <c r="S12" s="8"/>
      <c r="T12" s="8"/>
      <c r="U12" s="8"/>
      <c r="V12" s="8" t="s">
        <v>61</v>
      </c>
      <c r="W12" s="8" t="s">
        <v>61</v>
      </c>
      <c r="X12" s="8" t="s">
        <v>61</v>
      </c>
      <c r="Y12" s="8" t="s">
        <v>61</v>
      </c>
      <c r="Z12" s="8"/>
      <c r="AA12" s="17" t="s">
        <v>61</v>
      </c>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row>
    <row r="13" spans="1:157" x14ac:dyDescent="0.25">
      <c r="B13" s="7" t="s">
        <v>26</v>
      </c>
      <c r="C13" s="8">
        <f t="shared" ref="C13:L13" si="131">+SUM(C8:C12)</f>
        <v>110215</v>
      </c>
      <c r="D13" s="8">
        <f t="shared" si="131"/>
        <v>103000</v>
      </c>
      <c r="E13" s="8">
        <f t="shared" si="131"/>
        <v>104479</v>
      </c>
      <c r="F13" s="8">
        <f t="shared" si="131"/>
        <v>125560</v>
      </c>
      <c r="G13" s="8">
        <f t="shared" si="131"/>
        <v>141783</v>
      </c>
      <c r="H13" s="8">
        <f t="shared" si="131"/>
        <v>141694</v>
      </c>
      <c r="I13" s="8">
        <f t="shared" si="131"/>
        <v>130971</v>
      </c>
      <c r="J13" s="8">
        <f t="shared" si="131"/>
        <v>146096</v>
      </c>
      <c r="K13" s="8">
        <f t="shared" si="131"/>
        <v>142897</v>
      </c>
      <c r="L13" s="8">
        <f t="shared" si="131"/>
        <v>154137</v>
      </c>
      <c r="M13" s="8">
        <f t="shared" ref="M13" si="132">+SUM(M8:M12)</f>
        <v>132149</v>
      </c>
      <c r="N13" s="8">
        <f t="shared" si="127"/>
        <v>128896</v>
      </c>
      <c r="O13" s="8">
        <f>+SUM(O8:O12)</f>
        <v>130344</v>
      </c>
      <c r="P13" s="8">
        <f>+SUM(P8:P12)</f>
        <v>602743</v>
      </c>
      <c r="Q13" s="8">
        <f>+SUM(Q8:Q12)</f>
        <v>315463</v>
      </c>
      <c r="R13" s="8"/>
      <c r="S13" s="8"/>
      <c r="T13" s="8"/>
      <c r="U13" s="8"/>
      <c r="V13" s="8">
        <f t="shared" ref="V13:AA13" si="133">+SUM(V8:V12)</f>
        <v>247308</v>
      </c>
      <c r="W13" s="8">
        <f t="shared" si="133"/>
        <v>300927</v>
      </c>
      <c r="X13" s="8">
        <f t="shared" si="133"/>
        <v>382168</v>
      </c>
      <c r="Y13" s="8">
        <f t="shared" si="133"/>
        <v>443254</v>
      </c>
      <c r="Z13" s="8">
        <f t="shared" si="133"/>
        <v>560544</v>
      </c>
      <c r="AA13" s="8">
        <f t="shared" si="133"/>
        <v>558079</v>
      </c>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FA13" s="7" t="s">
        <v>107</v>
      </c>
    </row>
    <row r="14" spans="1:157" x14ac:dyDescent="0.25">
      <c r="B14" s="7" t="s">
        <v>27</v>
      </c>
      <c r="C14" s="8">
        <f t="shared" ref="C14:L14" si="134">+C7-C13</f>
        <v>16779</v>
      </c>
      <c r="D14" s="8">
        <f t="shared" si="134"/>
        <v>34770</v>
      </c>
      <c r="E14" s="8">
        <f t="shared" si="134"/>
        <v>361</v>
      </c>
      <c r="F14" s="8">
        <f t="shared" si="134"/>
        <v>26197</v>
      </c>
      <c r="G14" s="8">
        <f t="shared" si="134"/>
        <v>5376</v>
      </c>
      <c r="H14" s="8">
        <f t="shared" si="134"/>
        <v>7343</v>
      </c>
      <c r="I14" s="8">
        <f t="shared" si="134"/>
        <v>-11435</v>
      </c>
      <c r="J14" s="8">
        <f t="shared" si="134"/>
        <v>7673</v>
      </c>
      <c r="K14" s="8">
        <f t="shared" si="134"/>
        <v>-4446</v>
      </c>
      <c r="L14" s="8">
        <f t="shared" si="134"/>
        <v>-18696</v>
      </c>
      <c r="M14" s="8">
        <v>-57870</v>
      </c>
      <c r="N14" s="8">
        <f t="shared" si="127"/>
        <v>13287</v>
      </c>
      <c r="O14" s="8">
        <f>+O7-O13</f>
        <v>-2491</v>
      </c>
      <c r="P14" s="8">
        <f>+P7-P13</f>
        <v>-485007</v>
      </c>
      <c r="Q14" s="8">
        <f>+Q7-Q13</f>
        <v>-222290</v>
      </c>
      <c r="R14" s="8"/>
      <c r="S14" s="8"/>
      <c r="T14" s="8"/>
      <c r="U14" s="8"/>
      <c r="V14" s="8">
        <f t="shared" ref="V14:AA14" si="135">+V7-V13</f>
        <v>-6220</v>
      </c>
      <c r="W14" s="8">
        <f t="shared" si="135"/>
        <v>17817</v>
      </c>
      <c r="X14" s="8">
        <f t="shared" si="135"/>
        <v>56753</v>
      </c>
      <c r="Y14" s="8">
        <f t="shared" si="135"/>
        <v>78107</v>
      </c>
      <c r="Z14" s="8">
        <f t="shared" si="135"/>
        <v>8957</v>
      </c>
      <c r="AA14" s="8">
        <f t="shared" si="135"/>
        <v>-67725</v>
      </c>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FA14" s="7" t="s">
        <v>107</v>
      </c>
    </row>
    <row r="15" spans="1:157" x14ac:dyDescent="0.25">
      <c r="B15" s="7" t="s">
        <v>28</v>
      </c>
      <c r="C15" s="8">
        <v>-1929</v>
      </c>
      <c r="D15" s="8">
        <v>-1701</v>
      </c>
      <c r="E15" s="8">
        <v>-1633</v>
      </c>
      <c r="F15" s="8">
        <f t="shared" si="129"/>
        <v>-1633</v>
      </c>
      <c r="G15" s="8">
        <v>-1597</v>
      </c>
      <c r="H15" s="8">
        <v>-1616</v>
      </c>
      <c r="I15" s="8">
        <v>-1525</v>
      </c>
      <c r="J15" s="8">
        <f t="shared" si="130"/>
        <v>-1302</v>
      </c>
      <c r="K15" s="8">
        <v>-1268</v>
      </c>
      <c r="L15" s="8">
        <v>-1114</v>
      </c>
      <c r="M15" s="8">
        <v>-733</v>
      </c>
      <c r="N15" s="8">
        <f t="shared" si="127"/>
        <v>-658</v>
      </c>
      <c r="O15" s="8">
        <v>-650</v>
      </c>
      <c r="P15" s="8">
        <v>-651</v>
      </c>
      <c r="Q15" s="8">
        <v>-658</v>
      </c>
      <c r="R15" s="8"/>
      <c r="S15" s="8"/>
      <c r="T15" s="8"/>
      <c r="U15" s="8"/>
      <c r="V15" s="8">
        <v>-11225</v>
      </c>
      <c r="W15" s="8">
        <v>-44851</v>
      </c>
      <c r="X15" s="8">
        <v>-66297</v>
      </c>
      <c r="Y15" s="8">
        <v>-6896</v>
      </c>
      <c r="Z15" s="8">
        <v>-6040</v>
      </c>
      <c r="AA15" s="8">
        <v>-3773</v>
      </c>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FA15" s="7" t="s">
        <v>107</v>
      </c>
    </row>
    <row r="16" spans="1:157" x14ac:dyDescent="0.25">
      <c r="B16" s="7" t="s">
        <v>29</v>
      </c>
      <c r="C16" s="8">
        <v>-77208</v>
      </c>
      <c r="D16" s="8">
        <v>1920</v>
      </c>
      <c r="E16" s="8">
        <v>8670</v>
      </c>
      <c r="F16" s="8">
        <f t="shared" si="129"/>
        <v>1146</v>
      </c>
      <c r="G16" s="8">
        <v>6180</v>
      </c>
      <c r="H16" s="8">
        <v>1809</v>
      </c>
      <c r="I16" s="8">
        <v>97258</v>
      </c>
      <c r="J16" s="8">
        <f t="shared" si="130"/>
        <v>-4218</v>
      </c>
      <c r="K16" s="8">
        <v>12076</v>
      </c>
      <c r="L16" s="8">
        <v>64103</v>
      </c>
      <c r="M16" s="8">
        <v>40492</v>
      </c>
      <c r="N16" s="8">
        <f t="shared" si="127"/>
        <v>5139</v>
      </c>
      <c r="O16" s="8">
        <v>10780</v>
      </c>
      <c r="P16" s="8">
        <v>7119</v>
      </c>
      <c r="Q16" s="8">
        <v>7586</v>
      </c>
      <c r="R16" s="8"/>
      <c r="S16" s="8"/>
      <c r="T16" s="8"/>
      <c r="U16" s="8"/>
      <c r="V16" s="8">
        <v>3987</v>
      </c>
      <c r="W16" s="8">
        <v>20063</v>
      </c>
      <c r="X16" s="8">
        <v>8683</v>
      </c>
      <c r="Y16" s="8">
        <v>-65472</v>
      </c>
      <c r="Z16" s="8">
        <v>101029</v>
      </c>
      <c r="AA16" s="8">
        <v>121810</v>
      </c>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FA16" s="7" t="s">
        <v>107</v>
      </c>
    </row>
    <row r="17" spans="2:157" x14ac:dyDescent="0.25">
      <c r="B17" s="7" t="s">
        <v>30</v>
      </c>
      <c r="C17" s="8">
        <f>+SUM(C15:C16)</f>
        <v>-79137</v>
      </c>
      <c r="D17" s="8">
        <f>+SUM(D15:D16)</f>
        <v>219</v>
      </c>
      <c r="E17" s="8">
        <f>+SUM(E15:E16)</f>
        <v>7037</v>
      </c>
      <c r="F17" s="8">
        <f t="shared" si="129"/>
        <v>-487</v>
      </c>
      <c r="G17" s="8">
        <f>+SUM(G15:G16)</f>
        <v>4583</v>
      </c>
      <c r="H17" s="8">
        <f>+SUM(H15:H16)</f>
        <v>193</v>
      </c>
      <c r="I17" s="8">
        <f>+SUM(I15:I16)</f>
        <v>95733</v>
      </c>
      <c r="J17" s="8">
        <f t="shared" si="130"/>
        <v>-5520</v>
      </c>
      <c r="K17" s="8">
        <f>+SUM(K15:K16)</f>
        <v>10808</v>
      </c>
      <c r="L17" s="8">
        <f>+SUM(L15:L16)</f>
        <v>62989</v>
      </c>
      <c r="M17" s="8">
        <f>+SUM(M15:M16)</f>
        <v>39759</v>
      </c>
      <c r="N17" s="8">
        <f t="shared" si="127"/>
        <v>4481</v>
      </c>
      <c r="O17" s="8">
        <f>+SUM(O15:O16)</f>
        <v>10130</v>
      </c>
      <c r="P17" s="8">
        <f>+SUM(P15:P16)</f>
        <v>6468</v>
      </c>
      <c r="Q17" s="8">
        <f>+SUM(Q15:Q16)</f>
        <v>6928</v>
      </c>
      <c r="R17" s="8"/>
      <c r="S17" s="8"/>
      <c r="T17" s="8"/>
      <c r="U17" s="8"/>
      <c r="V17" s="8">
        <f t="shared" ref="V17:AA17" si="136">+SUM(V15:V16)</f>
        <v>-7238</v>
      </c>
      <c r="W17" s="8">
        <f t="shared" si="136"/>
        <v>-24788</v>
      </c>
      <c r="X17" s="8">
        <f t="shared" si="136"/>
        <v>-57614</v>
      </c>
      <c r="Y17" s="8">
        <f t="shared" si="136"/>
        <v>-72368</v>
      </c>
      <c r="Z17" s="8">
        <f t="shared" si="136"/>
        <v>94989</v>
      </c>
      <c r="AA17" s="8">
        <f t="shared" si="136"/>
        <v>118037</v>
      </c>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FA17" s="7" t="s">
        <v>107</v>
      </c>
    </row>
    <row r="18" spans="2:157" x14ac:dyDescent="0.25">
      <c r="B18" s="7" t="s">
        <v>31</v>
      </c>
      <c r="C18" s="8">
        <f t="shared" ref="C18:L18" si="137">+C14+C17</f>
        <v>-62358</v>
      </c>
      <c r="D18" s="8">
        <f t="shared" si="137"/>
        <v>34989</v>
      </c>
      <c r="E18" s="8">
        <f t="shared" si="137"/>
        <v>7398</v>
      </c>
      <c r="F18" s="8">
        <f t="shared" si="137"/>
        <v>25710</v>
      </c>
      <c r="G18" s="8">
        <f t="shared" si="137"/>
        <v>9959</v>
      </c>
      <c r="H18" s="8">
        <f t="shared" si="137"/>
        <v>7536</v>
      </c>
      <c r="I18" s="8">
        <f t="shared" si="137"/>
        <v>84298</v>
      </c>
      <c r="J18" s="8">
        <f t="shared" si="137"/>
        <v>2153</v>
      </c>
      <c r="K18" s="8">
        <f t="shared" si="137"/>
        <v>6362</v>
      </c>
      <c r="L18" s="8">
        <f t="shared" si="137"/>
        <v>44293</v>
      </c>
      <c r="M18" s="8">
        <f t="shared" ref="M18" si="138">+M14+M17</f>
        <v>-18111</v>
      </c>
      <c r="N18" s="8">
        <f t="shared" si="127"/>
        <v>17768</v>
      </c>
      <c r="O18" s="8">
        <f>+O14+O17</f>
        <v>7639</v>
      </c>
      <c r="P18" s="8">
        <f>+P14+P17</f>
        <v>-478539</v>
      </c>
      <c r="Q18" s="8">
        <f>+Q14+Q17</f>
        <v>-215362</v>
      </c>
      <c r="R18" s="8"/>
      <c r="S18" s="8"/>
      <c r="T18" s="8"/>
      <c r="U18" s="8"/>
      <c r="V18" s="8">
        <f t="shared" ref="V18:AA18" si="139">+V14+V17</f>
        <v>-13458</v>
      </c>
      <c r="W18" s="8">
        <f t="shared" si="139"/>
        <v>-6971</v>
      </c>
      <c r="X18" s="8">
        <f t="shared" si="139"/>
        <v>-861</v>
      </c>
      <c r="Y18" s="8">
        <f t="shared" si="139"/>
        <v>5739</v>
      </c>
      <c r="Z18" s="8">
        <f t="shared" si="139"/>
        <v>103946</v>
      </c>
      <c r="AA18" s="8">
        <f t="shared" si="139"/>
        <v>50312</v>
      </c>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FA18" s="7" t="s">
        <v>107</v>
      </c>
    </row>
    <row r="19" spans="2:157" x14ac:dyDescent="0.25">
      <c r="B19" s="7" t="s">
        <v>32</v>
      </c>
      <c r="C19" s="8">
        <v>-2821</v>
      </c>
      <c r="D19" s="8">
        <v>-2225</v>
      </c>
      <c r="E19" s="8">
        <v>-747</v>
      </c>
      <c r="F19" s="8">
        <f t="shared" si="129"/>
        <v>-1404</v>
      </c>
      <c r="G19" s="8">
        <v>-4217</v>
      </c>
      <c r="H19" s="8">
        <v>-60</v>
      </c>
      <c r="I19" s="8">
        <v>167264</v>
      </c>
      <c r="J19" s="8">
        <f t="shared" si="130"/>
        <v>-295</v>
      </c>
      <c r="K19" s="8">
        <v>-4176</v>
      </c>
      <c r="L19" s="8">
        <v>-19681</v>
      </c>
      <c r="M19" s="8">
        <v>-172</v>
      </c>
      <c r="N19" s="8">
        <f t="shared" si="127"/>
        <v>-8103</v>
      </c>
      <c r="O19" s="8">
        <v>-9059</v>
      </c>
      <c r="P19" s="8">
        <v>-138345</v>
      </c>
      <c r="Q19" s="8">
        <v>2723</v>
      </c>
      <c r="R19" s="8"/>
      <c r="S19" s="8"/>
      <c r="T19" s="8"/>
      <c r="U19" s="8"/>
      <c r="V19" s="8">
        <v>1430</v>
      </c>
      <c r="W19" s="8">
        <v>2634</v>
      </c>
      <c r="X19" s="8">
        <v>5360</v>
      </c>
      <c r="Y19" s="8">
        <v>-7197</v>
      </c>
      <c r="Z19" s="8">
        <v>162692</v>
      </c>
      <c r="AA19" s="8">
        <v>-32132</v>
      </c>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FA19" s="7" t="s">
        <v>107</v>
      </c>
    </row>
    <row r="20" spans="2:157" x14ac:dyDescent="0.25">
      <c r="B20" s="15" t="s">
        <v>131</v>
      </c>
      <c r="C20" s="8">
        <f t="shared" ref="C20:L20" si="140">+SUM(C18:C19)</f>
        <v>-65179</v>
      </c>
      <c r="D20" s="8">
        <f t="shared" si="140"/>
        <v>32764</v>
      </c>
      <c r="E20" s="8">
        <f t="shared" si="140"/>
        <v>6651</v>
      </c>
      <c r="F20" s="8">
        <f t="shared" si="140"/>
        <v>24306</v>
      </c>
      <c r="G20" s="8">
        <f t="shared" si="140"/>
        <v>5742</v>
      </c>
      <c r="H20" s="8">
        <f t="shared" si="140"/>
        <v>7476</v>
      </c>
      <c r="I20" s="8">
        <f t="shared" si="140"/>
        <v>251562</v>
      </c>
      <c r="J20" s="8">
        <f t="shared" si="140"/>
        <v>1858</v>
      </c>
      <c r="K20" s="8">
        <f t="shared" si="140"/>
        <v>2186</v>
      </c>
      <c r="L20" s="8">
        <f t="shared" si="140"/>
        <v>24612</v>
      </c>
      <c r="M20" s="8">
        <f t="shared" ref="M20" si="141">+SUM(M18:M19)</f>
        <v>-18283</v>
      </c>
      <c r="N20" s="8">
        <f t="shared" si="127"/>
        <v>9665</v>
      </c>
      <c r="O20" s="8">
        <f>+SUM(O18:O19)</f>
        <v>-1420</v>
      </c>
      <c r="P20" s="8">
        <f>+SUM(P18:P19)</f>
        <v>-616884</v>
      </c>
      <c r="Q20" s="8">
        <f>+SUM(Q18:Q19)</f>
        <v>-212639</v>
      </c>
      <c r="R20" s="8"/>
      <c r="S20" s="8"/>
      <c r="T20" s="8"/>
      <c r="U20" s="8"/>
      <c r="V20" s="8">
        <f>+V18-V19</f>
        <v>-14888</v>
      </c>
      <c r="W20" s="8">
        <f>+W18-W19</f>
        <v>-9605</v>
      </c>
      <c r="X20" s="8">
        <f>+X18-X19</f>
        <v>-6221</v>
      </c>
      <c r="Y20" s="8">
        <f>+SUM(Y18:Y19)</f>
        <v>-1458</v>
      </c>
      <c r="Z20" s="8">
        <f>+SUM(Z18:Z19)</f>
        <v>266638</v>
      </c>
      <c r="AA20" s="8">
        <f>+SUM(AA18:AA19)</f>
        <v>18180</v>
      </c>
      <c r="AB20" s="8">
        <f>+AA20*(1+$AF$25)</f>
        <v>18180</v>
      </c>
      <c r="AC20" s="8">
        <f t="shared" ref="AC20:CN20" si="142">+AB20*(1+$AF$25)</f>
        <v>18180</v>
      </c>
      <c r="AD20" s="8">
        <f t="shared" si="142"/>
        <v>18180</v>
      </c>
      <c r="AE20" s="8">
        <f t="shared" si="142"/>
        <v>18180</v>
      </c>
      <c r="AF20" s="8">
        <f t="shared" si="142"/>
        <v>18180</v>
      </c>
      <c r="AG20" s="8">
        <f t="shared" si="142"/>
        <v>18180</v>
      </c>
      <c r="AH20" s="8">
        <f t="shared" si="142"/>
        <v>18180</v>
      </c>
      <c r="AI20" s="8">
        <f t="shared" si="142"/>
        <v>18180</v>
      </c>
      <c r="AJ20" s="8">
        <f t="shared" si="142"/>
        <v>18180</v>
      </c>
      <c r="AK20" s="8">
        <f t="shared" si="142"/>
        <v>18180</v>
      </c>
      <c r="AL20" s="8">
        <f t="shared" si="142"/>
        <v>18180</v>
      </c>
      <c r="AM20" s="8">
        <f t="shared" si="142"/>
        <v>18180</v>
      </c>
      <c r="AN20" s="8">
        <f t="shared" si="142"/>
        <v>18180</v>
      </c>
      <c r="AO20" s="8">
        <f t="shared" si="142"/>
        <v>18180</v>
      </c>
      <c r="AP20" s="8">
        <f t="shared" si="142"/>
        <v>18180</v>
      </c>
      <c r="AQ20" s="8">
        <f t="shared" si="142"/>
        <v>18180</v>
      </c>
      <c r="AR20" s="8">
        <f t="shared" si="142"/>
        <v>18180</v>
      </c>
      <c r="AS20" s="8">
        <f t="shared" si="142"/>
        <v>18180</v>
      </c>
      <c r="AT20" s="8">
        <f t="shared" si="142"/>
        <v>18180</v>
      </c>
      <c r="AU20" s="8">
        <f t="shared" si="142"/>
        <v>18180</v>
      </c>
      <c r="AV20" s="8">
        <f t="shared" si="142"/>
        <v>18180</v>
      </c>
      <c r="AW20" s="8">
        <f t="shared" si="142"/>
        <v>18180</v>
      </c>
      <c r="AX20" s="8">
        <f t="shared" si="142"/>
        <v>18180</v>
      </c>
      <c r="AY20" s="8">
        <f t="shared" si="142"/>
        <v>18180</v>
      </c>
      <c r="AZ20" s="8">
        <f t="shared" si="142"/>
        <v>18180</v>
      </c>
      <c r="BA20" s="8">
        <f t="shared" si="142"/>
        <v>18180</v>
      </c>
      <c r="BB20" s="8">
        <f t="shared" si="142"/>
        <v>18180</v>
      </c>
      <c r="BC20" s="8">
        <f t="shared" si="142"/>
        <v>18180</v>
      </c>
      <c r="BD20" s="8">
        <f t="shared" si="142"/>
        <v>18180</v>
      </c>
      <c r="BE20" s="8">
        <f t="shared" si="142"/>
        <v>18180</v>
      </c>
      <c r="BF20" s="8">
        <f t="shared" si="142"/>
        <v>18180</v>
      </c>
      <c r="BG20" s="8">
        <f t="shared" si="142"/>
        <v>18180</v>
      </c>
      <c r="BH20" s="8">
        <f t="shared" si="142"/>
        <v>18180</v>
      </c>
      <c r="BI20" s="8">
        <f t="shared" si="142"/>
        <v>18180</v>
      </c>
      <c r="BJ20" s="8">
        <f t="shared" si="142"/>
        <v>18180</v>
      </c>
      <c r="BK20" s="8">
        <f t="shared" si="142"/>
        <v>18180</v>
      </c>
      <c r="BL20" s="8">
        <f t="shared" si="142"/>
        <v>18180</v>
      </c>
      <c r="BM20" s="8">
        <f t="shared" si="142"/>
        <v>18180</v>
      </c>
      <c r="BN20" s="8">
        <f t="shared" si="142"/>
        <v>18180</v>
      </c>
      <c r="BO20" s="8">
        <f t="shared" si="142"/>
        <v>18180</v>
      </c>
      <c r="BP20" s="8">
        <f t="shared" si="142"/>
        <v>18180</v>
      </c>
      <c r="BQ20" s="8">
        <f t="shared" si="142"/>
        <v>18180</v>
      </c>
      <c r="BR20" s="8">
        <f t="shared" si="142"/>
        <v>18180</v>
      </c>
      <c r="BS20" s="8">
        <f t="shared" si="142"/>
        <v>18180</v>
      </c>
      <c r="BT20" s="8">
        <f t="shared" si="142"/>
        <v>18180</v>
      </c>
      <c r="BU20" s="8">
        <f t="shared" si="142"/>
        <v>18180</v>
      </c>
      <c r="BV20" s="8">
        <f t="shared" si="142"/>
        <v>18180</v>
      </c>
      <c r="BW20" s="8">
        <f t="shared" si="142"/>
        <v>18180</v>
      </c>
      <c r="BX20" s="8">
        <f t="shared" si="142"/>
        <v>18180</v>
      </c>
      <c r="BY20" s="8">
        <f t="shared" si="142"/>
        <v>18180</v>
      </c>
      <c r="BZ20" s="8">
        <f t="shared" si="142"/>
        <v>18180</v>
      </c>
      <c r="CA20" s="8">
        <f t="shared" si="142"/>
        <v>18180</v>
      </c>
      <c r="CB20" s="8">
        <f t="shared" si="142"/>
        <v>18180</v>
      </c>
      <c r="CC20" s="8">
        <f t="shared" si="142"/>
        <v>18180</v>
      </c>
      <c r="CD20" s="8">
        <f t="shared" si="142"/>
        <v>18180</v>
      </c>
      <c r="CE20" s="8">
        <f t="shared" si="142"/>
        <v>18180</v>
      </c>
      <c r="CF20" s="8">
        <f t="shared" si="142"/>
        <v>18180</v>
      </c>
      <c r="CG20" s="8">
        <f t="shared" si="142"/>
        <v>18180</v>
      </c>
      <c r="CH20" s="8">
        <f t="shared" si="142"/>
        <v>18180</v>
      </c>
      <c r="CI20" s="8">
        <f t="shared" si="142"/>
        <v>18180</v>
      </c>
      <c r="CJ20" s="8">
        <f t="shared" si="142"/>
        <v>18180</v>
      </c>
      <c r="CK20" s="8">
        <f t="shared" si="142"/>
        <v>18180</v>
      </c>
      <c r="CL20" s="8">
        <f t="shared" si="142"/>
        <v>18180</v>
      </c>
      <c r="CM20" s="8">
        <f t="shared" si="142"/>
        <v>18180</v>
      </c>
      <c r="CN20" s="8">
        <f t="shared" si="142"/>
        <v>18180</v>
      </c>
      <c r="CO20" s="8">
        <f t="shared" ref="CO20:EZ20" si="143">+CN20*(1+$AF$25)</f>
        <v>18180</v>
      </c>
      <c r="CP20" s="8">
        <f t="shared" si="143"/>
        <v>18180</v>
      </c>
      <c r="CQ20" s="8">
        <f t="shared" si="143"/>
        <v>18180</v>
      </c>
      <c r="CR20" s="8">
        <f t="shared" si="143"/>
        <v>18180</v>
      </c>
      <c r="CS20" s="8">
        <f t="shared" si="143"/>
        <v>18180</v>
      </c>
      <c r="CT20" s="8">
        <f t="shared" si="143"/>
        <v>18180</v>
      </c>
      <c r="CU20" s="8">
        <f t="shared" si="143"/>
        <v>18180</v>
      </c>
      <c r="CV20" s="8">
        <f t="shared" si="143"/>
        <v>18180</v>
      </c>
      <c r="CW20" s="8">
        <f t="shared" si="143"/>
        <v>18180</v>
      </c>
      <c r="CX20" s="8">
        <f t="shared" si="143"/>
        <v>18180</v>
      </c>
      <c r="CY20" s="8">
        <f t="shared" si="143"/>
        <v>18180</v>
      </c>
      <c r="CZ20" s="8">
        <f t="shared" si="143"/>
        <v>18180</v>
      </c>
      <c r="DA20" s="8">
        <f t="shared" si="143"/>
        <v>18180</v>
      </c>
      <c r="DB20" s="8">
        <f t="shared" si="143"/>
        <v>18180</v>
      </c>
      <c r="DC20" s="8">
        <f t="shared" si="143"/>
        <v>18180</v>
      </c>
      <c r="DD20" s="8">
        <f t="shared" si="143"/>
        <v>18180</v>
      </c>
      <c r="DE20" s="8">
        <f t="shared" si="143"/>
        <v>18180</v>
      </c>
      <c r="DF20" s="8">
        <f t="shared" si="143"/>
        <v>18180</v>
      </c>
      <c r="DG20" s="8">
        <f t="shared" si="143"/>
        <v>18180</v>
      </c>
      <c r="DH20" s="8">
        <f t="shared" si="143"/>
        <v>18180</v>
      </c>
      <c r="DI20" s="8">
        <f t="shared" si="143"/>
        <v>18180</v>
      </c>
      <c r="DJ20" s="8">
        <f t="shared" si="143"/>
        <v>18180</v>
      </c>
      <c r="DK20" s="8">
        <f t="shared" si="143"/>
        <v>18180</v>
      </c>
      <c r="DL20" s="8">
        <f t="shared" si="143"/>
        <v>18180</v>
      </c>
      <c r="DM20" s="8">
        <f t="shared" si="143"/>
        <v>18180</v>
      </c>
      <c r="DN20" s="8">
        <f t="shared" si="143"/>
        <v>18180</v>
      </c>
      <c r="DO20" s="8">
        <f t="shared" si="143"/>
        <v>18180</v>
      </c>
      <c r="DP20" s="8">
        <f t="shared" si="143"/>
        <v>18180</v>
      </c>
      <c r="DQ20" s="8">
        <f t="shared" si="143"/>
        <v>18180</v>
      </c>
      <c r="DR20" s="8">
        <f t="shared" si="143"/>
        <v>18180</v>
      </c>
      <c r="DS20" s="8">
        <f t="shared" si="143"/>
        <v>18180</v>
      </c>
      <c r="DT20" s="8">
        <f t="shared" si="143"/>
        <v>18180</v>
      </c>
      <c r="DU20" s="8">
        <f t="shared" si="143"/>
        <v>18180</v>
      </c>
      <c r="DV20" s="8">
        <f t="shared" si="143"/>
        <v>18180</v>
      </c>
      <c r="DW20" s="8">
        <f t="shared" si="143"/>
        <v>18180</v>
      </c>
      <c r="DX20" s="8">
        <f t="shared" si="143"/>
        <v>18180</v>
      </c>
      <c r="DY20" s="8">
        <f t="shared" si="143"/>
        <v>18180</v>
      </c>
      <c r="DZ20" s="8">
        <f t="shared" si="143"/>
        <v>18180</v>
      </c>
      <c r="EA20" s="8">
        <f t="shared" si="143"/>
        <v>18180</v>
      </c>
      <c r="EB20" s="8">
        <f t="shared" si="143"/>
        <v>18180</v>
      </c>
      <c r="EC20" s="8">
        <f t="shared" si="143"/>
        <v>18180</v>
      </c>
      <c r="ED20" s="8">
        <f t="shared" si="143"/>
        <v>18180</v>
      </c>
      <c r="EE20" s="8">
        <f t="shared" si="143"/>
        <v>18180</v>
      </c>
      <c r="EF20" s="8">
        <f t="shared" si="143"/>
        <v>18180</v>
      </c>
      <c r="EG20" s="8">
        <f t="shared" si="143"/>
        <v>18180</v>
      </c>
      <c r="EH20" s="8">
        <f t="shared" si="143"/>
        <v>18180</v>
      </c>
      <c r="EI20" s="8">
        <f t="shared" si="143"/>
        <v>18180</v>
      </c>
      <c r="EJ20" s="8">
        <f t="shared" si="143"/>
        <v>18180</v>
      </c>
      <c r="EK20" s="8">
        <f t="shared" si="143"/>
        <v>18180</v>
      </c>
      <c r="EL20" s="8">
        <f t="shared" si="143"/>
        <v>18180</v>
      </c>
      <c r="EM20" s="8">
        <f t="shared" si="143"/>
        <v>18180</v>
      </c>
      <c r="EN20" s="8">
        <f t="shared" si="143"/>
        <v>18180</v>
      </c>
      <c r="EO20" s="8">
        <f t="shared" si="143"/>
        <v>18180</v>
      </c>
      <c r="EP20" s="8">
        <f t="shared" si="143"/>
        <v>18180</v>
      </c>
      <c r="EQ20" s="8">
        <f t="shared" si="143"/>
        <v>18180</v>
      </c>
      <c r="ER20" s="8">
        <f t="shared" si="143"/>
        <v>18180</v>
      </c>
      <c r="ES20" s="8">
        <f t="shared" si="143"/>
        <v>18180</v>
      </c>
      <c r="ET20" s="8">
        <f t="shared" si="143"/>
        <v>18180</v>
      </c>
      <c r="EU20" s="8">
        <f t="shared" si="143"/>
        <v>18180</v>
      </c>
      <c r="EV20" s="8">
        <f t="shared" si="143"/>
        <v>18180</v>
      </c>
      <c r="EW20" s="8">
        <f t="shared" si="143"/>
        <v>18180</v>
      </c>
      <c r="EX20" s="8">
        <f t="shared" si="143"/>
        <v>18180</v>
      </c>
      <c r="EY20" s="8">
        <f t="shared" si="143"/>
        <v>18180</v>
      </c>
      <c r="EZ20" s="8">
        <f t="shared" si="143"/>
        <v>18180</v>
      </c>
      <c r="FA20" s="7" t="s">
        <v>107</v>
      </c>
    </row>
    <row r="21" spans="2:157" x14ac:dyDescent="0.25">
      <c r="B21" s="7" t="s">
        <v>34</v>
      </c>
      <c r="C21" s="7">
        <v>-0.49</v>
      </c>
      <c r="D21" s="7">
        <v>0.23</v>
      </c>
      <c r="E21" s="7">
        <v>0.05</v>
      </c>
      <c r="F21" s="7">
        <f t="shared" si="129"/>
        <v>0.2</v>
      </c>
      <c r="G21" s="7">
        <v>0.04</v>
      </c>
      <c r="H21" s="7">
        <v>0.06</v>
      </c>
      <c r="I21" s="7">
        <v>1.99</v>
      </c>
      <c r="J21" s="7">
        <f t="shared" si="130"/>
        <v>0</v>
      </c>
      <c r="K21" s="7">
        <v>0.02</v>
      </c>
      <c r="L21" s="7">
        <v>0.21</v>
      </c>
      <c r="M21" s="7">
        <v>-0.16</v>
      </c>
      <c r="N21" s="7">
        <f t="shared" si="127"/>
        <v>9.0000000000000024E-2</v>
      </c>
      <c r="O21" s="7">
        <v>-0.01</v>
      </c>
      <c r="P21" s="7">
        <v>-6.01</v>
      </c>
      <c r="Q21" s="7">
        <v>-2.0499999999999998</v>
      </c>
      <c r="V21" s="7">
        <v>-0.13</v>
      </c>
      <c r="W21" s="7">
        <v>-0.08</v>
      </c>
      <c r="X21" s="7">
        <v>-0.05</v>
      </c>
      <c r="Y21" s="7">
        <v>-0.01</v>
      </c>
      <c r="Z21" s="7">
        <v>2.09</v>
      </c>
      <c r="AA21" s="7">
        <v>0.16</v>
      </c>
      <c r="FA21" s="7" t="s">
        <v>107</v>
      </c>
    </row>
    <row r="22" spans="2:157" x14ac:dyDescent="0.25">
      <c r="B22" s="7" t="s">
        <v>35</v>
      </c>
      <c r="C22" s="8">
        <v>134352</v>
      </c>
      <c r="D22" s="8">
        <v>143115</v>
      </c>
      <c r="E22" s="8">
        <v>144746</v>
      </c>
      <c r="F22" s="8">
        <v>141262</v>
      </c>
      <c r="G22" s="8">
        <v>132162</v>
      </c>
      <c r="H22" s="8">
        <v>126272</v>
      </c>
      <c r="I22" s="8">
        <v>126132</v>
      </c>
      <c r="J22" s="8">
        <v>127557</v>
      </c>
      <c r="K22" s="8">
        <v>123710</v>
      </c>
      <c r="L22" s="8">
        <v>117977</v>
      </c>
      <c r="M22" s="8">
        <v>115407</v>
      </c>
      <c r="N22" s="8">
        <v>116504</v>
      </c>
      <c r="O22" s="8">
        <v>102343</v>
      </c>
      <c r="P22" s="8">
        <v>102604</v>
      </c>
      <c r="Q22" s="8">
        <v>103723</v>
      </c>
      <c r="R22" s="8"/>
      <c r="S22" s="8"/>
      <c r="T22" s="8"/>
      <c r="U22" s="8"/>
      <c r="V22" s="8">
        <v>113251</v>
      </c>
      <c r="W22" s="8">
        <v>119204</v>
      </c>
      <c r="X22" s="8">
        <v>125367</v>
      </c>
      <c r="Y22" s="8">
        <v>141262</v>
      </c>
      <c r="Z22" s="8">
        <v>127557</v>
      </c>
      <c r="AA22" s="8">
        <v>116504</v>
      </c>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FA22" s="7" t="s">
        <v>107</v>
      </c>
    </row>
    <row r="23" spans="2:157" x14ac:dyDescent="0.25">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row>
    <row r="24" spans="2:157" x14ac:dyDescent="0.25">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FA24" s="7" t="s">
        <v>107</v>
      </c>
    </row>
    <row r="25" spans="2:157" s="9" customFormat="1" x14ac:dyDescent="0.25">
      <c r="B25" s="9" t="s">
        <v>36</v>
      </c>
      <c r="C25" s="9" t="e">
        <f>+C5/#REF!-1</f>
        <v>#REF!</v>
      </c>
      <c r="D25" s="9" t="e">
        <f>+D5/#REF!-1</f>
        <v>#REF!</v>
      </c>
      <c r="E25" s="9" t="e">
        <f t="shared" ref="E25:N25" si="144">+E5/A5-1</f>
        <v>#DIV/0!</v>
      </c>
      <c r="F25" s="9" t="e">
        <f t="shared" si="144"/>
        <v>#VALUE!</v>
      </c>
      <c r="G25" s="9">
        <f t="shared" si="144"/>
        <v>1.9488048069846498E-2</v>
      </c>
      <c r="H25" s="9">
        <f t="shared" si="144"/>
        <v>-1.8929050071040621E-2</v>
      </c>
      <c r="I25" s="9">
        <f t="shared" si="144"/>
        <v>-4.1892033360086511E-2</v>
      </c>
      <c r="J25" s="9">
        <f t="shared" si="144"/>
        <v>-1.0960779304660551E-2</v>
      </c>
      <c r="K25" s="9">
        <f t="shared" si="144"/>
        <v>-7.2402642352801583E-2</v>
      </c>
      <c r="L25" s="9">
        <f t="shared" si="144"/>
        <v>-6.0948742046312399E-2</v>
      </c>
      <c r="M25" s="9">
        <f t="shared" si="144"/>
        <v>-4.1793382259210032E-2</v>
      </c>
      <c r="N25" s="9">
        <f t="shared" si="144"/>
        <v>-8.3852763008484654E-2</v>
      </c>
      <c r="O25" s="9">
        <f>+O5/K5-1</f>
        <v>-7.0633951844606413E-2</v>
      </c>
      <c r="P25" s="9">
        <f>+P5/L5-1</f>
        <v>-0.10776962915566057</v>
      </c>
      <c r="Q25" s="9">
        <f>+Q5/M5-1</f>
        <v>-0.13468774943935535</v>
      </c>
      <c r="V25" s="9" t="e">
        <f t="shared" ref="V25:AA25" si="145">+V5/U5-1</f>
        <v>#DIV/0!</v>
      </c>
      <c r="W25" s="9">
        <f t="shared" si="145"/>
        <v>0.27980839904822408</v>
      </c>
      <c r="X25" s="9">
        <f t="shared" si="145"/>
        <v>0.56801467904196867</v>
      </c>
      <c r="Y25" s="9">
        <f t="shared" si="145"/>
        <v>0.2047481290875286</v>
      </c>
      <c r="Z25" s="9">
        <f t="shared" si="145"/>
        <v>-1.206804377371129E-2</v>
      </c>
      <c r="AA25" s="9">
        <f t="shared" si="145"/>
        <v>-6.5982785171933123E-2</v>
      </c>
      <c r="AE25" s="9" t="s">
        <v>108</v>
      </c>
      <c r="AF25" s="9">
        <v>0</v>
      </c>
      <c r="FA25" s="7" t="s">
        <v>107</v>
      </c>
    </row>
    <row r="26" spans="2:157" s="9" customFormat="1" x14ac:dyDescent="0.25">
      <c r="B26" s="9" t="s">
        <v>37</v>
      </c>
      <c r="C26" s="9">
        <f t="shared" ref="C26:L26" si="146">+C19/C18*(-1)</f>
        <v>-4.5238782513871513E-2</v>
      </c>
      <c r="D26" s="9">
        <f t="shared" si="146"/>
        <v>6.3591414444539709E-2</v>
      </c>
      <c r="E26" s="9">
        <f t="shared" si="146"/>
        <v>0.10097323600973236</v>
      </c>
      <c r="F26" s="9">
        <f t="shared" si="146"/>
        <v>5.4609101516919487E-2</v>
      </c>
      <c r="G26" s="9">
        <f t="shared" si="146"/>
        <v>0.42343608796063864</v>
      </c>
      <c r="H26" s="9">
        <f t="shared" si="146"/>
        <v>7.9617834394904458E-3</v>
      </c>
      <c r="I26" s="9">
        <f t="shared" si="146"/>
        <v>-1.9841989133787279</v>
      </c>
      <c r="J26" s="9">
        <f t="shared" si="146"/>
        <v>0.13701811425917323</v>
      </c>
      <c r="K26" s="9">
        <f t="shared" si="146"/>
        <v>0.65639735932096821</v>
      </c>
      <c r="L26" s="9">
        <f t="shared" si="146"/>
        <v>0.44433657688573813</v>
      </c>
      <c r="M26" s="9">
        <f t="shared" ref="M26:N26" si="147">+M19/M18*(-1)</f>
        <v>-9.496990779084535E-3</v>
      </c>
      <c r="N26" s="9">
        <f t="shared" si="147"/>
        <v>0.45604457451598379</v>
      </c>
      <c r="O26" s="9">
        <f>+O19/O18*(-1)</f>
        <v>1.1858882052624689</v>
      </c>
      <c r="P26" s="9">
        <f>+P19/P18*(-1)</f>
        <v>-0.28909869415032002</v>
      </c>
      <c r="Q26" s="9">
        <f>+Q19/Q18*(-1)</f>
        <v>1.26438276018982E-2</v>
      </c>
      <c r="V26" s="9">
        <f t="shared" ref="V26:AA26" si="148">+V19/V18*(-1)</f>
        <v>0.10625650170902065</v>
      </c>
      <c r="W26" s="9">
        <f t="shared" si="148"/>
        <v>0.3778510974035289</v>
      </c>
      <c r="X26" s="9">
        <f t="shared" si="148"/>
        <v>6.2253193960511037</v>
      </c>
      <c r="Y26" s="9">
        <f t="shared" si="148"/>
        <v>1.25405122843701</v>
      </c>
      <c r="Z26" s="9">
        <f t="shared" si="148"/>
        <v>-1.565158832470706</v>
      </c>
      <c r="AA26" s="9">
        <f t="shared" si="148"/>
        <v>0.63865479408491022</v>
      </c>
      <c r="AE26" s="9" t="s">
        <v>109</v>
      </c>
      <c r="AF26" s="9">
        <v>0.1</v>
      </c>
      <c r="FA26" s="7" t="s">
        <v>107</v>
      </c>
    </row>
    <row r="27" spans="2:157" s="9" customFormat="1" x14ac:dyDescent="0.25">
      <c r="B27" s="9" t="s">
        <v>38</v>
      </c>
      <c r="C27" s="9">
        <f t="shared" ref="C27:L27" si="149">+C7/C5</f>
        <v>0.64016171148010359</v>
      </c>
      <c r="D27" s="9">
        <f t="shared" si="149"/>
        <v>0.69413234716190209</v>
      </c>
      <c r="E27" s="9">
        <f t="shared" si="149"/>
        <v>0.60974049388747364</v>
      </c>
      <c r="F27" s="9">
        <f t="shared" si="149"/>
        <v>0.73147536716682648</v>
      </c>
      <c r="G27" s="9">
        <f t="shared" si="149"/>
        <v>0.72763098039991303</v>
      </c>
      <c r="H27" s="9">
        <f t="shared" si="149"/>
        <v>0.76538740043446774</v>
      </c>
      <c r="I27" s="9">
        <f t="shared" si="149"/>
        <v>0.72560838659940874</v>
      </c>
      <c r="J27" s="9">
        <f t="shared" si="149"/>
        <v>0.74938716233009894</v>
      </c>
      <c r="K27" s="9">
        <f t="shared" si="149"/>
        <v>0.73800779313543108</v>
      </c>
      <c r="L27" s="9">
        <f t="shared" si="149"/>
        <v>0.74070975045528376</v>
      </c>
      <c r="M27" s="9">
        <f t="shared" ref="M27:N27" si="150">+M7/M5</f>
        <v>0.47055506987469436</v>
      </c>
      <c r="N27" s="9">
        <f t="shared" si="150"/>
        <v>0.75634485363349591</v>
      </c>
      <c r="O27" s="9">
        <f>+O7/O5</f>
        <v>0.73331230283911675</v>
      </c>
      <c r="P27" s="9">
        <f>+P7/P5</f>
        <v>0.72165592992822425</v>
      </c>
      <c r="Q27" s="9">
        <f>+Q7/Q5</f>
        <v>0.6821213385751832</v>
      </c>
      <c r="V27" s="9">
        <f t="shared" ref="V27:AA27" si="151">+V7/V5</f>
        <v>0.75085647369535702</v>
      </c>
      <c r="W27" s="9">
        <f t="shared" si="151"/>
        <v>0.77567250551194133</v>
      </c>
      <c r="X27" s="9">
        <f t="shared" si="151"/>
        <v>0.68119682526872538</v>
      </c>
      <c r="Y27" s="9">
        <f t="shared" si="151"/>
        <v>0.67162760139900679</v>
      </c>
      <c r="Z27" s="9">
        <f t="shared" si="151"/>
        <v>0.74260428714677462</v>
      </c>
      <c r="AA27" s="9">
        <f t="shared" si="151"/>
        <v>0.68456990485763547</v>
      </c>
      <c r="AE27" s="9" t="s">
        <v>110</v>
      </c>
      <c r="AF27" s="8">
        <f>NPV(AF26,AB20:EZ20)</f>
        <v>181799.16835593307</v>
      </c>
      <c r="AG27" s="9">
        <f ca="1">+AF27/Main!F9-1</f>
        <v>0.12810287133951226</v>
      </c>
      <c r="FA27" s="7" t="s">
        <v>107</v>
      </c>
    </row>
    <row r="28" spans="2:157" s="9" customFormat="1" x14ac:dyDescent="0.25">
      <c r="B28" s="9" t="s">
        <v>39</v>
      </c>
      <c r="C28" s="9">
        <f t="shared" ref="C28:L28" si="152">+C20/C5</f>
        <v>-0.32855961850608434</v>
      </c>
      <c r="D28" s="9">
        <f t="shared" si="152"/>
        <v>0.16507623011114583</v>
      </c>
      <c r="E28" s="9">
        <f t="shared" si="152"/>
        <v>3.8681648462853754E-2</v>
      </c>
      <c r="F28" s="9">
        <f t="shared" si="152"/>
        <v>0.11715598143319178</v>
      </c>
      <c r="G28" s="9">
        <f t="shared" si="152"/>
        <v>2.8391447953956608E-2</v>
      </c>
      <c r="H28" s="9">
        <f t="shared" si="152"/>
        <v>3.8393393624724603E-2</v>
      </c>
      <c r="I28" s="9">
        <f t="shared" si="152"/>
        <v>1.5270336714439203</v>
      </c>
      <c r="J28" s="9">
        <f t="shared" si="152"/>
        <v>9.0548897866886292E-3</v>
      </c>
      <c r="K28" s="9">
        <f t="shared" si="152"/>
        <v>1.1652389912633728E-2</v>
      </c>
      <c r="L28" s="9">
        <f t="shared" si="152"/>
        <v>0.13459992452954012</v>
      </c>
      <c r="M28" s="9">
        <f t="shared" ref="M28:N28" si="153">+M20/M5</f>
        <v>-0.11582221546492329</v>
      </c>
      <c r="N28" s="9">
        <f t="shared" si="153"/>
        <v>5.1413129631304295E-2</v>
      </c>
      <c r="O28" s="9">
        <f>+O20/O5</f>
        <v>-8.1445368511614564E-3</v>
      </c>
      <c r="P28" s="9">
        <f>+P20/P5</f>
        <v>-3.7811544190208832</v>
      </c>
      <c r="Q28" s="9">
        <f>+Q20/Q5</f>
        <v>-1.5567342396755324</v>
      </c>
      <c r="V28" s="9">
        <f t="shared" ref="V28:AA28" si="154">+V20/V5</f>
        <v>-4.6367928641726154E-2</v>
      </c>
      <c r="W28" s="9">
        <f t="shared" si="154"/>
        <v>-2.3374038147987716E-2</v>
      </c>
      <c r="X28" s="9">
        <f t="shared" si="154"/>
        <v>-9.6548705803475819E-3</v>
      </c>
      <c r="Y28" s="9">
        <f t="shared" si="154"/>
        <v>-1.8782245753705242E-3</v>
      </c>
      <c r="Z28" s="9">
        <f t="shared" si="154"/>
        <v>0.3476842392133494</v>
      </c>
      <c r="AA28" s="9">
        <f t="shared" si="154"/>
        <v>2.5380604359935503E-2</v>
      </c>
      <c r="AE28" s="9" t="s">
        <v>111</v>
      </c>
      <c r="AF28" s="8">
        <f>+AF27+Main!F10-Main!F11</f>
        <v>186271.16835593304</v>
      </c>
      <c r="FA28" s="7" t="s">
        <v>107</v>
      </c>
    </row>
    <row r="29" spans="2:157" s="9" customFormat="1" x14ac:dyDescent="0.25">
      <c r="AF29" s="8"/>
      <c r="FA29" s="7" t="s">
        <v>107</v>
      </c>
    </row>
    <row r="30" spans="2:157" x14ac:dyDescent="0.25">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t="s">
        <v>112</v>
      </c>
      <c r="AF30" s="9">
        <f ca="1">+AF28/Main!F9-1</f>
        <v>0.15585259146338659</v>
      </c>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FA30" s="7" t="s">
        <v>107</v>
      </c>
    </row>
    <row r="31" spans="2:157" x14ac:dyDescent="0.25">
      <c r="B31" s="9" t="s">
        <v>40</v>
      </c>
      <c r="C31" s="8">
        <f t="shared" ref="C31:L31" si="155">+C20</f>
        <v>-65179</v>
      </c>
      <c r="D31" s="8">
        <f t="shared" si="155"/>
        <v>32764</v>
      </c>
      <c r="E31" s="8">
        <f t="shared" si="155"/>
        <v>6651</v>
      </c>
      <c r="F31" s="8">
        <f t="shared" si="155"/>
        <v>24306</v>
      </c>
      <c r="G31" s="8">
        <f t="shared" si="155"/>
        <v>5742</v>
      </c>
      <c r="H31" s="8">
        <f t="shared" si="155"/>
        <v>7476</v>
      </c>
      <c r="I31" s="8">
        <f t="shared" si="155"/>
        <v>251562</v>
      </c>
      <c r="J31" s="8">
        <f t="shared" si="155"/>
        <v>1858</v>
      </c>
      <c r="K31" s="8">
        <f t="shared" si="155"/>
        <v>2186</v>
      </c>
      <c r="L31" s="8">
        <f t="shared" si="155"/>
        <v>24612</v>
      </c>
      <c r="M31" s="8">
        <f t="shared" ref="M31:N31" si="156">+M20</f>
        <v>-18283</v>
      </c>
      <c r="N31" s="8">
        <f t="shared" si="156"/>
        <v>9665</v>
      </c>
      <c r="O31" s="8">
        <f>+O20</f>
        <v>-1420</v>
      </c>
      <c r="P31" s="8">
        <f>+P20</f>
        <v>-616884</v>
      </c>
      <c r="Q31" s="8"/>
      <c r="R31" s="8"/>
      <c r="S31" s="8"/>
      <c r="T31" s="8"/>
      <c r="U31" s="8"/>
      <c r="V31" s="8">
        <f t="shared" ref="V31:AA31" si="157">+V20</f>
        <v>-14888</v>
      </c>
      <c r="W31" s="8">
        <f t="shared" si="157"/>
        <v>-9605</v>
      </c>
      <c r="X31" s="8">
        <f t="shared" si="157"/>
        <v>-6221</v>
      </c>
      <c r="Y31" s="8">
        <f t="shared" si="157"/>
        <v>-1458</v>
      </c>
      <c r="Z31" s="8">
        <f t="shared" si="157"/>
        <v>266638</v>
      </c>
      <c r="AA31" s="8">
        <f t="shared" si="157"/>
        <v>18180</v>
      </c>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FA31" s="7" t="s">
        <v>107</v>
      </c>
    </row>
    <row r="32" spans="2:157" x14ac:dyDescent="0.25">
      <c r="B32" s="9" t="s">
        <v>41</v>
      </c>
      <c r="C32" s="8">
        <v>-1894</v>
      </c>
      <c r="D32" s="8">
        <v>375</v>
      </c>
      <c r="E32" s="8">
        <v>-455</v>
      </c>
      <c r="F32" s="8">
        <f t="shared" ref="F32:F33" si="158">+SUM(Y32)-SUM(C32:E32)</f>
        <v>-3755</v>
      </c>
      <c r="G32" s="8">
        <v>-12917</v>
      </c>
      <c r="H32" s="8">
        <v>-2333</v>
      </c>
      <c r="I32" s="8">
        <v>-1946</v>
      </c>
      <c r="J32" s="8">
        <f t="shared" ref="J32:J33" si="159">+SUM(Z32)-SUM(G32:I32)</f>
        <v>15848</v>
      </c>
      <c r="K32" s="8">
        <v>3812</v>
      </c>
      <c r="L32" s="8">
        <v>-4420</v>
      </c>
      <c r="M32" s="8">
        <v>-322</v>
      </c>
      <c r="N32" s="8">
        <f t="shared" ref="N32:N33" si="160">+SUM(AA32)-SUM(K32:M32)</f>
        <v>6464</v>
      </c>
      <c r="O32" s="8">
        <v>-1970</v>
      </c>
      <c r="P32" s="8">
        <v>-119</v>
      </c>
      <c r="Q32" s="8"/>
      <c r="R32" s="8"/>
      <c r="S32" s="8"/>
      <c r="T32" s="8"/>
      <c r="U32" s="8"/>
      <c r="V32" s="8">
        <v>76</v>
      </c>
      <c r="W32" s="8">
        <v>668</v>
      </c>
      <c r="X32" s="8">
        <v>1037</v>
      </c>
      <c r="Y32" s="8">
        <v>-5729</v>
      </c>
      <c r="Z32" s="8">
        <v>-1348</v>
      </c>
      <c r="AA32" s="8">
        <v>5534</v>
      </c>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FA32" s="7" t="s">
        <v>107</v>
      </c>
    </row>
    <row r="33" spans="2:157" x14ac:dyDescent="0.25">
      <c r="B33" s="9" t="s">
        <v>42</v>
      </c>
      <c r="C33" s="8">
        <v>-874</v>
      </c>
      <c r="D33" s="8">
        <v>-107</v>
      </c>
      <c r="E33" s="8">
        <v>-127</v>
      </c>
      <c r="F33" s="8">
        <f t="shared" si="158"/>
        <v>-27</v>
      </c>
      <c r="G33" s="8">
        <v>-18671</v>
      </c>
      <c r="H33" s="8">
        <v>-29613</v>
      </c>
      <c r="I33" s="8">
        <v>-31056</v>
      </c>
      <c r="J33" s="8">
        <f t="shared" si="159"/>
        <v>28534</v>
      </c>
      <c r="K33" s="8">
        <v>8338</v>
      </c>
      <c r="L33" s="8">
        <v>6579</v>
      </c>
      <c r="M33" s="8">
        <v>-12925</v>
      </c>
      <c r="N33" s="8">
        <f t="shared" si="160"/>
        <v>15223</v>
      </c>
      <c r="O33" s="8">
        <v>-3963</v>
      </c>
      <c r="P33" s="8">
        <v>876</v>
      </c>
      <c r="Q33" s="8"/>
      <c r="R33" s="8"/>
      <c r="S33" s="8"/>
      <c r="T33" s="8"/>
      <c r="U33" s="8"/>
      <c r="V33" s="8">
        <v>-813</v>
      </c>
      <c r="W33" s="8">
        <v>-745</v>
      </c>
      <c r="X33" s="8">
        <v>1589</v>
      </c>
      <c r="Y33" s="8">
        <v>-1135</v>
      </c>
      <c r="Z33" s="8">
        <v>-50806</v>
      </c>
      <c r="AA33" s="8">
        <v>17215</v>
      </c>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FA33" s="7" t="s">
        <v>107</v>
      </c>
    </row>
    <row r="34" spans="2:157" x14ac:dyDescent="0.25">
      <c r="B34" s="9" t="s">
        <v>43</v>
      </c>
      <c r="C34" s="8">
        <f t="shared" ref="C34:L34" si="161">+SUM(C32:C33)</f>
        <v>-2768</v>
      </c>
      <c r="D34" s="8">
        <f t="shared" si="161"/>
        <v>268</v>
      </c>
      <c r="E34" s="8">
        <f t="shared" si="161"/>
        <v>-582</v>
      </c>
      <c r="F34" s="8">
        <f t="shared" si="161"/>
        <v>-3782</v>
      </c>
      <c r="G34" s="8">
        <f t="shared" si="161"/>
        <v>-31588</v>
      </c>
      <c r="H34" s="8">
        <f t="shared" si="161"/>
        <v>-31946</v>
      </c>
      <c r="I34" s="8">
        <f t="shared" si="161"/>
        <v>-33002</v>
      </c>
      <c r="J34" s="8">
        <f t="shared" si="161"/>
        <v>44382</v>
      </c>
      <c r="K34" s="8">
        <f t="shared" si="161"/>
        <v>12150</v>
      </c>
      <c r="L34" s="8">
        <f t="shared" si="161"/>
        <v>2159</v>
      </c>
      <c r="M34" s="8">
        <f t="shared" ref="M34:N34" si="162">+SUM(M32:M33)</f>
        <v>-13247</v>
      </c>
      <c r="N34" s="8">
        <f t="shared" si="162"/>
        <v>21687</v>
      </c>
      <c r="O34" s="8">
        <f>+SUM(O32:O33)</f>
        <v>-5933</v>
      </c>
      <c r="P34" s="8">
        <f>+SUM(P32:P33)</f>
        <v>757</v>
      </c>
      <c r="Q34" s="8"/>
      <c r="R34" s="8"/>
      <c r="S34" s="8"/>
      <c r="T34" s="8"/>
      <c r="U34" s="8"/>
      <c r="V34" s="8">
        <f t="shared" ref="V34:AA34" si="163">+SUM(V32:V33)</f>
        <v>-737</v>
      </c>
      <c r="W34" s="8">
        <f t="shared" si="163"/>
        <v>-77</v>
      </c>
      <c r="X34" s="8">
        <f t="shared" si="163"/>
        <v>2626</v>
      </c>
      <c r="Y34" s="8">
        <f t="shared" si="163"/>
        <v>-6864</v>
      </c>
      <c r="Z34" s="8">
        <f t="shared" si="163"/>
        <v>-52154</v>
      </c>
      <c r="AA34" s="8">
        <f t="shared" si="163"/>
        <v>22749</v>
      </c>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FA34" s="7" t="s">
        <v>107</v>
      </c>
    </row>
    <row r="35" spans="2:157" x14ac:dyDescent="0.25">
      <c r="B35" s="9" t="s">
        <v>44</v>
      </c>
      <c r="C35" s="8">
        <f t="shared" ref="C35:L35" si="164">+C34+C31</f>
        <v>-67947</v>
      </c>
      <c r="D35" s="8">
        <f t="shared" si="164"/>
        <v>33032</v>
      </c>
      <c r="E35" s="8">
        <f t="shared" si="164"/>
        <v>6069</v>
      </c>
      <c r="F35" s="8">
        <f t="shared" si="164"/>
        <v>20524</v>
      </c>
      <c r="G35" s="8">
        <f t="shared" si="164"/>
        <v>-25846</v>
      </c>
      <c r="H35" s="8">
        <f t="shared" si="164"/>
        <v>-24470</v>
      </c>
      <c r="I35" s="8">
        <f t="shared" si="164"/>
        <v>218560</v>
      </c>
      <c r="J35" s="8">
        <f t="shared" si="164"/>
        <v>46240</v>
      </c>
      <c r="K35" s="8">
        <f t="shared" si="164"/>
        <v>14336</v>
      </c>
      <c r="L35" s="8">
        <f t="shared" si="164"/>
        <v>26771</v>
      </c>
      <c r="M35" s="8">
        <f t="shared" ref="M35:N35" si="165">+M34+M31</f>
        <v>-31530</v>
      </c>
      <c r="N35" s="8">
        <f t="shared" si="165"/>
        <v>31352</v>
      </c>
      <c r="O35" s="8">
        <f>+O34+O31</f>
        <v>-7353</v>
      </c>
      <c r="P35" s="8">
        <f>+P34+P31</f>
        <v>-616127</v>
      </c>
      <c r="Q35" s="8"/>
      <c r="R35" s="8"/>
      <c r="S35" s="8"/>
      <c r="T35" s="8"/>
      <c r="U35" s="8"/>
      <c r="V35" s="8">
        <f t="shared" ref="V35:AA35" si="166">+V34+V31</f>
        <v>-15625</v>
      </c>
      <c r="W35" s="8">
        <f t="shared" si="166"/>
        <v>-9682</v>
      </c>
      <c r="X35" s="8">
        <f t="shared" si="166"/>
        <v>-3595</v>
      </c>
      <c r="Y35" s="8">
        <f t="shared" si="166"/>
        <v>-8322</v>
      </c>
      <c r="Z35" s="8">
        <f t="shared" si="166"/>
        <v>214484</v>
      </c>
      <c r="AA35" s="8">
        <f t="shared" si="166"/>
        <v>40929</v>
      </c>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FA35" s="7" t="s">
        <v>107</v>
      </c>
    </row>
    <row r="36" spans="2:157" x14ac:dyDescent="0.25">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FA36" s="7" t="s">
        <v>107</v>
      </c>
    </row>
    <row r="37" spans="2:157" x14ac:dyDescent="0.25">
      <c r="B37" s="9" t="s">
        <v>33</v>
      </c>
      <c r="C37" s="8">
        <f t="shared" ref="C37:N37" si="167">+C20</f>
        <v>-65179</v>
      </c>
      <c r="D37" s="8">
        <f t="shared" si="167"/>
        <v>32764</v>
      </c>
      <c r="E37" s="8">
        <f t="shared" si="167"/>
        <v>6651</v>
      </c>
      <c r="F37" s="8">
        <f t="shared" si="167"/>
        <v>24306</v>
      </c>
      <c r="G37" s="8">
        <f t="shared" si="167"/>
        <v>5742</v>
      </c>
      <c r="H37" s="8">
        <f t="shared" si="167"/>
        <v>7476</v>
      </c>
      <c r="I37" s="8">
        <f t="shared" si="167"/>
        <v>251562</v>
      </c>
      <c r="J37" s="8">
        <f t="shared" si="167"/>
        <v>1858</v>
      </c>
      <c r="K37" s="8">
        <f t="shared" si="167"/>
        <v>2186</v>
      </c>
      <c r="L37" s="8">
        <f t="shared" si="167"/>
        <v>24612</v>
      </c>
      <c r="M37" s="8">
        <f t="shared" si="167"/>
        <v>-18283</v>
      </c>
      <c r="N37" s="8">
        <f t="shared" si="167"/>
        <v>9665</v>
      </c>
      <c r="O37" s="8">
        <f>+O20</f>
        <v>-1420</v>
      </c>
      <c r="P37" s="8">
        <f>+P20</f>
        <v>-616884</v>
      </c>
      <c r="Q37" s="8">
        <f>+Q20</f>
        <v>-212639</v>
      </c>
      <c r="R37" s="8"/>
      <c r="S37" s="8"/>
      <c r="T37" s="8"/>
      <c r="U37" s="8"/>
      <c r="V37" s="8">
        <f t="shared" ref="V37:AA37" si="168">+V20</f>
        <v>-14888</v>
      </c>
      <c r="W37" s="8">
        <f t="shared" si="168"/>
        <v>-9605</v>
      </c>
      <c r="X37" s="8">
        <f t="shared" si="168"/>
        <v>-6221</v>
      </c>
      <c r="Y37" s="8">
        <f t="shared" si="168"/>
        <v>-1458</v>
      </c>
      <c r="Z37" s="8">
        <f t="shared" si="168"/>
        <v>266638</v>
      </c>
      <c r="AA37" s="8">
        <f t="shared" si="168"/>
        <v>18180</v>
      </c>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FA37" s="7" t="s">
        <v>107</v>
      </c>
    </row>
    <row r="38" spans="2:157" x14ac:dyDescent="0.25">
      <c r="B38" s="9" t="s">
        <v>45</v>
      </c>
      <c r="C38" s="8">
        <v>23100</v>
      </c>
      <c r="D38" s="8">
        <v>28545</v>
      </c>
      <c r="E38" s="8">
        <v>24512</v>
      </c>
      <c r="F38" s="8">
        <f t="shared" ref="F38:F61" si="169">+SUM(Y38)-SUM(C38:E38)</f>
        <v>32689</v>
      </c>
      <c r="G38" s="8">
        <v>33084</v>
      </c>
      <c r="H38" s="8">
        <v>31087</v>
      </c>
      <c r="I38" s="8">
        <v>34170</v>
      </c>
      <c r="J38" s="8">
        <f t="shared" ref="J38:J61" si="170">+SUM(Z38)-SUM(G38:I38)</f>
        <v>35115</v>
      </c>
      <c r="K38" s="8">
        <v>33746</v>
      </c>
      <c r="L38" s="8">
        <v>35920</v>
      </c>
      <c r="M38" s="8">
        <v>31930</v>
      </c>
      <c r="N38" s="8">
        <f t="shared" ref="N38:N61" si="171">+SUM(AA38)-SUM(K38:M38)</f>
        <v>31906</v>
      </c>
      <c r="O38" s="8">
        <v>29289</v>
      </c>
      <c r="P38" s="8">
        <v>18047</v>
      </c>
      <c r="Q38" s="8">
        <v>21931</v>
      </c>
      <c r="R38" s="8"/>
      <c r="S38" s="8"/>
      <c r="T38" s="8"/>
      <c r="U38" s="8"/>
      <c r="V38" s="8">
        <v>52030</v>
      </c>
      <c r="W38" s="8">
        <v>64909</v>
      </c>
      <c r="X38" s="8">
        <v>84055</v>
      </c>
      <c r="Y38" s="8">
        <v>108846</v>
      </c>
      <c r="Z38" s="8">
        <v>133456</v>
      </c>
      <c r="AA38" s="8">
        <v>133502</v>
      </c>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FA38" s="7" t="s">
        <v>107</v>
      </c>
    </row>
    <row r="39" spans="2:157" x14ac:dyDescent="0.25">
      <c r="B39" s="9" t="s">
        <v>93</v>
      </c>
      <c r="C39" s="8">
        <f>3760+14846</f>
        <v>18606</v>
      </c>
      <c r="D39" s="8">
        <v>18162</v>
      </c>
      <c r="E39" s="8">
        <v>18529</v>
      </c>
      <c r="F39" s="8">
        <f t="shared" si="169"/>
        <v>7977</v>
      </c>
      <c r="G39" s="8">
        <f>1521+20285</f>
        <v>21806</v>
      </c>
      <c r="H39" s="8">
        <v>21725</v>
      </c>
      <c r="I39" s="8">
        <v>22374</v>
      </c>
      <c r="J39" s="8">
        <f t="shared" si="170"/>
        <v>24092</v>
      </c>
      <c r="K39" s="8">
        <v>25543</v>
      </c>
      <c r="L39" s="8">
        <v>26484</v>
      </c>
      <c r="M39" s="8">
        <v>56918</v>
      </c>
      <c r="N39" s="8">
        <f t="shared" si="171"/>
        <v>20773</v>
      </c>
      <c r="O39" s="8">
        <v>19687</v>
      </c>
      <c r="P39" s="8">
        <v>19706</v>
      </c>
      <c r="Q39" s="8">
        <v>19573</v>
      </c>
      <c r="R39" s="8"/>
      <c r="S39" s="8"/>
      <c r="T39" s="8"/>
      <c r="U39" s="8"/>
      <c r="V39" s="8">
        <v>22805</v>
      </c>
      <c r="W39" s="8">
        <v>30247</v>
      </c>
      <c r="X39" s="8">
        <f>15397+47018</f>
        <v>62415</v>
      </c>
      <c r="Y39" s="8">
        <v>63274</v>
      </c>
      <c r="Z39" s="8">
        <v>89997</v>
      </c>
      <c r="AA39" s="8">
        <v>129718</v>
      </c>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FA39" s="7" t="s">
        <v>107</v>
      </c>
    </row>
    <row r="40" spans="2:157" x14ac:dyDescent="0.25">
      <c r="B40" s="9" t="s">
        <v>51</v>
      </c>
      <c r="C40" s="8">
        <v>1626</v>
      </c>
      <c r="D40" s="8">
        <v>1471</v>
      </c>
      <c r="E40" s="8">
        <v>1412</v>
      </c>
      <c r="F40" s="8">
        <f t="shared" si="169"/>
        <v>1413</v>
      </c>
      <c r="G40" s="8">
        <v>1382</v>
      </c>
      <c r="H40" s="8">
        <v>1397</v>
      </c>
      <c r="I40" s="8">
        <v>1305</v>
      </c>
      <c r="J40" s="8">
        <f t="shared" si="170"/>
        <v>1082</v>
      </c>
      <c r="K40" s="8">
        <v>1057</v>
      </c>
      <c r="L40" s="8">
        <v>931</v>
      </c>
      <c r="M40" s="8">
        <v>-1988</v>
      </c>
      <c r="N40" s="8">
        <f t="shared" si="171"/>
        <v>3156</v>
      </c>
      <c r="O40" s="8">
        <v>541</v>
      </c>
      <c r="P40" s="8">
        <v>540</v>
      </c>
      <c r="Q40" s="8">
        <v>547</v>
      </c>
      <c r="R40" s="8"/>
      <c r="S40" s="8"/>
      <c r="T40" s="8"/>
      <c r="U40" s="8"/>
      <c r="V40" s="8">
        <v>10494</v>
      </c>
      <c r="W40" s="8">
        <v>43202</v>
      </c>
      <c r="X40" s="8">
        <v>64573</v>
      </c>
      <c r="Y40" s="8">
        <v>5922</v>
      </c>
      <c r="Z40" s="8">
        <v>5166</v>
      </c>
      <c r="AA40" s="8">
        <v>3156</v>
      </c>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FA40" s="7" t="s">
        <v>107</v>
      </c>
    </row>
    <row r="41" spans="2:157" x14ac:dyDescent="0.25">
      <c r="B41" s="9" t="s">
        <v>46</v>
      </c>
      <c r="C41" s="8" t="s">
        <v>61</v>
      </c>
      <c r="D41" s="8">
        <v>0</v>
      </c>
      <c r="E41" s="8">
        <v>563</v>
      </c>
      <c r="F41" s="8">
        <f t="shared" si="169"/>
        <v>-1667</v>
      </c>
      <c r="G41" s="8" t="s">
        <v>61</v>
      </c>
      <c r="H41" s="8">
        <v>0</v>
      </c>
      <c r="I41" s="8">
        <v>-168225</v>
      </c>
      <c r="J41" s="8">
        <f t="shared" si="170"/>
        <v>-454</v>
      </c>
      <c r="K41" s="8">
        <v>3441</v>
      </c>
      <c r="L41" s="8">
        <v>16701</v>
      </c>
      <c r="M41" s="8">
        <v>787</v>
      </c>
      <c r="N41" s="8">
        <f t="shared" si="171"/>
        <v>5646</v>
      </c>
      <c r="O41" s="8">
        <v>2877</v>
      </c>
      <c r="P41" s="5">
        <v>138155</v>
      </c>
      <c r="Q41" s="8">
        <v>71</v>
      </c>
      <c r="R41" s="8"/>
      <c r="S41" s="8"/>
      <c r="T41" s="8"/>
      <c r="U41" s="8"/>
      <c r="V41" s="8">
        <v>-323</v>
      </c>
      <c r="W41" s="8">
        <v>-39</v>
      </c>
      <c r="X41" s="8">
        <v>-109</v>
      </c>
      <c r="Y41" s="8">
        <v>-1104</v>
      </c>
      <c r="Z41" s="8">
        <v>-168679</v>
      </c>
      <c r="AA41" s="8">
        <v>26575</v>
      </c>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FA41" s="7" t="s">
        <v>107</v>
      </c>
    </row>
    <row r="42" spans="2:157" x14ac:dyDescent="0.25">
      <c r="B42" s="9" t="s">
        <v>47</v>
      </c>
      <c r="C42" s="8">
        <v>78152</v>
      </c>
      <c r="D42" s="8">
        <v>0</v>
      </c>
      <c r="E42" s="8">
        <v>0</v>
      </c>
      <c r="F42" s="8">
        <f t="shared" si="169"/>
        <v>0</v>
      </c>
      <c r="G42" s="8" t="s">
        <v>61</v>
      </c>
      <c r="H42" s="8">
        <v>0</v>
      </c>
      <c r="I42" s="8">
        <v>-93519</v>
      </c>
      <c r="J42" s="8">
        <f t="shared" si="170"/>
        <v>0</v>
      </c>
      <c r="K42" s="8" t="s">
        <v>61</v>
      </c>
      <c r="L42" s="8">
        <v>-53777</v>
      </c>
      <c r="M42" s="8">
        <v>-32149</v>
      </c>
      <c r="N42" s="8">
        <f t="shared" si="171"/>
        <v>0</v>
      </c>
      <c r="O42" s="8" t="s">
        <v>61</v>
      </c>
      <c r="P42" s="8">
        <v>0</v>
      </c>
      <c r="Q42" s="8">
        <v>0</v>
      </c>
      <c r="R42" s="8"/>
      <c r="S42" s="8"/>
      <c r="T42" s="8"/>
      <c r="U42" s="8"/>
      <c r="V42" s="8" t="s">
        <v>61</v>
      </c>
      <c r="W42" s="8" t="s">
        <v>61</v>
      </c>
      <c r="X42" s="8">
        <v>4286</v>
      </c>
      <c r="Y42" s="8">
        <v>78152</v>
      </c>
      <c r="Z42" s="8">
        <v>-93519</v>
      </c>
      <c r="AA42" s="8">
        <v>-85926</v>
      </c>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FA42" s="7" t="s">
        <v>107</v>
      </c>
    </row>
    <row r="43" spans="2:157" x14ac:dyDescent="0.25">
      <c r="B43" s="9" t="s">
        <v>48</v>
      </c>
      <c r="C43" s="8" t="s">
        <v>61</v>
      </c>
      <c r="D43" s="8">
        <v>0</v>
      </c>
      <c r="E43" s="8">
        <v>0</v>
      </c>
      <c r="F43" s="8">
        <f t="shared" si="169"/>
        <v>0</v>
      </c>
      <c r="G43" s="8" t="s">
        <v>61</v>
      </c>
      <c r="H43" s="8">
        <v>0</v>
      </c>
      <c r="I43" s="8">
        <v>0</v>
      </c>
      <c r="J43" s="8">
        <f t="shared" si="170"/>
        <v>0</v>
      </c>
      <c r="K43" s="8" t="s">
        <v>61</v>
      </c>
      <c r="L43" s="8">
        <v>7000</v>
      </c>
      <c r="M43" s="8">
        <v>0</v>
      </c>
      <c r="N43" s="8">
        <f t="shared" si="171"/>
        <v>0</v>
      </c>
      <c r="O43" s="8" t="s">
        <v>61</v>
      </c>
      <c r="P43" s="8">
        <v>0</v>
      </c>
      <c r="Q43" s="8">
        <v>5100</v>
      </c>
      <c r="R43" s="8"/>
      <c r="S43" s="8"/>
      <c r="T43" s="8"/>
      <c r="U43" s="8"/>
      <c r="V43" s="8" t="s">
        <v>61</v>
      </c>
      <c r="W43" s="8" t="s">
        <v>61</v>
      </c>
      <c r="X43" s="8" t="s">
        <v>61</v>
      </c>
      <c r="Y43" s="8" t="s">
        <v>61</v>
      </c>
      <c r="Z43" s="8" t="s">
        <v>61</v>
      </c>
      <c r="AA43" s="8">
        <v>7000</v>
      </c>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FA43" s="7" t="s">
        <v>107</v>
      </c>
    </row>
    <row r="44" spans="2:157" x14ac:dyDescent="0.25">
      <c r="B44" s="9" t="s">
        <v>52</v>
      </c>
      <c r="C44" s="8">
        <v>1589</v>
      </c>
      <c r="D44" s="8">
        <v>1475</v>
      </c>
      <c r="E44" s="8">
        <v>1463</v>
      </c>
      <c r="F44" s="8">
        <f t="shared" si="169"/>
        <v>1467</v>
      </c>
      <c r="G44" s="8">
        <v>1640</v>
      </c>
      <c r="H44" s="8">
        <v>1602</v>
      </c>
      <c r="I44" s="8">
        <v>1504</v>
      </c>
      <c r="J44" s="8">
        <f t="shared" si="170"/>
        <v>1581</v>
      </c>
      <c r="K44" s="8">
        <v>1496</v>
      </c>
      <c r="L44" s="8">
        <v>1513</v>
      </c>
      <c r="M44" s="8">
        <v>1526</v>
      </c>
      <c r="N44" s="8">
        <f t="shared" si="171"/>
        <v>1544</v>
      </c>
      <c r="O44" s="8">
        <v>1567</v>
      </c>
      <c r="P44" s="8">
        <v>1574</v>
      </c>
      <c r="Q44" s="8">
        <v>1506</v>
      </c>
      <c r="R44" s="8"/>
      <c r="S44" s="8"/>
      <c r="T44" s="8"/>
      <c r="U44" s="8"/>
      <c r="V44" s="8" t="s">
        <v>61</v>
      </c>
      <c r="W44" s="8">
        <v>4385</v>
      </c>
      <c r="X44" s="8">
        <v>4901</v>
      </c>
      <c r="Y44" s="8">
        <v>5994</v>
      </c>
      <c r="Z44" s="8">
        <v>6327</v>
      </c>
      <c r="AA44" s="8">
        <v>6079</v>
      </c>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FA44" s="7" t="s">
        <v>107</v>
      </c>
    </row>
    <row r="45" spans="2:157" x14ac:dyDescent="0.25">
      <c r="B45" s="9" t="s">
        <v>50</v>
      </c>
      <c r="C45" s="8">
        <v>757</v>
      </c>
      <c r="D45" s="8">
        <v>285</v>
      </c>
      <c r="E45" s="8">
        <v>815</v>
      </c>
      <c r="F45" s="8">
        <f t="shared" si="169"/>
        <v>258</v>
      </c>
      <c r="G45" s="8">
        <v>626</v>
      </c>
      <c r="H45" s="8">
        <v>2141</v>
      </c>
      <c r="I45" s="8">
        <v>350</v>
      </c>
      <c r="J45" s="8">
        <f t="shared" si="170"/>
        <v>432</v>
      </c>
      <c r="K45" s="8">
        <v>120</v>
      </c>
      <c r="L45" s="8">
        <v>330</v>
      </c>
      <c r="M45" s="8">
        <v>-450</v>
      </c>
      <c r="N45" s="8">
        <f t="shared" si="171"/>
        <v>4137</v>
      </c>
      <c r="O45" s="8">
        <v>478</v>
      </c>
      <c r="P45" s="8">
        <v>1179</v>
      </c>
      <c r="Q45" s="8">
        <v>367</v>
      </c>
      <c r="R45" s="8"/>
      <c r="S45" s="8"/>
      <c r="T45" s="8"/>
      <c r="U45" s="8"/>
      <c r="V45" s="8">
        <v>93</v>
      </c>
      <c r="W45" s="8">
        <v>1009</v>
      </c>
      <c r="X45" s="8">
        <v>1211</v>
      </c>
      <c r="Y45" s="8">
        <v>2115</v>
      </c>
      <c r="Z45" s="8">
        <v>3549</v>
      </c>
      <c r="AA45" s="8">
        <v>4137</v>
      </c>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FA45" s="7" t="s">
        <v>107</v>
      </c>
    </row>
    <row r="46" spans="2:157" x14ac:dyDescent="0.25">
      <c r="B46" s="9" t="s">
        <v>49</v>
      </c>
      <c r="C46" s="8" t="s">
        <v>61</v>
      </c>
      <c r="D46" s="8">
        <v>0</v>
      </c>
      <c r="E46" s="8">
        <v>0</v>
      </c>
      <c r="F46" s="8">
        <f t="shared" si="169"/>
        <v>0</v>
      </c>
      <c r="G46" s="8" t="s">
        <v>61</v>
      </c>
      <c r="H46" s="8">
        <v>0</v>
      </c>
      <c r="I46" s="8">
        <v>0</v>
      </c>
      <c r="J46" s="8">
        <f t="shared" si="170"/>
        <v>0</v>
      </c>
      <c r="K46" s="8" t="s">
        <v>61</v>
      </c>
      <c r="L46" s="8">
        <v>0</v>
      </c>
      <c r="M46" s="8">
        <v>3600</v>
      </c>
      <c r="N46" s="8">
        <f t="shared" si="171"/>
        <v>0</v>
      </c>
      <c r="O46" s="8" t="s">
        <v>61</v>
      </c>
      <c r="P46" s="8">
        <v>481531</v>
      </c>
      <c r="Q46" s="8">
        <v>195708</v>
      </c>
      <c r="R46" s="8"/>
      <c r="S46" s="8"/>
      <c r="T46" s="8"/>
      <c r="U46" s="8"/>
      <c r="V46" s="8" t="s">
        <v>61</v>
      </c>
      <c r="W46" s="8" t="s">
        <v>61</v>
      </c>
      <c r="X46" s="8" t="s">
        <v>61</v>
      </c>
      <c r="Y46" s="8" t="s">
        <v>61</v>
      </c>
      <c r="Z46" s="8" t="s">
        <v>61</v>
      </c>
      <c r="AA46" s="8">
        <v>3600</v>
      </c>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FA46" s="7" t="s">
        <v>107</v>
      </c>
    </row>
    <row r="47" spans="2:157" x14ac:dyDescent="0.25">
      <c r="B47" s="9" t="s">
        <v>53</v>
      </c>
      <c r="C47" s="8" t="s">
        <v>61</v>
      </c>
      <c r="D47" s="8">
        <v>0</v>
      </c>
      <c r="E47" s="8">
        <v>0</v>
      </c>
      <c r="F47" s="8">
        <f t="shared" si="169"/>
        <v>178</v>
      </c>
      <c r="G47" s="8" t="s">
        <v>61</v>
      </c>
      <c r="H47" s="8">
        <v>0</v>
      </c>
      <c r="I47" s="8">
        <v>0</v>
      </c>
      <c r="J47" s="8">
        <f t="shared" si="170"/>
        <v>9675</v>
      </c>
      <c r="K47" s="8" t="s">
        <v>61</v>
      </c>
      <c r="L47" s="8">
        <v>0</v>
      </c>
      <c r="M47" s="8">
        <v>0</v>
      </c>
      <c r="N47" s="8">
        <f t="shared" si="171"/>
        <v>2106</v>
      </c>
      <c r="O47" s="8" t="s">
        <v>61</v>
      </c>
      <c r="P47" s="8">
        <v>0</v>
      </c>
      <c r="Q47" s="8">
        <v>0</v>
      </c>
      <c r="R47" s="8"/>
      <c r="S47" s="8"/>
      <c r="T47" s="8"/>
      <c r="U47" s="8"/>
      <c r="V47" s="8" t="s">
        <v>61</v>
      </c>
      <c r="W47" s="8" t="s">
        <v>61</v>
      </c>
      <c r="X47" s="8" t="s">
        <v>61</v>
      </c>
      <c r="Y47" s="8">
        <v>178</v>
      </c>
      <c r="Z47" s="8">
        <v>9675</v>
      </c>
      <c r="AA47" s="8">
        <v>2106</v>
      </c>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FA47" s="7" t="s">
        <v>107</v>
      </c>
    </row>
    <row r="48" spans="2:157" x14ac:dyDescent="0.25">
      <c r="B48" s="9" t="s">
        <v>54</v>
      </c>
      <c r="C48" s="8">
        <v>4028</v>
      </c>
      <c r="D48" s="8">
        <v>202</v>
      </c>
      <c r="E48" s="8">
        <v>4535</v>
      </c>
      <c r="F48" s="8">
        <f t="shared" si="169"/>
        <v>2191</v>
      </c>
      <c r="G48" s="8">
        <v>-610</v>
      </c>
      <c r="H48" s="8">
        <v>-4357</v>
      </c>
      <c r="I48" s="8">
        <v>-9</v>
      </c>
      <c r="J48" s="8">
        <f t="shared" si="170"/>
        <v>0</v>
      </c>
      <c r="K48" s="8" t="s">
        <v>61</v>
      </c>
      <c r="L48" s="8">
        <v>0</v>
      </c>
      <c r="M48" s="8">
        <v>0</v>
      </c>
      <c r="N48" s="8">
        <f t="shared" si="171"/>
        <v>0</v>
      </c>
      <c r="O48" s="8" t="s">
        <v>61</v>
      </c>
      <c r="P48" s="8">
        <v>0</v>
      </c>
      <c r="Q48" s="8">
        <v>0</v>
      </c>
      <c r="R48" s="8"/>
      <c r="S48" s="8"/>
      <c r="T48" s="8"/>
      <c r="U48" s="8"/>
      <c r="V48" s="8" t="s">
        <v>61</v>
      </c>
      <c r="W48" s="8" t="s">
        <v>61</v>
      </c>
      <c r="X48" s="8">
        <v>-1453</v>
      </c>
      <c r="Y48" s="8">
        <v>10956</v>
      </c>
      <c r="Z48" s="8">
        <v>-4976</v>
      </c>
      <c r="AA48" s="8" t="s">
        <v>61</v>
      </c>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FA48" s="7" t="s">
        <v>107</v>
      </c>
    </row>
    <row r="49" spans="2:157" x14ac:dyDescent="0.25">
      <c r="B49" s="9" t="s">
        <v>55</v>
      </c>
      <c r="C49" s="8" t="s">
        <v>61</v>
      </c>
      <c r="D49" s="8">
        <v>0</v>
      </c>
      <c r="E49" s="8">
        <v>0</v>
      </c>
      <c r="F49" s="8">
        <f t="shared" si="169"/>
        <v>10859</v>
      </c>
      <c r="G49" s="8" t="s">
        <v>61</v>
      </c>
      <c r="H49" s="8">
        <v>0</v>
      </c>
      <c r="I49" s="8">
        <v>0</v>
      </c>
      <c r="J49" s="8">
        <f t="shared" si="170"/>
        <v>1610</v>
      </c>
      <c r="K49" s="8" t="s">
        <v>61</v>
      </c>
      <c r="L49" s="8">
        <v>0</v>
      </c>
      <c r="M49" s="8">
        <v>0</v>
      </c>
      <c r="N49" s="8">
        <f t="shared" si="171"/>
        <v>0</v>
      </c>
      <c r="O49" s="8" t="s">
        <v>61</v>
      </c>
      <c r="P49" s="8">
        <v>0</v>
      </c>
      <c r="Q49" s="8">
        <v>0</v>
      </c>
      <c r="R49" s="8"/>
      <c r="S49" s="8"/>
      <c r="T49" s="8"/>
      <c r="U49" s="8"/>
      <c r="V49" s="8" t="s">
        <v>61</v>
      </c>
      <c r="W49" s="8" t="s">
        <v>61</v>
      </c>
      <c r="X49" s="8" t="s">
        <v>61</v>
      </c>
      <c r="Y49" s="8">
        <v>10859</v>
      </c>
      <c r="Z49" s="8">
        <v>1610</v>
      </c>
      <c r="AA49" s="8" t="s">
        <v>61</v>
      </c>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FA49" s="7" t="s">
        <v>107</v>
      </c>
    </row>
    <row r="50" spans="2:157" x14ac:dyDescent="0.25">
      <c r="B50" s="9" t="s">
        <v>56</v>
      </c>
      <c r="C50" s="8" t="s">
        <v>61</v>
      </c>
      <c r="D50" s="8">
        <v>0</v>
      </c>
      <c r="E50" s="8">
        <v>0</v>
      </c>
      <c r="F50" s="8">
        <f t="shared" si="169"/>
        <v>0</v>
      </c>
      <c r="G50" s="8">
        <v>-4628</v>
      </c>
      <c r="H50" s="8">
        <v>0</v>
      </c>
      <c r="I50" s="8">
        <v>0</v>
      </c>
      <c r="J50" s="8">
        <f t="shared" si="170"/>
        <v>0</v>
      </c>
      <c r="K50" s="8" t="s">
        <v>61</v>
      </c>
      <c r="L50" s="8">
        <v>0</v>
      </c>
      <c r="M50" s="8">
        <v>0</v>
      </c>
      <c r="N50" s="8">
        <f t="shared" si="171"/>
        <v>0</v>
      </c>
      <c r="O50" s="8" t="s">
        <v>61</v>
      </c>
      <c r="P50" s="8">
        <v>0</v>
      </c>
      <c r="Q50" s="8">
        <v>0</v>
      </c>
      <c r="R50" s="8"/>
      <c r="S50" s="8"/>
      <c r="T50" s="8"/>
      <c r="U50" s="8"/>
      <c r="V50" s="8" t="s">
        <v>61</v>
      </c>
      <c r="W50" s="8" t="s">
        <v>61</v>
      </c>
      <c r="X50" s="8" t="s">
        <v>61</v>
      </c>
      <c r="Y50" s="8" t="s">
        <v>61</v>
      </c>
      <c r="Z50" s="8">
        <v>-4628</v>
      </c>
      <c r="AA50" s="8" t="s">
        <v>61</v>
      </c>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FA50" s="7" t="s">
        <v>107</v>
      </c>
    </row>
    <row r="51" spans="2:157" x14ac:dyDescent="0.25">
      <c r="B51" s="9" t="s">
        <v>57</v>
      </c>
      <c r="C51" s="8" t="s">
        <v>61</v>
      </c>
      <c r="D51" s="8">
        <v>0</v>
      </c>
      <c r="E51" s="8">
        <v>0</v>
      </c>
      <c r="F51" s="8">
        <f t="shared" si="169"/>
        <v>0</v>
      </c>
      <c r="G51" s="8" t="s">
        <v>61</v>
      </c>
      <c r="H51" s="8">
        <v>3411</v>
      </c>
      <c r="I51" s="8">
        <v>0</v>
      </c>
      <c r="J51" s="8">
        <f t="shared" si="170"/>
        <v>1814</v>
      </c>
      <c r="K51" s="8" t="s">
        <v>61</v>
      </c>
      <c r="L51" s="8">
        <v>0</v>
      </c>
      <c r="M51" s="8">
        <v>0</v>
      </c>
      <c r="N51" s="8">
        <f t="shared" si="171"/>
        <v>0</v>
      </c>
      <c r="O51" s="8" t="s">
        <v>61</v>
      </c>
      <c r="P51" s="8">
        <v>2189</v>
      </c>
      <c r="Q51" s="8">
        <v>0</v>
      </c>
      <c r="R51" s="8"/>
      <c r="S51" s="8"/>
      <c r="T51" s="8"/>
      <c r="U51" s="8"/>
      <c r="V51" s="8" t="s">
        <v>61</v>
      </c>
      <c r="W51" s="8" t="s">
        <v>61</v>
      </c>
      <c r="X51" s="8" t="s">
        <v>61</v>
      </c>
      <c r="Y51" s="8" t="s">
        <v>61</v>
      </c>
      <c r="Z51" s="8">
        <v>5225</v>
      </c>
      <c r="AA51" s="8" t="s">
        <v>61</v>
      </c>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FA51" s="7" t="s">
        <v>107</v>
      </c>
    </row>
    <row r="52" spans="2:157" x14ac:dyDescent="0.25">
      <c r="B52" s="9" t="s">
        <v>58</v>
      </c>
      <c r="C52" s="8">
        <v>-5338</v>
      </c>
      <c r="D52" s="8">
        <v>0</v>
      </c>
      <c r="E52" s="8">
        <v>-7158</v>
      </c>
      <c r="F52" s="8">
        <f t="shared" si="169"/>
        <v>0</v>
      </c>
      <c r="G52" s="8" t="s">
        <v>61</v>
      </c>
      <c r="H52" s="8">
        <v>0</v>
      </c>
      <c r="I52" s="8">
        <v>0</v>
      </c>
      <c r="J52" s="8">
        <f t="shared" si="170"/>
        <v>0</v>
      </c>
      <c r="K52" s="8" t="s">
        <v>61</v>
      </c>
      <c r="L52" s="8">
        <v>0</v>
      </c>
      <c r="M52" s="8">
        <v>0</v>
      </c>
      <c r="N52" s="8">
        <f t="shared" si="171"/>
        <v>0</v>
      </c>
      <c r="O52" s="8" t="s">
        <v>61</v>
      </c>
      <c r="P52" s="8">
        <v>0</v>
      </c>
      <c r="Q52" s="8">
        <v>0</v>
      </c>
      <c r="R52" s="8"/>
      <c r="S52" s="8"/>
      <c r="T52" s="8"/>
      <c r="U52" s="8"/>
      <c r="V52" s="8" t="s">
        <v>61</v>
      </c>
      <c r="W52" s="8" t="s">
        <v>61</v>
      </c>
      <c r="X52" s="8" t="s">
        <v>61</v>
      </c>
      <c r="Y52" s="8">
        <v>-12496</v>
      </c>
      <c r="Z52" s="8" t="s">
        <v>61</v>
      </c>
      <c r="AA52" s="8" t="s">
        <v>61</v>
      </c>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FA52" s="7" t="s">
        <v>107</v>
      </c>
    </row>
    <row r="53" spans="2:157" x14ac:dyDescent="0.25">
      <c r="B53" s="9" t="s">
        <v>59</v>
      </c>
      <c r="C53" s="8">
        <v>7148</v>
      </c>
      <c r="D53" s="8">
        <v>0</v>
      </c>
      <c r="E53" s="8">
        <v>0</v>
      </c>
      <c r="F53" s="8">
        <f t="shared" si="169"/>
        <v>0</v>
      </c>
      <c r="G53" s="8" t="s">
        <v>61</v>
      </c>
      <c r="H53" s="8">
        <v>0</v>
      </c>
      <c r="I53" s="8">
        <v>0</v>
      </c>
      <c r="J53" s="8">
        <f t="shared" si="170"/>
        <v>0</v>
      </c>
      <c r="K53" s="8" t="s">
        <v>61</v>
      </c>
      <c r="L53" s="8">
        <v>0</v>
      </c>
      <c r="M53" s="8">
        <v>0</v>
      </c>
      <c r="N53" s="8">
        <f t="shared" si="171"/>
        <v>0</v>
      </c>
      <c r="O53" s="8" t="s">
        <v>61</v>
      </c>
      <c r="P53" s="8">
        <v>0</v>
      </c>
      <c r="Q53" s="8">
        <v>0</v>
      </c>
      <c r="R53" s="8"/>
      <c r="S53" s="8"/>
      <c r="T53" s="8"/>
      <c r="U53" s="8"/>
      <c r="V53" s="8" t="s">
        <v>61</v>
      </c>
      <c r="W53" s="8" t="s">
        <v>61</v>
      </c>
      <c r="X53" s="8" t="s">
        <v>61</v>
      </c>
      <c r="Y53" s="8">
        <v>7148</v>
      </c>
      <c r="Z53" s="8" t="s">
        <v>61</v>
      </c>
      <c r="AA53" s="8" t="s">
        <v>61</v>
      </c>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FA53" s="7" t="s">
        <v>107</v>
      </c>
    </row>
    <row r="54" spans="2:157" x14ac:dyDescent="0.25">
      <c r="B54" s="9" t="s">
        <v>60</v>
      </c>
      <c r="C54" s="8">
        <v>87</v>
      </c>
      <c r="D54" s="8">
        <v>211</v>
      </c>
      <c r="E54" s="8">
        <v>1488</v>
      </c>
      <c r="F54" s="8">
        <f t="shared" si="169"/>
        <v>-1833</v>
      </c>
      <c r="G54" s="8">
        <v>-737</v>
      </c>
      <c r="H54" s="8">
        <v>904</v>
      </c>
      <c r="I54" s="8">
        <v>452</v>
      </c>
      <c r="J54" s="8">
        <f t="shared" si="170"/>
        <v>-241</v>
      </c>
      <c r="K54" s="8">
        <v>-5</v>
      </c>
      <c r="L54" s="8">
        <v>-1078</v>
      </c>
      <c r="M54" s="8">
        <v>6882</v>
      </c>
      <c r="N54" s="8">
        <f t="shared" si="171"/>
        <v>-7027</v>
      </c>
      <c r="O54" s="8">
        <v>-31</v>
      </c>
      <c r="P54" s="8">
        <v>113</v>
      </c>
      <c r="Q54" s="8">
        <v>140</v>
      </c>
      <c r="R54" s="8"/>
      <c r="S54" s="8"/>
      <c r="T54" s="8"/>
      <c r="U54" s="8"/>
      <c r="V54" s="8">
        <v>65</v>
      </c>
      <c r="W54" s="8">
        <v>-416</v>
      </c>
      <c r="X54" s="8">
        <f>-118+10000-20433</f>
        <v>-10551</v>
      </c>
      <c r="Y54" s="8">
        <v>-47</v>
      </c>
      <c r="Z54" s="8">
        <v>378</v>
      </c>
      <c r="AA54" s="8">
        <v>-1228</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FA54" s="7" t="s">
        <v>107</v>
      </c>
    </row>
    <row r="55" spans="2:157" x14ac:dyDescent="0.25">
      <c r="B55" s="9" t="s">
        <v>62</v>
      </c>
      <c r="C55" s="8">
        <v>2240</v>
      </c>
      <c r="D55" s="8">
        <v>1222</v>
      </c>
      <c r="E55" s="8">
        <v>131</v>
      </c>
      <c r="F55" s="8">
        <f t="shared" si="169"/>
        <v>-8597</v>
      </c>
      <c r="G55" s="8">
        <v>292</v>
      </c>
      <c r="H55" s="8">
        <v>2935</v>
      </c>
      <c r="I55" s="8">
        <v>-5486</v>
      </c>
      <c r="J55" s="8">
        <f t="shared" si="170"/>
        <v>-1493</v>
      </c>
      <c r="K55" s="8">
        <v>1578</v>
      </c>
      <c r="L55" s="8">
        <v>1503</v>
      </c>
      <c r="M55" s="8">
        <v>-9989</v>
      </c>
      <c r="N55" s="8">
        <f t="shared" si="171"/>
        <v>-891</v>
      </c>
      <c r="O55" s="8">
        <v>6705</v>
      </c>
      <c r="P55" s="8">
        <v>3856</v>
      </c>
      <c r="Q55" s="8">
        <v>-2542</v>
      </c>
      <c r="R55" s="8"/>
      <c r="S55" s="8"/>
      <c r="T55" s="8"/>
      <c r="U55" s="8"/>
      <c r="V55" s="8">
        <v>-1538</v>
      </c>
      <c r="W55" s="8">
        <v>1829</v>
      </c>
      <c r="X55" s="8">
        <v>-400</v>
      </c>
      <c r="Y55" s="8">
        <v>-5004</v>
      </c>
      <c r="Z55" s="8">
        <v>-3752</v>
      </c>
      <c r="AA55" s="8">
        <v>-7799</v>
      </c>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FA55" s="7" t="s">
        <v>107</v>
      </c>
    </row>
    <row r="56" spans="2:157" x14ac:dyDescent="0.25">
      <c r="B56" s="9" t="s">
        <v>63</v>
      </c>
      <c r="C56" s="8">
        <v>-25075</v>
      </c>
      <c r="D56" s="8">
        <v>10360</v>
      </c>
      <c r="E56" s="8">
        <v>-16355</v>
      </c>
      <c r="F56" s="8">
        <f t="shared" si="169"/>
        <v>9216</v>
      </c>
      <c r="G56" s="8">
        <v>21722</v>
      </c>
      <c r="H56" s="8">
        <v>7046</v>
      </c>
      <c r="I56" s="8">
        <v>-15517</v>
      </c>
      <c r="J56" s="8">
        <f t="shared" si="170"/>
        <v>3940</v>
      </c>
      <c r="K56" s="8">
        <v>8485</v>
      </c>
      <c r="L56" s="8">
        <v>6597</v>
      </c>
      <c r="M56" s="8">
        <v>-14524</v>
      </c>
      <c r="N56" s="8">
        <f t="shared" si="171"/>
        <v>2918</v>
      </c>
      <c r="O56" s="8">
        <v>3583</v>
      </c>
      <c r="P56" s="8">
        <v>-15756</v>
      </c>
      <c r="Q56" s="8">
        <v>-43552</v>
      </c>
      <c r="R56" s="8"/>
      <c r="S56" s="8"/>
      <c r="T56" s="8"/>
      <c r="U56" s="8"/>
      <c r="V56" s="8">
        <v>-4921</v>
      </c>
      <c r="W56" s="8">
        <v>-12930</v>
      </c>
      <c r="X56" s="8">
        <v>5419</v>
      </c>
      <c r="Y56" s="8">
        <v>-21854</v>
      </c>
      <c r="Z56" s="8">
        <v>17191</v>
      </c>
      <c r="AA56" s="8">
        <v>3476</v>
      </c>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FA56" s="7" t="s">
        <v>107</v>
      </c>
    </row>
    <row r="57" spans="2:157" x14ac:dyDescent="0.25">
      <c r="B57" s="9" t="s">
        <v>64</v>
      </c>
      <c r="C57" s="8">
        <v>1058</v>
      </c>
      <c r="D57" s="8">
        <v>6162</v>
      </c>
      <c r="E57" s="8">
        <v>2252</v>
      </c>
      <c r="F57" s="8">
        <f t="shared" si="169"/>
        <v>6915</v>
      </c>
      <c r="G57" s="8">
        <v>8342</v>
      </c>
      <c r="H57" s="8">
        <v>4716</v>
      </c>
      <c r="I57" s="8">
        <v>2868</v>
      </c>
      <c r="J57" s="8">
        <f t="shared" si="170"/>
        <v>-1363</v>
      </c>
      <c r="K57" s="8">
        <v>2803</v>
      </c>
      <c r="L57" s="8">
        <v>2667</v>
      </c>
      <c r="M57" s="8">
        <v>3201</v>
      </c>
      <c r="N57" s="8">
        <f t="shared" si="171"/>
        <v>2158</v>
      </c>
      <c r="O57" s="8">
        <v>-1270</v>
      </c>
      <c r="P57" s="8">
        <v>497</v>
      </c>
      <c r="Q57" s="8">
        <v>304</v>
      </c>
      <c r="R57" s="8"/>
      <c r="S57" s="8"/>
      <c r="T57" s="8"/>
      <c r="U57" s="8"/>
      <c r="V57" s="8">
        <v>48</v>
      </c>
      <c r="W57" s="8">
        <v>-1494</v>
      </c>
      <c r="X57" s="8">
        <v>-4214</v>
      </c>
      <c r="Y57" s="8">
        <v>16387</v>
      </c>
      <c r="Z57" s="8">
        <v>14563</v>
      </c>
      <c r="AA57" s="8">
        <v>10829</v>
      </c>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FA57" s="7" t="s">
        <v>107</v>
      </c>
    </row>
    <row r="58" spans="2:157" x14ac:dyDescent="0.25">
      <c r="B58" s="9" t="s">
        <v>65</v>
      </c>
      <c r="C58" s="8">
        <v>6597</v>
      </c>
      <c r="D58" s="8">
        <v>-9736</v>
      </c>
      <c r="E58" s="8">
        <v>4959</v>
      </c>
      <c r="F58" s="8">
        <f t="shared" si="169"/>
        <v>1421</v>
      </c>
      <c r="G58" s="8">
        <v>-7534</v>
      </c>
      <c r="H58" s="8">
        <v>2288</v>
      </c>
      <c r="I58" s="8">
        <v>3518</v>
      </c>
      <c r="J58" s="8">
        <f t="shared" si="170"/>
        <v>-2416</v>
      </c>
      <c r="K58" s="8">
        <v>-336</v>
      </c>
      <c r="L58" s="8">
        <v>-335</v>
      </c>
      <c r="M58" s="8">
        <v>5491</v>
      </c>
      <c r="N58" s="8">
        <f t="shared" si="171"/>
        <v>8237</v>
      </c>
      <c r="O58" s="8">
        <v>-6589</v>
      </c>
      <c r="P58" s="8">
        <v>-5456</v>
      </c>
      <c r="Q58" s="8">
        <v>3737</v>
      </c>
      <c r="R58" s="8"/>
      <c r="S58" s="8"/>
      <c r="T58" s="8"/>
      <c r="U58" s="8"/>
      <c r="V58" s="8">
        <v>893</v>
      </c>
      <c r="W58" s="8">
        <v>-2395</v>
      </c>
      <c r="X58" s="8">
        <v>1119</v>
      </c>
      <c r="Y58" s="8">
        <v>3241</v>
      </c>
      <c r="Z58" s="8">
        <v>-4144</v>
      </c>
      <c r="AA58" s="8">
        <v>13057</v>
      </c>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FA58" s="7" t="s">
        <v>107</v>
      </c>
    </row>
    <row r="59" spans="2:157" x14ac:dyDescent="0.25">
      <c r="B59" s="9" t="s">
        <v>66</v>
      </c>
      <c r="C59" s="8">
        <v>15988</v>
      </c>
      <c r="D59" s="8">
        <v>-13926</v>
      </c>
      <c r="E59" s="8">
        <v>15301</v>
      </c>
      <c r="F59" s="8">
        <f t="shared" si="169"/>
        <v>-14840</v>
      </c>
      <c r="G59" s="8">
        <v>8554</v>
      </c>
      <c r="H59" s="8">
        <v>-4298</v>
      </c>
      <c r="I59" s="8">
        <v>7178</v>
      </c>
      <c r="J59" s="8">
        <f t="shared" si="170"/>
        <v>-3896</v>
      </c>
      <c r="K59" s="8">
        <v>2012</v>
      </c>
      <c r="L59" s="8">
        <v>-5646</v>
      </c>
      <c r="M59" s="8">
        <v>6173</v>
      </c>
      <c r="N59" s="8">
        <f t="shared" si="171"/>
        <v>-4124</v>
      </c>
      <c r="O59" s="8">
        <v>-1159</v>
      </c>
      <c r="P59" s="8">
        <v>-9067</v>
      </c>
      <c r="Q59" s="8">
        <v>-1537</v>
      </c>
      <c r="R59" s="8"/>
      <c r="S59" s="8"/>
      <c r="T59" s="8"/>
      <c r="U59" s="8"/>
      <c r="V59" s="8">
        <v>3978</v>
      </c>
      <c r="W59" s="8">
        <v>-1682</v>
      </c>
      <c r="X59" s="8">
        <v>12918</v>
      </c>
      <c r="Y59" s="8">
        <v>2523</v>
      </c>
      <c r="Z59" s="8">
        <v>7538</v>
      </c>
      <c r="AA59" s="8">
        <v>-1585</v>
      </c>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FA59" s="7" t="s">
        <v>107</v>
      </c>
    </row>
    <row r="60" spans="2:157" x14ac:dyDescent="0.25">
      <c r="B60" s="9" t="s">
        <v>67</v>
      </c>
      <c r="C60" s="8">
        <v>9386</v>
      </c>
      <c r="D60" s="8">
        <v>-5189</v>
      </c>
      <c r="E60" s="8">
        <v>6355</v>
      </c>
      <c r="F60" s="8">
        <f t="shared" si="169"/>
        <v>-5353</v>
      </c>
      <c r="G60" s="8">
        <v>-7555</v>
      </c>
      <c r="H60" s="8">
        <v>-13479</v>
      </c>
      <c r="I60" s="8">
        <v>-2289</v>
      </c>
      <c r="J60" s="8">
        <f t="shared" si="170"/>
        <v>3212</v>
      </c>
      <c r="K60" s="8">
        <v>-2569</v>
      </c>
      <c r="L60" s="8">
        <v>1133</v>
      </c>
      <c r="M60" s="8">
        <v>-4713</v>
      </c>
      <c r="N60" s="8">
        <f t="shared" si="171"/>
        <v>-1193</v>
      </c>
      <c r="O60" s="8">
        <v>640</v>
      </c>
      <c r="P60" s="8">
        <v>-4697</v>
      </c>
      <c r="Q60" s="8">
        <v>50906</v>
      </c>
      <c r="R60" s="8"/>
      <c r="S60" s="8"/>
      <c r="T60" s="8"/>
      <c r="U60" s="8"/>
      <c r="V60" s="8">
        <v>3838</v>
      </c>
      <c r="W60" s="8">
        <v>-206</v>
      </c>
      <c r="X60" s="8">
        <v>22444</v>
      </c>
      <c r="Y60" s="8">
        <v>5199</v>
      </c>
      <c r="Z60" s="8">
        <v>-20111</v>
      </c>
      <c r="AA60" s="8">
        <v>-7342</v>
      </c>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FA60" s="7" t="s">
        <v>107</v>
      </c>
    </row>
    <row r="61" spans="2:157" x14ac:dyDescent="0.25">
      <c r="B61" s="9" t="s">
        <v>68</v>
      </c>
      <c r="C61" s="8">
        <v>-1197</v>
      </c>
      <c r="D61" s="8">
        <v>-1080</v>
      </c>
      <c r="E61" s="8">
        <v>-1831</v>
      </c>
      <c r="F61" s="8">
        <f t="shared" si="169"/>
        <v>-1499</v>
      </c>
      <c r="G61" s="8">
        <v>-2091</v>
      </c>
      <c r="H61" s="8">
        <v>-874</v>
      </c>
      <c r="I61" s="8">
        <v>-2275</v>
      </c>
      <c r="J61" s="8">
        <f t="shared" si="170"/>
        <v>-528</v>
      </c>
      <c r="K61" s="8">
        <v>-6397</v>
      </c>
      <c r="L61" s="8">
        <v>-1808</v>
      </c>
      <c r="M61" s="8">
        <v>-1605</v>
      </c>
      <c r="N61" s="8">
        <f t="shared" si="171"/>
        <v>-1527</v>
      </c>
      <c r="O61" s="8">
        <v>-1580</v>
      </c>
      <c r="P61" s="8">
        <v>-1300</v>
      </c>
      <c r="Q61" s="8">
        <v>-88</v>
      </c>
      <c r="R61" s="8"/>
      <c r="S61" s="8"/>
      <c r="T61" s="8"/>
      <c r="U61" s="8"/>
      <c r="V61" s="8">
        <v>2539</v>
      </c>
      <c r="W61" s="8">
        <v>-3411</v>
      </c>
      <c r="X61" s="8">
        <v>-3951</v>
      </c>
      <c r="Y61" s="8">
        <v>-5607</v>
      </c>
      <c r="Z61" s="8">
        <v>-5768</v>
      </c>
      <c r="AA61" s="8">
        <v>-11337</v>
      </c>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FA61" s="7" t="s">
        <v>107</v>
      </c>
    </row>
    <row r="62" spans="2:157" x14ac:dyDescent="0.25">
      <c r="B62" s="9" t="s">
        <v>69</v>
      </c>
      <c r="C62" s="8">
        <f t="shared" ref="C62:N62" si="172">+SUM(C37:C61)</f>
        <v>73573</v>
      </c>
      <c r="D62" s="8">
        <f t="shared" si="172"/>
        <v>70928</v>
      </c>
      <c r="E62" s="8">
        <f t="shared" si="172"/>
        <v>63622</v>
      </c>
      <c r="F62" s="8">
        <f t="shared" si="172"/>
        <v>65101</v>
      </c>
      <c r="G62" s="8">
        <f t="shared" si="172"/>
        <v>80035</v>
      </c>
      <c r="H62" s="8">
        <f t="shared" si="172"/>
        <v>63720</v>
      </c>
      <c r="I62" s="8">
        <f t="shared" si="172"/>
        <v>37961</v>
      </c>
      <c r="J62" s="8">
        <f t="shared" si="172"/>
        <v>74020</v>
      </c>
      <c r="K62" s="8">
        <f t="shared" si="172"/>
        <v>73160</v>
      </c>
      <c r="L62" s="8">
        <f t="shared" si="172"/>
        <v>62747</v>
      </c>
      <c r="M62" s="8">
        <f t="shared" si="172"/>
        <v>32807</v>
      </c>
      <c r="N62" s="8">
        <f t="shared" si="172"/>
        <v>77484</v>
      </c>
      <c r="O62" s="8">
        <f>+SUM(O37:O61)</f>
        <v>53318</v>
      </c>
      <c r="P62" s="8">
        <f>+SUM(P37:P61)</f>
        <v>14227</v>
      </c>
      <c r="Q62" s="8">
        <f>+SUM(Q37:Q61)</f>
        <v>39532</v>
      </c>
      <c r="R62" s="8"/>
      <c r="S62" s="8"/>
      <c r="T62" s="8"/>
      <c r="U62" s="8"/>
      <c r="V62" s="8">
        <f t="shared" ref="V62:AA62" si="173">+SUM(V37:V61)</f>
        <v>75113</v>
      </c>
      <c r="W62" s="8">
        <f t="shared" si="173"/>
        <v>113403</v>
      </c>
      <c r="X62" s="8">
        <f t="shared" si="173"/>
        <v>236442</v>
      </c>
      <c r="Y62" s="8">
        <f t="shared" si="173"/>
        <v>273224</v>
      </c>
      <c r="Z62" s="8">
        <f t="shared" si="173"/>
        <v>255736</v>
      </c>
      <c r="AA62" s="8">
        <f t="shared" si="173"/>
        <v>246198</v>
      </c>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FA62" s="7" t="s">
        <v>107</v>
      </c>
    </row>
    <row r="63" spans="2:157" x14ac:dyDescent="0.25">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FA63" s="7" t="s">
        <v>107</v>
      </c>
    </row>
    <row r="64" spans="2:157" x14ac:dyDescent="0.25">
      <c r="B64" s="9" t="s">
        <v>70</v>
      </c>
      <c r="C64" s="8">
        <v>-18984</v>
      </c>
      <c r="D64" s="8">
        <v>-27611</v>
      </c>
      <c r="E64" s="8">
        <v>-20531</v>
      </c>
      <c r="F64" s="8">
        <f t="shared" ref="F64:F72" si="174">+SUM(Y64)-SUM(C64:E64)</f>
        <v>-27054</v>
      </c>
      <c r="G64" s="8">
        <v>-29533</v>
      </c>
      <c r="H64" s="8">
        <v>-27753</v>
      </c>
      <c r="I64" s="8">
        <v>-21956</v>
      </c>
      <c r="J64" s="8">
        <f t="shared" ref="J64:J72" si="175">+SUM(Z64)-SUM(G64:I64)</f>
        <v>-23850</v>
      </c>
      <c r="K64" s="8">
        <v>-17166</v>
      </c>
      <c r="L64" s="8">
        <v>-16698</v>
      </c>
      <c r="M64" s="8">
        <v>-23434</v>
      </c>
      <c r="N64" s="8">
        <f t="shared" ref="N64:N72" si="176">+SUM(AA64)-SUM(K64:M64)</f>
        <v>-25754</v>
      </c>
      <c r="O64" s="8">
        <v>-28017</v>
      </c>
      <c r="P64" s="8">
        <v>-17800</v>
      </c>
      <c r="Q64" s="8">
        <v>-15842</v>
      </c>
      <c r="R64" s="8"/>
      <c r="S64" s="8"/>
      <c r="T64" s="8"/>
      <c r="U64" s="8"/>
      <c r="V64" s="8">
        <v>-31223</v>
      </c>
      <c r="W64" s="8">
        <v>-42326</v>
      </c>
      <c r="X64" s="8">
        <v>-81317</v>
      </c>
      <c r="Y64" s="8">
        <v>-94180</v>
      </c>
      <c r="Z64" s="8">
        <v>-103092</v>
      </c>
      <c r="AA64" s="8">
        <v>-83052</v>
      </c>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FA64" s="7" t="s">
        <v>107</v>
      </c>
    </row>
    <row r="65" spans="2:157" x14ac:dyDescent="0.25">
      <c r="B65" s="9" t="s">
        <v>71</v>
      </c>
      <c r="C65" s="8">
        <v>-4527</v>
      </c>
      <c r="D65" s="8">
        <v>-491</v>
      </c>
      <c r="E65" s="8">
        <v>-5648</v>
      </c>
      <c r="F65" s="8">
        <f t="shared" si="174"/>
        <v>-265</v>
      </c>
      <c r="G65" s="8">
        <v>-3692</v>
      </c>
      <c r="H65" s="8">
        <v>-123</v>
      </c>
      <c r="I65" s="8">
        <v>0</v>
      </c>
      <c r="J65" s="8">
        <f t="shared" si="175"/>
        <v>0</v>
      </c>
      <c r="K65" s="8" t="s">
        <v>61</v>
      </c>
      <c r="L65" s="8">
        <v>0</v>
      </c>
      <c r="M65" s="8">
        <v>0</v>
      </c>
      <c r="N65" s="8">
        <f t="shared" si="176"/>
        <v>0</v>
      </c>
      <c r="O65" s="8" t="s">
        <v>61</v>
      </c>
      <c r="P65" s="8">
        <v>0</v>
      </c>
      <c r="Q65" s="8">
        <v>0</v>
      </c>
      <c r="R65" s="8"/>
      <c r="S65" s="8"/>
      <c r="T65" s="8"/>
      <c r="U65" s="8"/>
      <c r="V65" s="8" t="s">
        <v>61</v>
      </c>
      <c r="W65" s="8" t="s">
        <v>61</v>
      </c>
      <c r="X65" s="8">
        <v>-58567</v>
      </c>
      <c r="Y65" s="8">
        <v>-10931</v>
      </c>
      <c r="Z65" s="8">
        <v>-3815</v>
      </c>
      <c r="AA65" s="8" t="s">
        <v>61</v>
      </c>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FA65" s="7" t="s">
        <v>107</v>
      </c>
    </row>
    <row r="66" spans="2:157" x14ac:dyDescent="0.25">
      <c r="B66" s="9" t="s">
        <v>72</v>
      </c>
      <c r="C66" s="8">
        <v>4038</v>
      </c>
      <c r="D66" s="8">
        <v>2671</v>
      </c>
      <c r="E66" s="8">
        <v>1106</v>
      </c>
      <c r="F66" s="8">
        <f t="shared" si="174"/>
        <v>899</v>
      </c>
      <c r="G66" s="8">
        <v>2499</v>
      </c>
      <c r="H66" s="8">
        <v>-5</v>
      </c>
      <c r="I66" s="8">
        <v>9</v>
      </c>
      <c r="J66" s="8">
        <f t="shared" si="175"/>
        <v>3500</v>
      </c>
      <c r="K66" s="8" t="s">
        <v>61</v>
      </c>
      <c r="L66" s="8">
        <v>9787</v>
      </c>
      <c r="M66" s="8">
        <v>0</v>
      </c>
      <c r="N66" s="8">
        <f t="shared" si="176"/>
        <v>0</v>
      </c>
      <c r="O66" s="8" t="s">
        <v>61</v>
      </c>
      <c r="P66" s="8">
        <v>0</v>
      </c>
      <c r="Q66" s="8">
        <v>0</v>
      </c>
      <c r="R66" s="8"/>
      <c r="S66" s="8"/>
      <c r="T66" s="8"/>
      <c r="U66" s="8"/>
      <c r="V66" s="8" t="s">
        <v>61</v>
      </c>
      <c r="W66" s="8" t="s">
        <v>61</v>
      </c>
      <c r="X66" s="8">
        <v>7569</v>
      </c>
      <c r="Y66" s="8">
        <v>8714</v>
      </c>
      <c r="Z66" s="8">
        <v>6003</v>
      </c>
      <c r="AA66" s="8">
        <v>9787</v>
      </c>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FA66" s="7" t="s">
        <v>107</v>
      </c>
    </row>
    <row r="67" spans="2:157" x14ac:dyDescent="0.25">
      <c r="B67" s="9" t="s">
        <v>73</v>
      </c>
      <c r="C67" s="8">
        <v>-925748</v>
      </c>
      <c r="D67" s="8">
        <v>-58858</v>
      </c>
      <c r="E67" s="8">
        <v>-589454</v>
      </c>
      <c r="F67" s="8">
        <f t="shared" si="174"/>
        <v>-114324</v>
      </c>
      <c r="G67" s="8">
        <v>-273280</v>
      </c>
      <c r="H67" s="8">
        <v>-83273</v>
      </c>
      <c r="I67" s="8">
        <v>-177455</v>
      </c>
      <c r="J67" s="8">
        <f t="shared" si="175"/>
        <v>-196501</v>
      </c>
      <c r="K67" s="8">
        <v>-497372</v>
      </c>
      <c r="L67" s="8">
        <v>-55037</v>
      </c>
      <c r="M67" s="8">
        <v>-32866</v>
      </c>
      <c r="N67" s="8">
        <f t="shared" si="176"/>
        <v>-52664</v>
      </c>
      <c r="O67" s="8">
        <v>-79028</v>
      </c>
      <c r="P67" s="8">
        <v>-44641</v>
      </c>
      <c r="Q67" s="8">
        <v>-10544</v>
      </c>
      <c r="R67" s="8"/>
      <c r="S67" s="8"/>
      <c r="T67" s="8"/>
      <c r="U67" s="8"/>
      <c r="V67" s="8">
        <v>-146856</v>
      </c>
      <c r="W67" s="8">
        <v>-959911</v>
      </c>
      <c r="X67" s="8">
        <v>-1045564</v>
      </c>
      <c r="Y67" s="8">
        <v>-1688384</v>
      </c>
      <c r="Z67" s="8">
        <v>-730509</v>
      </c>
      <c r="AA67" s="8">
        <v>-637939</v>
      </c>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FA67" s="7" t="s">
        <v>107</v>
      </c>
    </row>
    <row r="68" spans="2:157" x14ac:dyDescent="0.25">
      <c r="B68" s="9" t="s">
        <v>74</v>
      </c>
      <c r="C68" s="8" t="s">
        <v>61</v>
      </c>
      <c r="D68" s="8">
        <v>0</v>
      </c>
      <c r="E68" s="8">
        <v>0</v>
      </c>
      <c r="F68" s="8">
        <f t="shared" si="174"/>
        <v>206041</v>
      </c>
      <c r="G68" s="8" t="s">
        <v>61</v>
      </c>
      <c r="H68" s="8">
        <v>0</v>
      </c>
      <c r="I68" s="8">
        <v>0</v>
      </c>
      <c r="J68" s="8">
        <f t="shared" si="175"/>
        <v>458489</v>
      </c>
      <c r="K68" s="8" t="s">
        <v>61</v>
      </c>
      <c r="L68" s="8">
        <v>0</v>
      </c>
      <c r="M68" s="8">
        <v>0</v>
      </c>
      <c r="N68" s="8">
        <f t="shared" si="176"/>
        <v>394533</v>
      </c>
      <c r="O68" s="8" t="s">
        <v>61</v>
      </c>
      <c r="P68" s="8">
        <v>0</v>
      </c>
      <c r="Q68" s="8">
        <v>0</v>
      </c>
      <c r="R68" s="8"/>
      <c r="S68" s="8"/>
      <c r="T68" s="8"/>
      <c r="U68" s="8"/>
      <c r="V68" s="8">
        <v>1800</v>
      </c>
      <c r="W68" s="8">
        <v>53261</v>
      </c>
      <c r="X68" s="8" t="s">
        <v>61</v>
      </c>
      <c r="Y68" s="8">
        <v>206041</v>
      </c>
      <c r="Z68" s="8">
        <v>458489</v>
      </c>
      <c r="AA68" s="8">
        <v>394533</v>
      </c>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FA68" s="7" t="s">
        <v>107</v>
      </c>
    </row>
    <row r="69" spans="2:157" x14ac:dyDescent="0.25">
      <c r="B69" s="9" t="s">
        <v>75</v>
      </c>
      <c r="C69" s="8">
        <v>181315</v>
      </c>
      <c r="D69" s="8">
        <v>274221</v>
      </c>
      <c r="E69" s="8">
        <v>437779</v>
      </c>
      <c r="F69" s="8">
        <f t="shared" si="174"/>
        <v>311472</v>
      </c>
      <c r="G69" s="8">
        <v>342059</v>
      </c>
      <c r="H69" s="8">
        <v>180407</v>
      </c>
      <c r="I69" s="8">
        <v>261446</v>
      </c>
      <c r="J69" s="8">
        <f t="shared" si="175"/>
        <v>101028</v>
      </c>
      <c r="K69" s="8">
        <v>407759</v>
      </c>
      <c r="L69" s="8">
        <v>69103</v>
      </c>
      <c r="M69" s="8">
        <v>84335</v>
      </c>
      <c r="N69" s="8">
        <f t="shared" si="176"/>
        <v>36000</v>
      </c>
      <c r="O69" s="8">
        <v>50731</v>
      </c>
      <c r="P69" s="8">
        <v>39159</v>
      </c>
      <c r="Q69" s="8">
        <v>7017</v>
      </c>
      <c r="R69" s="8"/>
      <c r="S69" s="8"/>
      <c r="T69" s="8"/>
      <c r="U69" s="8"/>
      <c r="V69" s="8">
        <v>138380</v>
      </c>
      <c r="W69" s="8">
        <v>324700</v>
      </c>
      <c r="X69" s="8">
        <v>539889</v>
      </c>
      <c r="Y69" s="8">
        <v>1204787</v>
      </c>
      <c r="Z69" s="8">
        <v>884940</v>
      </c>
      <c r="AA69" s="8">
        <v>597197</v>
      </c>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FA69" s="7" t="s">
        <v>107</v>
      </c>
    </row>
    <row r="70" spans="2:157" x14ac:dyDescent="0.25">
      <c r="B70" s="9" t="s">
        <v>76</v>
      </c>
      <c r="C70" s="8">
        <v>6845</v>
      </c>
      <c r="D70" s="8">
        <v>236</v>
      </c>
      <c r="E70" s="8">
        <v>8995</v>
      </c>
      <c r="F70" s="8">
        <f t="shared" si="174"/>
        <v>0</v>
      </c>
      <c r="G70" s="8" t="s">
        <v>61</v>
      </c>
      <c r="H70" s="8">
        <v>0</v>
      </c>
      <c r="I70" s="8">
        <v>-6000</v>
      </c>
      <c r="J70" s="8">
        <f t="shared" si="175"/>
        <v>6000</v>
      </c>
      <c r="K70" s="8" t="s">
        <v>61</v>
      </c>
      <c r="L70" s="8">
        <v>238681</v>
      </c>
      <c r="M70" s="8">
        <v>0</v>
      </c>
      <c r="N70" s="8">
        <f t="shared" si="176"/>
        <v>-238681</v>
      </c>
      <c r="O70" s="8">
        <v>15500</v>
      </c>
      <c r="P70" s="8">
        <v>0</v>
      </c>
      <c r="Q70" s="8">
        <v>0</v>
      </c>
      <c r="R70" s="8"/>
      <c r="S70" s="8"/>
      <c r="T70" s="8"/>
      <c r="U70" s="8"/>
      <c r="V70" s="8" t="s">
        <v>61</v>
      </c>
      <c r="W70" s="8" t="s">
        <v>61</v>
      </c>
      <c r="X70" s="8" t="s">
        <v>61</v>
      </c>
      <c r="Y70" s="8">
        <v>16076</v>
      </c>
      <c r="Z70" s="8" t="s">
        <v>61</v>
      </c>
      <c r="AA70" s="8" t="s">
        <v>61</v>
      </c>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FA70" s="7" t="s">
        <v>107</v>
      </c>
    </row>
    <row r="71" spans="2:157" x14ac:dyDescent="0.25">
      <c r="B71" s="9" t="s">
        <v>77</v>
      </c>
      <c r="C71" s="8">
        <v>-7891</v>
      </c>
      <c r="D71" s="8">
        <v>0</v>
      </c>
      <c r="E71" s="8">
        <v>7891</v>
      </c>
      <c r="F71" s="8">
        <f t="shared" si="174"/>
        <v>-7891</v>
      </c>
      <c r="G71" s="8">
        <v>-401125</v>
      </c>
      <c r="H71" s="8">
        <v>0</v>
      </c>
      <c r="I71" s="8">
        <v>401125</v>
      </c>
      <c r="J71" s="8">
        <f t="shared" si="175"/>
        <v>-401125</v>
      </c>
      <c r="K71" s="8" t="s">
        <v>61</v>
      </c>
      <c r="L71" s="8">
        <v>0</v>
      </c>
      <c r="M71" s="8">
        <v>0</v>
      </c>
      <c r="N71" s="8">
        <f t="shared" si="176"/>
        <v>0</v>
      </c>
      <c r="O71" s="8" t="s">
        <v>61</v>
      </c>
      <c r="P71" s="8">
        <v>0</v>
      </c>
      <c r="Q71" s="8">
        <v>0</v>
      </c>
      <c r="R71" s="8"/>
      <c r="S71" s="8"/>
      <c r="T71" s="8"/>
      <c r="U71" s="8"/>
      <c r="V71" s="8">
        <v>-34650</v>
      </c>
      <c r="W71" s="8">
        <v>-79149</v>
      </c>
      <c r="X71" s="8">
        <v>-92796</v>
      </c>
      <c r="Y71" s="8">
        <v>-7891</v>
      </c>
      <c r="Z71" s="8">
        <v>-401125</v>
      </c>
      <c r="AA71" s="8" t="s">
        <v>61</v>
      </c>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FA71" s="7" t="s">
        <v>107</v>
      </c>
    </row>
    <row r="72" spans="2:157" x14ac:dyDescent="0.25">
      <c r="B72" s="9" t="s">
        <v>78</v>
      </c>
      <c r="C72" s="8" t="s">
        <v>61</v>
      </c>
      <c r="D72" s="8">
        <v>0</v>
      </c>
      <c r="E72" s="8">
        <v>-7891</v>
      </c>
      <c r="F72" s="8">
        <f t="shared" si="174"/>
        <v>7891</v>
      </c>
      <c r="G72" s="8" t="s">
        <v>61</v>
      </c>
      <c r="H72" s="8">
        <v>0</v>
      </c>
      <c r="I72" s="8">
        <v>-401125</v>
      </c>
      <c r="J72" s="8">
        <f t="shared" si="175"/>
        <v>395125</v>
      </c>
      <c r="K72" s="8" t="s">
        <v>61</v>
      </c>
      <c r="L72" s="8">
        <v>-9604</v>
      </c>
      <c r="M72" s="8">
        <v>-2249</v>
      </c>
      <c r="N72" s="8">
        <f t="shared" si="176"/>
        <v>0</v>
      </c>
      <c r="O72" s="8" t="s">
        <v>61</v>
      </c>
      <c r="P72" s="8">
        <v>0</v>
      </c>
      <c r="Q72" s="8">
        <v>0</v>
      </c>
      <c r="R72" s="8"/>
      <c r="S72" s="8"/>
      <c r="T72" s="8"/>
      <c r="U72" s="8"/>
      <c r="V72" s="8">
        <v>-10000</v>
      </c>
      <c r="W72" s="8" t="s">
        <v>61</v>
      </c>
      <c r="X72" s="8">
        <v>-2000</v>
      </c>
      <c r="Y72" s="8" t="s">
        <v>61</v>
      </c>
      <c r="Z72" s="8">
        <v>-6000</v>
      </c>
      <c r="AA72" s="8">
        <v>-11853</v>
      </c>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FA72" s="7" t="s">
        <v>107</v>
      </c>
    </row>
    <row r="73" spans="2:157" x14ac:dyDescent="0.25">
      <c r="B73" s="9" t="s">
        <v>79</v>
      </c>
      <c r="C73" s="8">
        <f t="shared" ref="C73:N73" si="177">+SUM(C64:C72)</f>
        <v>-764952</v>
      </c>
      <c r="D73" s="8">
        <f t="shared" si="177"/>
        <v>190168</v>
      </c>
      <c r="E73" s="8">
        <f t="shared" si="177"/>
        <v>-167753</v>
      </c>
      <c r="F73" s="8">
        <f t="shared" si="177"/>
        <v>376769</v>
      </c>
      <c r="G73" s="8">
        <f t="shared" si="177"/>
        <v>-363072</v>
      </c>
      <c r="H73" s="8">
        <f t="shared" si="177"/>
        <v>69253</v>
      </c>
      <c r="I73" s="8">
        <f t="shared" si="177"/>
        <v>56044</v>
      </c>
      <c r="J73" s="8">
        <f t="shared" si="177"/>
        <v>342666</v>
      </c>
      <c r="K73" s="8">
        <f t="shared" si="177"/>
        <v>-106779</v>
      </c>
      <c r="L73" s="8">
        <f t="shared" si="177"/>
        <v>236232</v>
      </c>
      <c r="M73" s="8">
        <f t="shared" si="177"/>
        <v>25786</v>
      </c>
      <c r="N73" s="8">
        <f t="shared" si="177"/>
        <v>113434</v>
      </c>
      <c r="O73" s="8">
        <f>+SUM(O64:O72)</f>
        <v>-40814</v>
      </c>
      <c r="P73" s="8">
        <f>+SUM(P64:P72)</f>
        <v>-23282</v>
      </c>
      <c r="Q73" s="8">
        <f>+SUM(Q64:Q72)</f>
        <v>-19369</v>
      </c>
      <c r="R73" s="8"/>
      <c r="S73" s="8"/>
      <c r="T73" s="8"/>
      <c r="U73" s="8"/>
      <c r="V73" s="8">
        <f t="shared" ref="V73:AA73" si="178">+SUM(V64:V72)</f>
        <v>-82549</v>
      </c>
      <c r="W73" s="8">
        <f t="shared" si="178"/>
        <v>-703425</v>
      </c>
      <c r="X73" s="8">
        <f t="shared" si="178"/>
        <v>-732786</v>
      </c>
      <c r="Y73" s="8">
        <f t="shared" si="178"/>
        <v>-365768</v>
      </c>
      <c r="Z73" s="8">
        <f t="shared" si="178"/>
        <v>104891</v>
      </c>
      <c r="AA73" s="8">
        <f t="shared" si="178"/>
        <v>268673</v>
      </c>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FA73" s="7" t="s">
        <v>107</v>
      </c>
    </row>
    <row r="74" spans="2:157" x14ac:dyDescent="0.25">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FA74" s="7" t="s">
        <v>107</v>
      </c>
    </row>
    <row r="75" spans="2:157" x14ac:dyDescent="0.25">
      <c r="B75" s="9" t="s">
        <v>80</v>
      </c>
      <c r="C75" s="8">
        <v>347</v>
      </c>
      <c r="D75" s="8">
        <v>4920</v>
      </c>
      <c r="E75" s="8">
        <v>106</v>
      </c>
      <c r="F75" s="8">
        <f t="shared" ref="F75:F81" si="179">+SUM(Y75)-SUM(C75:E75)</f>
        <v>3514</v>
      </c>
      <c r="G75" s="8">
        <v>456</v>
      </c>
      <c r="H75" s="8">
        <v>4102</v>
      </c>
      <c r="I75" s="8">
        <v>0</v>
      </c>
      <c r="J75" s="8">
        <f t="shared" ref="J75:J81" si="180">+SUM(Z75)-SUM(G75:I75)</f>
        <v>1919</v>
      </c>
      <c r="K75" s="8">
        <v>145</v>
      </c>
      <c r="L75" s="8">
        <v>2936</v>
      </c>
      <c r="M75" s="8">
        <v>27</v>
      </c>
      <c r="N75" s="8">
        <f t="shared" ref="N75:N81" si="181">+SUM(AA75)-SUM(K75:M75)</f>
        <v>1057</v>
      </c>
      <c r="O75" s="8" t="s">
        <v>61</v>
      </c>
      <c r="P75" s="8">
        <v>2190</v>
      </c>
      <c r="Q75" s="8">
        <v>1</v>
      </c>
      <c r="R75" s="8"/>
      <c r="S75" s="8"/>
      <c r="T75" s="8"/>
      <c r="U75" s="8"/>
      <c r="V75" s="8">
        <v>29116</v>
      </c>
      <c r="W75" s="8">
        <v>35100</v>
      </c>
      <c r="X75" s="8">
        <v>15483</v>
      </c>
      <c r="Y75" s="8">
        <v>8887</v>
      </c>
      <c r="Z75" s="8">
        <v>6477</v>
      </c>
      <c r="AA75" s="8">
        <v>4165</v>
      </c>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FA75" s="7" t="s">
        <v>107</v>
      </c>
    </row>
    <row r="76" spans="2:157" x14ac:dyDescent="0.25">
      <c r="B76" s="9" t="s">
        <v>81</v>
      </c>
      <c r="C76" s="8">
        <v>-59176</v>
      </c>
      <c r="D76" s="8">
        <v>-15466</v>
      </c>
      <c r="E76" s="8">
        <v>-14697</v>
      </c>
      <c r="F76" s="8">
        <f t="shared" si="179"/>
        <v>-5084</v>
      </c>
      <c r="G76" s="8">
        <v>-7467</v>
      </c>
      <c r="H76" s="8">
        <v>-2754</v>
      </c>
      <c r="I76" s="8">
        <v>-2555</v>
      </c>
      <c r="J76" s="8">
        <f t="shared" si="180"/>
        <v>-13773</v>
      </c>
      <c r="K76" s="8">
        <v>-7736</v>
      </c>
      <c r="L76" s="8">
        <v>-3332</v>
      </c>
      <c r="M76" s="8">
        <v>-2789</v>
      </c>
      <c r="N76" s="8">
        <f t="shared" si="181"/>
        <v>-2583</v>
      </c>
      <c r="O76" s="8">
        <v>-4294</v>
      </c>
      <c r="P76" s="8">
        <v>-3531</v>
      </c>
      <c r="Q76" s="8">
        <v>-823</v>
      </c>
      <c r="R76" s="8"/>
      <c r="S76" s="8"/>
      <c r="T76" s="8"/>
      <c r="U76" s="8"/>
      <c r="V76" s="8">
        <v>-49089</v>
      </c>
      <c r="W76" s="8">
        <v>-94571</v>
      </c>
      <c r="X76" s="8">
        <v>-80680</v>
      </c>
      <c r="Y76" s="8">
        <v>-94423</v>
      </c>
      <c r="Z76" s="8">
        <v>-26549</v>
      </c>
      <c r="AA76" s="8">
        <v>-16440</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FA76" s="7" t="s">
        <v>107</v>
      </c>
    </row>
    <row r="77" spans="2:157" x14ac:dyDescent="0.25">
      <c r="B77" s="9" t="s">
        <v>82</v>
      </c>
      <c r="C77" s="8">
        <v>1091466</v>
      </c>
      <c r="D77" s="8">
        <v>0</v>
      </c>
      <c r="E77" s="8">
        <v>0</v>
      </c>
      <c r="F77" s="8">
        <f t="shared" si="179"/>
        <v>0</v>
      </c>
      <c r="G77" s="8" t="s">
        <v>61</v>
      </c>
      <c r="H77" s="8">
        <v>0</v>
      </c>
      <c r="I77" s="8">
        <v>0</v>
      </c>
      <c r="J77" s="8">
        <f t="shared" si="180"/>
        <v>0</v>
      </c>
      <c r="K77" s="8" t="s">
        <v>61</v>
      </c>
      <c r="L77" s="8">
        <v>0</v>
      </c>
      <c r="M77" s="8">
        <v>0</v>
      </c>
      <c r="N77" s="8">
        <f t="shared" si="181"/>
        <v>0</v>
      </c>
      <c r="O77" s="8" t="s">
        <v>61</v>
      </c>
      <c r="P77" s="8">
        <v>0</v>
      </c>
      <c r="Q77" s="8">
        <v>0</v>
      </c>
      <c r="R77" s="8"/>
      <c r="S77" s="8"/>
      <c r="T77" s="8"/>
      <c r="U77" s="8"/>
      <c r="V77" s="8">
        <v>335618</v>
      </c>
      <c r="W77" s="8">
        <v>780180</v>
      </c>
      <c r="X77" s="8">
        <v>984096</v>
      </c>
      <c r="Y77" s="8">
        <v>1091466</v>
      </c>
      <c r="Z77" s="8" t="s">
        <v>61</v>
      </c>
      <c r="AA77" s="8" t="s">
        <v>61</v>
      </c>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FA77" s="7" t="s">
        <v>107</v>
      </c>
    </row>
    <row r="78" spans="2:157" x14ac:dyDescent="0.25">
      <c r="B78" s="9" t="s">
        <v>83</v>
      </c>
      <c r="C78" s="8">
        <v>-189849</v>
      </c>
      <c r="D78" s="8">
        <v>-110902</v>
      </c>
      <c r="E78" s="8">
        <v>-4</v>
      </c>
      <c r="F78" s="8">
        <f t="shared" si="179"/>
        <v>-7</v>
      </c>
      <c r="G78" s="8" t="s">
        <v>61</v>
      </c>
      <c r="H78" s="8">
        <v>0</v>
      </c>
      <c r="I78" s="8">
        <v>-401203</v>
      </c>
      <c r="J78" s="8">
        <f t="shared" si="180"/>
        <v>0</v>
      </c>
      <c r="K78" s="8" t="s">
        <v>61</v>
      </c>
      <c r="L78" s="8">
        <v>-369761</v>
      </c>
      <c r="M78" s="8">
        <v>-136225</v>
      </c>
      <c r="N78" s="8">
        <f t="shared" si="181"/>
        <v>0</v>
      </c>
      <c r="O78" s="8" t="s">
        <v>61</v>
      </c>
      <c r="P78" s="8">
        <v>0</v>
      </c>
      <c r="Q78" s="8">
        <v>0</v>
      </c>
      <c r="R78" s="8"/>
      <c r="S78" s="8"/>
      <c r="T78" s="8"/>
      <c r="U78" s="8"/>
      <c r="V78" s="8">
        <v>-39227</v>
      </c>
      <c r="W78" s="8">
        <v>-97200</v>
      </c>
      <c r="X78" s="8">
        <f>-103400-303967</f>
        <v>-407367</v>
      </c>
      <c r="Y78" s="8">
        <v>-300762</v>
      </c>
      <c r="Z78" s="8">
        <v>-401203</v>
      </c>
      <c r="AA78" s="8">
        <v>-505986</v>
      </c>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FA78" s="7" t="s">
        <v>107</v>
      </c>
    </row>
    <row r="79" spans="2:157" x14ac:dyDescent="0.25">
      <c r="B79" s="9" t="s">
        <v>84</v>
      </c>
      <c r="C79" s="8">
        <v>24812</v>
      </c>
      <c r="D79" s="8">
        <v>44192</v>
      </c>
      <c r="E79" s="8">
        <v>1</v>
      </c>
      <c r="F79" s="8">
        <f t="shared" si="179"/>
        <v>0</v>
      </c>
      <c r="G79" s="8" t="s">
        <v>61</v>
      </c>
      <c r="H79" s="8">
        <v>0</v>
      </c>
      <c r="I79" s="8">
        <v>0</v>
      </c>
      <c r="J79" s="8">
        <f t="shared" si="180"/>
        <v>0</v>
      </c>
      <c r="K79" s="8" t="s">
        <v>61</v>
      </c>
      <c r="L79" s="8">
        <v>297</v>
      </c>
      <c r="M79" s="8">
        <v>0</v>
      </c>
      <c r="N79" s="8">
        <f t="shared" si="181"/>
        <v>0</v>
      </c>
      <c r="O79" s="8" t="s">
        <v>61</v>
      </c>
      <c r="P79" s="8">
        <v>0</v>
      </c>
      <c r="Q79" s="8">
        <v>0</v>
      </c>
      <c r="R79" s="8"/>
      <c r="S79" s="8"/>
      <c r="T79" s="8"/>
      <c r="U79" s="8"/>
      <c r="V79" s="8" t="s">
        <v>61</v>
      </c>
      <c r="W79" s="8" t="s">
        <v>61</v>
      </c>
      <c r="X79" s="8">
        <v>77095</v>
      </c>
      <c r="Y79" s="8">
        <v>69005</v>
      </c>
      <c r="Z79" s="8" t="s">
        <v>61</v>
      </c>
      <c r="AA79" s="8">
        <v>297</v>
      </c>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FA79" s="7" t="s">
        <v>107</v>
      </c>
    </row>
    <row r="80" spans="2:157" x14ac:dyDescent="0.25">
      <c r="B80" s="9" t="s">
        <v>85</v>
      </c>
      <c r="C80" s="8" t="s">
        <v>61</v>
      </c>
      <c r="D80" s="8">
        <v>0</v>
      </c>
      <c r="E80" s="8">
        <v>0</v>
      </c>
      <c r="F80" s="8">
        <f t="shared" si="179"/>
        <v>-7451</v>
      </c>
      <c r="G80" s="8" t="s">
        <v>61</v>
      </c>
      <c r="H80" s="8">
        <v>0</v>
      </c>
      <c r="I80" s="8">
        <v>0</v>
      </c>
      <c r="J80" s="8">
        <f t="shared" si="180"/>
        <v>0</v>
      </c>
      <c r="K80" s="8" t="s">
        <v>61</v>
      </c>
      <c r="L80" s="8">
        <v>0</v>
      </c>
      <c r="M80" s="8">
        <v>0</v>
      </c>
      <c r="N80" s="8">
        <f t="shared" si="181"/>
        <v>0</v>
      </c>
      <c r="O80" s="8" t="s">
        <v>61</v>
      </c>
      <c r="P80" s="8">
        <v>0</v>
      </c>
      <c r="Q80" s="8">
        <v>0</v>
      </c>
      <c r="R80" s="8"/>
      <c r="S80" s="8"/>
      <c r="T80" s="8"/>
      <c r="U80" s="8"/>
      <c r="V80" s="8" t="s">
        <v>61</v>
      </c>
      <c r="W80" s="8" t="s">
        <v>61</v>
      </c>
      <c r="X80" s="8" t="s">
        <v>61</v>
      </c>
      <c r="Y80" s="8">
        <v>-7451</v>
      </c>
      <c r="Z80" s="8" t="s">
        <v>61</v>
      </c>
      <c r="AA80" s="8" t="s">
        <v>61</v>
      </c>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FA80" s="7" t="s">
        <v>107</v>
      </c>
    </row>
    <row r="81" spans="2:157" x14ac:dyDescent="0.25">
      <c r="B81" s="9" t="s">
        <v>86</v>
      </c>
      <c r="C81" s="8" t="s">
        <v>61</v>
      </c>
      <c r="D81" s="8">
        <v>0</v>
      </c>
      <c r="E81" s="8">
        <v>-7451</v>
      </c>
      <c r="F81" s="8">
        <f t="shared" si="179"/>
        <v>-292549</v>
      </c>
      <c r="G81" s="8">
        <v>-300450</v>
      </c>
      <c r="H81" s="8">
        <v>0</v>
      </c>
      <c r="I81" s="8">
        <v>-23078</v>
      </c>
      <c r="J81" s="8">
        <f t="shared" si="180"/>
        <v>0</v>
      </c>
      <c r="K81" s="8">
        <v>-151311</v>
      </c>
      <c r="L81" s="8">
        <v>-35057</v>
      </c>
      <c r="M81" s="8">
        <v>0</v>
      </c>
      <c r="N81" s="8">
        <f t="shared" si="181"/>
        <v>-148438</v>
      </c>
      <c r="O81" s="8" t="s">
        <v>61</v>
      </c>
      <c r="P81" s="8">
        <v>0</v>
      </c>
      <c r="Q81" s="8">
        <v>0</v>
      </c>
      <c r="R81" s="8"/>
      <c r="S81" s="8"/>
      <c r="T81" s="8"/>
      <c r="U81" s="8"/>
      <c r="V81" s="8">
        <v>-20000</v>
      </c>
      <c r="W81" s="8">
        <v>-20000</v>
      </c>
      <c r="X81" s="8" t="s">
        <v>61</v>
      </c>
      <c r="Y81" s="8">
        <v>-300000</v>
      </c>
      <c r="Z81" s="8">
        <v>-323528</v>
      </c>
      <c r="AA81" s="8">
        <v>-334806</v>
      </c>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FA81" s="7" t="s">
        <v>107</v>
      </c>
    </row>
    <row r="82" spans="2:157" x14ac:dyDescent="0.25">
      <c r="B82" s="9" t="s">
        <v>87</v>
      </c>
      <c r="C82" s="8">
        <f t="shared" ref="C82:N82" si="182">+SUM(C75:C81)</f>
        <v>867600</v>
      </c>
      <c r="D82" s="8">
        <f t="shared" si="182"/>
        <v>-77256</v>
      </c>
      <c r="E82" s="8">
        <f t="shared" si="182"/>
        <v>-22045</v>
      </c>
      <c r="F82" s="8">
        <f t="shared" si="182"/>
        <v>-301577</v>
      </c>
      <c r="G82" s="8">
        <f t="shared" si="182"/>
        <v>-307461</v>
      </c>
      <c r="H82" s="8">
        <f t="shared" si="182"/>
        <v>1348</v>
      </c>
      <c r="I82" s="8">
        <f t="shared" si="182"/>
        <v>-426836</v>
      </c>
      <c r="J82" s="8">
        <f t="shared" si="182"/>
        <v>-11854</v>
      </c>
      <c r="K82" s="8">
        <f t="shared" si="182"/>
        <v>-158902</v>
      </c>
      <c r="L82" s="8">
        <f t="shared" si="182"/>
        <v>-404917</v>
      </c>
      <c r="M82" s="8">
        <f t="shared" si="182"/>
        <v>-138987</v>
      </c>
      <c r="N82" s="8">
        <f t="shared" si="182"/>
        <v>-149964</v>
      </c>
      <c r="O82" s="8">
        <f>+SUM(O75:O81)</f>
        <v>-4294</v>
      </c>
      <c r="P82" s="8">
        <f>+SUM(P75:P81)</f>
        <v>-1341</v>
      </c>
      <c r="Q82" s="8">
        <f>+SUM(Q75:Q81)</f>
        <v>-822</v>
      </c>
      <c r="R82" s="8"/>
      <c r="S82" s="8"/>
      <c r="T82" s="8"/>
      <c r="U82" s="8"/>
      <c r="V82" s="8">
        <f t="shared" ref="V82:AA82" si="183">+SUM(V75:V81)</f>
        <v>256418</v>
      </c>
      <c r="W82" s="8">
        <f t="shared" si="183"/>
        <v>603509</v>
      </c>
      <c r="X82" s="8">
        <f t="shared" si="183"/>
        <v>588627</v>
      </c>
      <c r="Y82" s="8">
        <f t="shared" si="183"/>
        <v>466722</v>
      </c>
      <c r="Z82" s="8">
        <f t="shared" si="183"/>
        <v>-744803</v>
      </c>
      <c r="AA82" s="8">
        <f t="shared" si="183"/>
        <v>-852770</v>
      </c>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FA82" s="7" t="s">
        <v>107</v>
      </c>
    </row>
    <row r="83" spans="2:157" x14ac:dyDescent="0.25">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FA83" s="7" t="s">
        <v>107</v>
      </c>
    </row>
    <row r="84" spans="2:157" x14ac:dyDescent="0.25">
      <c r="B84" s="9" t="s">
        <v>88</v>
      </c>
      <c r="C84" s="8" t="s">
        <v>61</v>
      </c>
      <c r="D84" s="8" t="s">
        <v>61</v>
      </c>
      <c r="E84" s="8" t="s">
        <v>61</v>
      </c>
      <c r="F84" s="8"/>
      <c r="G84" s="8">
        <v>4628</v>
      </c>
      <c r="H84" s="8">
        <f>4628-G84</f>
        <v>0</v>
      </c>
      <c r="I84" s="8">
        <v>0</v>
      </c>
      <c r="J84" s="8"/>
      <c r="K84" s="8">
        <v>187</v>
      </c>
      <c r="L84" s="8">
        <f>197-K84</f>
        <v>10</v>
      </c>
      <c r="M84" s="8">
        <f>-379-L84-K84</f>
        <v>-576</v>
      </c>
      <c r="N84" s="8">
        <f t="shared" ref="N84" si="184">+SUM(AA84)-SUM(K84:M84)</f>
        <v>400</v>
      </c>
      <c r="O84" s="8">
        <v>-226</v>
      </c>
      <c r="P84" s="8">
        <f>-305-O84</f>
        <v>-79</v>
      </c>
      <c r="Q84" s="8">
        <f>-149-P84-O84</f>
        <v>156</v>
      </c>
      <c r="R84" s="8"/>
      <c r="S84" s="8"/>
      <c r="T84" s="8"/>
      <c r="U84" s="8"/>
      <c r="V84" s="8" t="s">
        <v>61</v>
      </c>
      <c r="W84" s="8" t="s">
        <v>61</v>
      </c>
      <c r="X84" s="8" t="s">
        <v>61</v>
      </c>
      <c r="Y84" s="8" t="s">
        <v>61</v>
      </c>
      <c r="Z84" s="8">
        <v>4137</v>
      </c>
      <c r="AA84" s="8">
        <v>21</v>
      </c>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FA84" s="7" t="s">
        <v>107</v>
      </c>
    </row>
    <row r="85" spans="2:157" x14ac:dyDescent="0.25">
      <c r="B85" s="9" t="s">
        <v>89</v>
      </c>
      <c r="C85" s="8">
        <f t="shared" ref="C85:L85" si="185">+SUM(C82:C84,C73,C62)</f>
        <v>176221</v>
      </c>
      <c r="D85" s="8">
        <f t="shared" si="185"/>
        <v>183840</v>
      </c>
      <c r="E85" s="8">
        <f t="shared" si="185"/>
        <v>-126176</v>
      </c>
      <c r="F85" s="8">
        <f t="shared" si="185"/>
        <v>140293</v>
      </c>
      <c r="G85" s="8">
        <f t="shared" si="185"/>
        <v>-585870</v>
      </c>
      <c r="H85" s="8">
        <f t="shared" si="185"/>
        <v>134321</v>
      </c>
      <c r="I85" s="8">
        <f t="shared" si="185"/>
        <v>-332831</v>
      </c>
      <c r="J85" s="8">
        <f t="shared" si="185"/>
        <v>404832</v>
      </c>
      <c r="K85" s="8">
        <f t="shared" si="185"/>
        <v>-192334</v>
      </c>
      <c r="L85" s="8">
        <f t="shared" si="185"/>
        <v>-105928</v>
      </c>
      <c r="M85" s="8">
        <f t="shared" ref="M85:N85" si="186">+SUM(M82:M84,M73,M62)</f>
        <v>-80970</v>
      </c>
      <c r="N85" s="8">
        <f t="shared" si="186"/>
        <v>41354</v>
      </c>
      <c r="O85" s="8">
        <f>+SUM(O82:O84,O73,O62)</f>
        <v>7984</v>
      </c>
      <c r="P85" s="8">
        <f>+SUM(P82:P84,P73,P62)</f>
        <v>-10475</v>
      </c>
      <c r="Q85" s="8">
        <f>+SUM(Q82:Q84,Q73,Q62)</f>
        <v>19497</v>
      </c>
      <c r="R85" s="8"/>
      <c r="S85" s="8"/>
      <c r="T85" s="8"/>
      <c r="U85" s="8"/>
      <c r="V85" s="8">
        <f>+SUM(V82:V84,V73,V62)</f>
        <v>248982</v>
      </c>
      <c r="W85" s="8">
        <f>+SUM(W82:W84,W73,W62)</f>
        <v>13487</v>
      </c>
      <c r="X85" s="8">
        <f>+SUM(X82:X84,X73,X62)</f>
        <v>92283</v>
      </c>
      <c r="Y85" s="8">
        <f>+SUM(Y82:Y84,Y73,Y62)</f>
        <v>374178</v>
      </c>
      <c r="Z85" s="8">
        <f>+Z84+Z82+Z73+Z62</f>
        <v>-380039</v>
      </c>
      <c r="AA85" s="8">
        <f>+AA84+AA82+AA73+AA62</f>
        <v>-337878</v>
      </c>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FA85" s="7" t="s">
        <v>107</v>
      </c>
    </row>
    <row r="86" spans="2:157" x14ac:dyDescent="0.25">
      <c r="B86" s="7" t="s">
        <v>90</v>
      </c>
      <c r="C86" s="8">
        <v>481715</v>
      </c>
      <c r="D86" s="8">
        <v>657936</v>
      </c>
      <c r="E86" s="8">
        <v>841776</v>
      </c>
      <c r="F86" s="8">
        <v>715600</v>
      </c>
      <c r="G86" s="8">
        <v>855893</v>
      </c>
      <c r="H86" s="8">
        <v>270023</v>
      </c>
      <c r="I86" s="8">
        <v>404344</v>
      </c>
      <c r="J86" s="8">
        <v>71513</v>
      </c>
      <c r="K86" s="8">
        <v>475854</v>
      </c>
      <c r="L86" s="8">
        <v>283520</v>
      </c>
      <c r="M86" s="8">
        <v>177592</v>
      </c>
      <c r="N86" s="8">
        <v>96622</v>
      </c>
      <c r="O86" s="8">
        <v>137976</v>
      </c>
      <c r="P86" s="8">
        <v>145960</v>
      </c>
      <c r="Q86" s="8">
        <v>135485</v>
      </c>
      <c r="R86" s="8"/>
      <c r="S86" s="8"/>
      <c r="T86" s="8"/>
      <c r="U86" s="8"/>
      <c r="V86" s="8">
        <v>126963</v>
      </c>
      <c r="W86" s="8">
        <v>375945</v>
      </c>
      <c r="X86" s="8">
        <v>389432</v>
      </c>
      <c r="Y86" s="8">
        <v>481715</v>
      </c>
      <c r="Z86" s="8">
        <v>855893</v>
      </c>
      <c r="AA86" s="8">
        <v>475854</v>
      </c>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FA86" s="7" t="s">
        <v>107</v>
      </c>
    </row>
    <row r="87" spans="2:157" x14ac:dyDescent="0.25">
      <c r="B87" s="7" t="s">
        <v>91</v>
      </c>
      <c r="C87" s="8">
        <f t="shared" ref="C87:L87" si="187">+SUM(C85:C86)</f>
        <v>657936</v>
      </c>
      <c r="D87" s="8">
        <f t="shared" si="187"/>
        <v>841776</v>
      </c>
      <c r="E87" s="8">
        <f t="shared" si="187"/>
        <v>715600</v>
      </c>
      <c r="F87" s="8">
        <f t="shared" si="187"/>
        <v>855893</v>
      </c>
      <c r="G87" s="8">
        <f t="shared" si="187"/>
        <v>270023</v>
      </c>
      <c r="H87" s="8">
        <f t="shared" si="187"/>
        <v>404344</v>
      </c>
      <c r="I87" s="8">
        <f t="shared" si="187"/>
        <v>71513</v>
      </c>
      <c r="J87" s="8">
        <f t="shared" si="187"/>
        <v>476345</v>
      </c>
      <c r="K87" s="8">
        <f t="shared" si="187"/>
        <v>283520</v>
      </c>
      <c r="L87" s="8">
        <f t="shared" si="187"/>
        <v>177592</v>
      </c>
      <c r="M87" s="8">
        <f t="shared" ref="M87:N87" si="188">+SUM(M85:M86)</f>
        <v>96622</v>
      </c>
      <c r="N87" s="8">
        <f t="shared" si="188"/>
        <v>137976</v>
      </c>
      <c r="O87" s="8">
        <f>+SUM(O85:O86)</f>
        <v>145960</v>
      </c>
      <c r="P87" s="8">
        <f>+SUM(P85:P86)</f>
        <v>135485</v>
      </c>
      <c r="Q87" s="8">
        <f>+SUM(Q85:Q86)</f>
        <v>154982</v>
      </c>
      <c r="R87" s="8"/>
      <c r="S87" s="8"/>
      <c r="T87" s="8"/>
      <c r="U87" s="8"/>
      <c r="V87" s="8">
        <f t="shared" ref="V87:AA87" si="189">+SUM(V85:V86)</f>
        <v>375945</v>
      </c>
      <c r="W87" s="8">
        <f t="shared" si="189"/>
        <v>389432</v>
      </c>
      <c r="X87" s="8">
        <f t="shared" si="189"/>
        <v>481715</v>
      </c>
      <c r="Y87" s="8">
        <f t="shared" si="189"/>
        <v>855893</v>
      </c>
      <c r="Z87" s="8">
        <f t="shared" si="189"/>
        <v>475854</v>
      </c>
      <c r="AA87" s="8">
        <f t="shared" si="189"/>
        <v>137976</v>
      </c>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FA87" s="7" t="s">
        <v>107</v>
      </c>
    </row>
    <row r="88" spans="2:157" x14ac:dyDescent="0.25">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FA88" s="7" t="s">
        <v>107</v>
      </c>
    </row>
    <row r="89" spans="2:157" x14ac:dyDescent="0.25">
      <c r="B89" s="7" t="s">
        <v>92</v>
      </c>
      <c r="C89" s="8">
        <f t="shared" ref="C89:E89" si="190">+C62+C64</f>
        <v>54589</v>
      </c>
      <c r="D89" s="8">
        <f t="shared" si="190"/>
        <v>43317</v>
      </c>
      <c r="E89" s="8">
        <f t="shared" si="190"/>
        <v>43091</v>
      </c>
      <c r="F89" s="8">
        <f t="shared" ref="F89" si="191">+F62+F64</f>
        <v>38047</v>
      </c>
      <c r="G89" s="8">
        <f t="shared" ref="G89:H89" si="192">+G62+G64</f>
        <v>50502</v>
      </c>
      <c r="H89" s="8">
        <f t="shared" si="192"/>
        <v>35967</v>
      </c>
      <c r="I89" s="8">
        <f t="shared" ref="I89:J89" si="193">+I62+I64</f>
        <v>16005</v>
      </c>
      <c r="J89" s="8">
        <f t="shared" si="193"/>
        <v>50170</v>
      </c>
      <c r="K89" s="8">
        <f t="shared" ref="K89:L89" si="194">+K62+K64</f>
        <v>55994</v>
      </c>
      <c r="L89" s="8">
        <f t="shared" si="194"/>
        <v>46049</v>
      </c>
      <c r="M89" s="8">
        <f t="shared" ref="M89:N89" si="195">+M62+M64</f>
        <v>9373</v>
      </c>
      <c r="N89" s="8">
        <f t="shared" si="195"/>
        <v>51730</v>
      </c>
      <c r="O89" s="8">
        <f t="shared" ref="O89:P89" si="196">+O62+O64</f>
        <v>25301</v>
      </c>
      <c r="P89" s="8">
        <f t="shared" si="196"/>
        <v>-3573</v>
      </c>
      <c r="Q89" s="8">
        <f t="shared" ref="Q89" si="197">+Q62+Q64</f>
        <v>23690</v>
      </c>
      <c r="R89" s="8"/>
      <c r="S89" s="8"/>
      <c r="T89" s="8"/>
      <c r="U89" s="8"/>
      <c r="V89" s="8">
        <f t="shared" ref="V89" si="198">+V62+V64</f>
        <v>43890</v>
      </c>
      <c r="W89" s="8">
        <f t="shared" ref="W89" si="199">+W62+W64</f>
        <v>71077</v>
      </c>
      <c r="X89" s="8">
        <f t="shared" ref="X89" si="200">+X62+X64</f>
        <v>155125</v>
      </c>
      <c r="Y89" s="8">
        <f t="shared" ref="Y89:Z89" si="201">+Y62+Y64</f>
        <v>179044</v>
      </c>
      <c r="Z89" s="8">
        <f t="shared" si="201"/>
        <v>152644</v>
      </c>
      <c r="AA89" s="8">
        <f>+AA62+AA64</f>
        <v>163146</v>
      </c>
      <c r="AB89" s="8">
        <v>45418</v>
      </c>
      <c r="AC89" s="8">
        <f t="shared" ref="AC89:CN89" si="202">+AB89*(1+$AF$91)</f>
        <v>40422.020000000004</v>
      </c>
      <c r="AD89" s="8">
        <f t="shared" si="202"/>
        <v>35975.597800000003</v>
      </c>
      <c r="AE89" s="8">
        <f t="shared" si="202"/>
        <v>32018.282042000003</v>
      </c>
      <c r="AF89" s="8">
        <f t="shared" si="202"/>
        <v>28496.271017380004</v>
      </c>
      <c r="AG89" s="8">
        <f t="shared" si="202"/>
        <v>25361.681205468205</v>
      </c>
      <c r="AH89" s="8">
        <f t="shared" si="202"/>
        <v>22571.896272866703</v>
      </c>
      <c r="AI89" s="8">
        <f t="shared" si="202"/>
        <v>20088.987682851366</v>
      </c>
      <c r="AJ89" s="8">
        <f t="shared" si="202"/>
        <v>17879.199037737715</v>
      </c>
      <c r="AK89" s="8">
        <f t="shared" si="202"/>
        <v>15912.487143586566</v>
      </c>
      <c r="AL89" s="8">
        <f t="shared" si="202"/>
        <v>14162.113557792045</v>
      </c>
      <c r="AM89" s="8">
        <f t="shared" si="202"/>
        <v>12604.28106643492</v>
      </c>
      <c r="AN89" s="8">
        <f t="shared" si="202"/>
        <v>11217.810149127079</v>
      </c>
      <c r="AO89" s="8">
        <f t="shared" si="202"/>
        <v>9983.8510327230997</v>
      </c>
      <c r="AP89" s="8">
        <f t="shared" si="202"/>
        <v>8885.6274191235589</v>
      </c>
      <c r="AQ89" s="8">
        <f t="shared" si="202"/>
        <v>7908.2084030199676</v>
      </c>
      <c r="AR89" s="8">
        <f t="shared" si="202"/>
        <v>7038.305478687771</v>
      </c>
      <c r="AS89" s="8">
        <f t="shared" si="202"/>
        <v>6264.0918760321165</v>
      </c>
      <c r="AT89" s="8">
        <f t="shared" si="202"/>
        <v>5575.0417696685836</v>
      </c>
      <c r="AU89" s="8">
        <f t="shared" si="202"/>
        <v>4961.7871750050399</v>
      </c>
      <c r="AV89" s="8">
        <f t="shared" si="202"/>
        <v>4415.9905857544854</v>
      </c>
      <c r="AW89" s="8">
        <f t="shared" si="202"/>
        <v>3930.2316213214922</v>
      </c>
      <c r="AX89" s="8">
        <f t="shared" si="202"/>
        <v>3497.9061429761282</v>
      </c>
      <c r="AY89" s="8">
        <f t="shared" si="202"/>
        <v>3113.1364672487543</v>
      </c>
      <c r="AZ89" s="8">
        <f t="shared" si="202"/>
        <v>2770.6914558513913</v>
      </c>
      <c r="BA89" s="8">
        <f t="shared" si="202"/>
        <v>2465.9153957077383</v>
      </c>
      <c r="BB89" s="8">
        <f t="shared" si="202"/>
        <v>2194.6647021798872</v>
      </c>
      <c r="BC89" s="8">
        <f t="shared" si="202"/>
        <v>1953.2515849400995</v>
      </c>
      <c r="BD89" s="8">
        <f t="shared" si="202"/>
        <v>1738.3939105966886</v>
      </c>
      <c r="BE89" s="8">
        <f t="shared" si="202"/>
        <v>1547.1705804310529</v>
      </c>
      <c r="BF89" s="8">
        <f t="shared" si="202"/>
        <v>1376.9818165836371</v>
      </c>
      <c r="BG89" s="8">
        <f t="shared" si="202"/>
        <v>1225.5138167594371</v>
      </c>
      <c r="BH89" s="8">
        <f t="shared" si="202"/>
        <v>1090.707296915899</v>
      </c>
      <c r="BI89" s="8">
        <f t="shared" si="202"/>
        <v>970.72949425515003</v>
      </c>
      <c r="BJ89" s="8">
        <f t="shared" si="202"/>
        <v>863.94924988708351</v>
      </c>
      <c r="BK89" s="8">
        <f t="shared" si="202"/>
        <v>768.91483239950435</v>
      </c>
      <c r="BL89" s="8">
        <f t="shared" si="202"/>
        <v>684.33420083555893</v>
      </c>
      <c r="BM89" s="8">
        <f t="shared" si="202"/>
        <v>609.05743874364748</v>
      </c>
      <c r="BN89" s="8">
        <f t="shared" si="202"/>
        <v>542.06112048184627</v>
      </c>
      <c r="BO89" s="8">
        <f t="shared" si="202"/>
        <v>482.43439722884318</v>
      </c>
      <c r="BP89" s="8">
        <f t="shared" si="202"/>
        <v>429.36661353367043</v>
      </c>
      <c r="BQ89" s="8">
        <f t="shared" si="202"/>
        <v>382.13628604496671</v>
      </c>
      <c r="BR89" s="8">
        <f t="shared" si="202"/>
        <v>340.10129458002035</v>
      </c>
      <c r="BS89" s="8">
        <f t="shared" si="202"/>
        <v>302.69015217621813</v>
      </c>
      <c r="BT89" s="8">
        <f t="shared" si="202"/>
        <v>269.39423543683415</v>
      </c>
      <c r="BU89" s="8">
        <f t="shared" si="202"/>
        <v>239.7608695387824</v>
      </c>
      <c r="BV89" s="8">
        <f t="shared" si="202"/>
        <v>213.38717388951633</v>
      </c>
      <c r="BW89" s="8">
        <f t="shared" si="202"/>
        <v>189.91458476166954</v>
      </c>
      <c r="BX89" s="8">
        <f t="shared" si="202"/>
        <v>169.02398043788591</v>
      </c>
      <c r="BY89" s="8">
        <f t="shared" si="202"/>
        <v>150.43134258971847</v>
      </c>
      <c r="BZ89" s="8">
        <f t="shared" si="202"/>
        <v>133.88389490484943</v>
      </c>
      <c r="CA89" s="8">
        <f t="shared" si="202"/>
        <v>119.15666646531599</v>
      </c>
      <c r="CB89" s="8">
        <f t="shared" si="202"/>
        <v>106.04943315413124</v>
      </c>
      <c r="CC89" s="8">
        <f t="shared" si="202"/>
        <v>94.383995507176806</v>
      </c>
      <c r="CD89" s="8">
        <f t="shared" si="202"/>
        <v>84.001756001387363</v>
      </c>
      <c r="CE89" s="8">
        <f t="shared" si="202"/>
        <v>74.761562841234749</v>
      </c>
      <c r="CF89" s="8">
        <f t="shared" si="202"/>
        <v>66.537790928698925</v>
      </c>
      <c r="CG89" s="8">
        <f t="shared" si="202"/>
        <v>59.218633926542047</v>
      </c>
      <c r="CH89" s="8">
        <f t="shared" si="202"/>
        <v>52.70458419462242</v>
      </c>
      <c r="CI89" s="8">
        <f t="shared" si="202"/>
        <v>46.907079933213957</v>
      </c>
      <c r="CJ89" s="8">
        <f t="shared" si="202"/>
        <v>41.747301140560424</v>
      </c>
      <c r="CK89" s="8">
        <f t="shared" si="202"/>
        <v>37.15509801509878</v>
      </c>
      <c r="CL89" s="8">
        <f t="shared" si="202"/>
        <v>33.068037233437913</v>
      </c>
      <c r="CM89" s="8">
        <f t="shared" si="202"/>
        <v>29.430553137759745</v>
      </c>
      <c r="CN89" s="8">
        <f t="shared" si="202"/>
        <v>26.193192292606174</v>
      </c>
      <c r="CO89" s="8">
        <f t="shared" ref="CO89:EZ89" si="203">+CN89*(1+$AF$91)</f>
        <v>23.311941140419496</v>
      </c>
      <c r="CP89" s="8">
        <f t="shared" si="203"/>
        <v>20.74762761497335</v>
      </c>
      <c r="CQ89" s="8">
        <f t="shared" si="203"/>
        <v>18.465388577326284</v>
      </c>
      <c r="CR89" s="8">
        <f t="shared" si="203"/>
        <v>16.434195833820393</v>
      </c>
      <c r="CS89" s="8">
        <f t="shared" si="203"/>
        <v>14.62643429210015</v>
      </c>
      <c r="CT89" s="8">
        <f t="shared" si="203"/>
        <v>13.017526519969135</v>
      </c>
      <c r="CU89" s="8">
        <f t="shared" si="203"/>
        <v>11.58559860277253</v>
      </c>
      <c r="CV89" s="8">
        <f t="shared" si="203"/>
        <v>10.311182756467552</v>
      </c>
      <c r="CW89" s="8">
        <f t="shared" si="203"/>
        <v>9.1769526532561212</v>
      </c>
      <c r="CX89" s="8">
        <f t="shared" si="203"/>
        <v>8.167487861397948</v>
      </c>
      <c r="CY89" s="8">
        <f t="shared" si="203"/>
        <v>7.269064196644174</v>
      </c>
      <c r="CZ89" s="8">
        <f t="shared" si="203"/>
        <v>6.4694671350133151</v>
      </c>
      <c r="DA89" s="8">
        <f t="shared" si="203"/>
        <v>5.7578257501618504</v>
      </c>
      <c r="DB89" s="8">
        <f t="shared" si="203"/>
        <v>5.1244649176440467</v>
      </c>
      <c r="DC89" s="8">
        <f t="shared" si="203"/>
        <v>4.5607737767032015</v>
      </c>
      <c r="DD89" s="8">
        <f t="shared" si="203"/>
        <v>4.0590886612658492</v>
      </c>
      <c r="DE89" s="8">
        <f t="shared" si="203"/>
        <v>3.6125889085266061</v>
      </c>
      <c r="DF89" s="8">
        <f t="shared" si="203"/>
        <v>3.2152041285886797</v>
      </c>
      <c r="DG89" s="8">
        <f t="shared" si="203"/>
        <v>2.861531674443925</v>
      </c>
      <c r="DH89" s="8">
        <f t="shared" si="203"/>
        <v>2.5467631902550933</v>
      </c>
      <c r="DI89" s="8">
        <f t="shared" si="203"/>
        <v>2.2666192393270332</v>
      </c>
      <c r="DJ89" s="8">
        <f t="shared" si="203"/>
        <v>2.0172911230010597</v>
      </c>
      <c r="DK89" s="8">
        <f t="shared" si="203"/>
        <v>1.7953890994709432</v>
      </c>
      <c r="DL89" s="8">
        <f t="shared" si="203"/>
        <v>1.5978962985291394</v>
      </c>
      <c r="DM89" s="8">
        <f t="shared" si="203"/>
        <v>1.4221277056909341</v>
      </c>
      <c r="DN89" s="8">
        <f t="shared" si="203"/>
        <v>1.2656936580649314</v>
      </c>
      <c r="DO89" s="8">
        <f t="shared" si="203"/>
        <v>1.1264673556777889</v>
      </c>
      <c r="DP89" s="8">
        <f t="shared" si="203"/>
        <v>1.0025559465532321</v>
      </c>
      <c r="DQ89" s="8">
        <f t="shared" si="203"/>
        <v>0.89227479243237662</v>
      </c>
      <c r="DR89" s="8">
        <f t="shared" si="203"/>
        <v>0.79412456526481523</v>
      </c>
      <c r="DS89" s="8">
        <f t="shared" si="203"/>
        <v>0.7067708630856856</v>
      </c>
      <c r="DT89" s="8">
        <f t="shared" si="203"/>
        <v>0.62902606814626016</v>
      </c>
      <c r="DU89" s="8">
        <f t="shared" si="203"/>
        <v>0.5598332006501715</v>
      </c>
      <c r="DV89" s="8">
        <f t="shared" si="203"/>
        <v>0.49825154857865267</v>
      </c>
      <c r="DW89" s="8">
        <f t="shared" si="203"/>
        <v>0.44344387823500087</v>
      </c>
      <c r="DX89" s="8">
        <f t="shared" si="203"/>
        <v>0.39466505162915078</v>
      </c>
      <c r="DY89" s="8">
        <f t="shared" si="203"/>
        <v>0.35125189594994422</v>
      </c>
      <c r="DZ89" s="8">
        <f t="shared" si="203"/>
        <v>0.31261418739545038</v>
      </c>
      <c r="EA89" s="8">
        <f t="shared" si="203"/>
        <v>0.27822662678195087</v>
      </c>
      <c r="EB89" s="8">
        <f t="shared" si="203"/>
        <v>0.24762169783593627</v>
      </c>
      <c r="EC89" s="8">
        <f t="shared" si="203"/>
        <v>0.22038331107398329</v>
      </c>
      <c r="ED89" s="8">
        <f t="shared" si="203"/>
        <v>0.19614114685584513</v>
      </c>
      <c r="EE89" s="8">
        <f t="shared" si="203"/>
        <v>0.17456562070170217</v>
      </c>
      <c r="EF89" s="8">
        <f t="shared" si="203"/>
        <v>0.15536340242451493</v>
      </c>
      <c r="EG89" s="8">
        <f t="shared" si="203"/>
        <v>0.13827342815781829</v>
      </c>
      <c r="EH89" s="8">
        <f t="shared" si="203"/>
        <v>0.12306335106045828</v>
      </c>
      <c r="EI89" s="8">
        <f t="shared" si="203"/>
        <v>0.10952638244380787</v>
      </c>
      <c r="EJ89" s="8">
        <f t="shared" si="203"/>
        <v>9.7478480374989004E-2</v>
      </c>
      <c r="EK89" s="8">
        <f t="shared" si="203"/>
        <v>8.6755847533740216E-2</v>
      </c>
      <c r="EL89" s="8">
        <f t="shared" si="203"/>
        <v>7.7212704305028787E-2</v>
      </c>
      <c r="EM89" s="8">
        <f t="shared" si="203"/>
        <v>6.8719306831475618E-2</v>
      </c>
      <c r="EN89" s="8">
        <f t="shared" si="203"/>
        <v>6.1160183080013301E-2</v>
      </c>
      <c r="EO89" s="8">
        <f t="shared" si="203"/>
        <v>5.4432562941211841E-2</v>
      </c>
      <c r="EP89" s="8">
        <f t="shared" si="203"/>
        <v>4.8444981017678537E-2</v>
      </c>
      <c r="EQ89" s="8">
        <f t="shared" si="203"/>
        <v>4.3116033105733899E-2</v>
      </c>
      <c r="ER89" s="8">
        <f t="shared" si="203"/>
        <v>3.8373269464103167E-2</v>
      </c>
      <c r="ES89" s="8">
        <f t="shared" si="203"/>
        <v>3.4152209823051817E-2</v>
      </c>
      <c r="ET89" s="8">
        <f t="shared" si="203"/>
        <v>3.0395466742516117E-2</v>
      </c>
      <c r="EU89" s="8">
        <f t="shared" si="203"/>
        <v>2.7051965400839345E-2</v>
      </c>
      <c r="EV89" s="8">
        <f t="shared" si="203"/>
        <v>2.4076249206747016E-2</v>
      </c>
      <c r="EW89" s="8">
        <f t="shared" si="203"/>
        <v>2.1427861794004844E-2</v>
      </c>
      <c r="EX89" s="8">
        <f t="shared" si="203"/>
        <v>1.9070796996664311E-2</v>
      </c>
      <c r="EY89" s="8">
        <f t="shared" si="203"/>
        <v>1.6973009327031236E-2</v>
      </c>
      <c r="EZ89" s="8">
        <f t="shared" si="203"/>
        <v>1.5105978301057801E-2</v>
      </c>
      <c r="FA89" s="7" t="s">
        <v>107</v>
      </c>
    </row>
    <row r="90" spans="2:157" x14ac:dyDescent="0.25">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row>
    <row r="91" spans="2:157" x14ac:dyDescent="0.25">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13" t="s">
        <v>108</v>
      </c>
      <c r="AF91" s="9">
        <v>-0.11</v>
      </c>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row>
    <row r="92" spans="2:157" x14ac:dyDescent="0.25">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13" t="s">
        <v>109</v>
      </c>
      <c r="AF92" s="9">
        <v>0.1</v>
      </c>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row>
    <row r="93" spans="2:157" x14ac:dyDescent="0.25">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13" t="s">
        <v>110</v>
      </c>
      <c r="AF93" s="8">
        <f>+NPV(AF92,AB89:EZ89)</f>
        <v>216276.19047589769</v>
      </c>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row>
    <row r="94" spans="2:157" x14ac:dyDescent="0.25">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13" t="s">
        <v>111</v>
      </c>
      <c r="AF94" s="8">
        <f>+AF93+Main!G10-Main!G11</f>
        <v>251674.19047589763</v>
      </c>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row>
    <row r="95" spans="2:157" x14ac:dyDescent="0.25">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13" t="s">
        <v>112</v>
      </c>
      <c r="AF95" s="9">
        <f ca="1">+AF94/Main!F9-1</f>
        <v>0.56169238553418177</v>
      </c>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row>
    <row r="96" spans="2:157" x14ac:dyDescent="0.25">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row>
    <row r="97" spans="3:66" x14ac:dyDescent="0.25">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row>
    <row r="98" spans="3:66" x14ac:dyDescent="0.25">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row>
    <row r="99" spans="3:66" x14ac:dyDescent="0.25">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row>
    <row r="100" spans="3:66" x14ac:dyDescent="0.25">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row>
    <row r="101" spans="3:66" x14ac:dyDescent="0.25">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row>
    <row r="102" spans="3:66" x14ac:dyDescent="0.25">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row>
    <row r="103" spans="3:66" x14ac:dyDescent="0.25">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row>
    <row r="104" spans="3:66" x14ac:dyDescent="0.25">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row>
    <row r="105" spans="3:66" x14ac:dyDescent="0.25">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row>
    <row r="106" spans="3:66" x14ac:dyDescent="0.25">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row>
  </sheetData>
  <phoneticPr fontId="6" type="noConversion"/>
  <hyperlinks>
    <hyperlink ref="A1" location="Main!A1" display="main" xr:uid="{B35D4262-B579-4736-886B-E978C183127D}"/>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Franciszek Kessler</dc:creator>
  <cp:lastModifiedBy>Franciszek Kessler</cp:lastModifiedBy>
  <dcterms:created xsi:type="dcterms:W3CDTF">2024-01-06T21:29:40Z</dcterms:created>
  <dcterms:modified xsi:type="dcterms:W3CDTF">2025-01-16T20:55:06Z</dcterms:modified>
</cp:coreProperties>
</file>