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a81685cd5063f9d2/Dokumenty/Models stocks/"/>
    </mc:Choice>
  </mc:AlternateContent>
  <xr:revisionPtr revIDLastSave="1981" documentId="8_{55059FFA-9645-4B93-AA05-25540AB9C226}" xr6:coauthVersionLast="47" xr6:coauthVersionMax="47" xr10:uidLastSave="{18728F15-C233-4074-BAC2-F5A3254687B7}"/>
  <bookViews>
    <workbookView xWindow="24" yWindow="1536" windowWidth="23016" windowHeight="11700" activeTab="1" xr2:uid="{C2A537D2-81CC-41DE-90E3-F8EDF7DA01A3}"/>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1" l="1"/>
  <c r="G11" i="1"/>
  <c r="G9" i="1" a="1"/>
  <c r="G9" i="1" s="1"/>
  <c r="G8" i="1" a="1"/>
  <c r="G8" i="1" s="1"/>
  <c r="Q81" i="2"/>
  <c r="Q71" i="2"/>
  <c r="Q58" i="2"/>
  <c r="Q90" i="2" s="1"/>
  <c r="Q91" i="2" s="1"/>
  <c r="Q36" i="2"/>
  <c r="Q34" i="2"/>
  <c r="Q33" i="2"/>
  <c r="Q32" i="2"/>
  <c r="Q31" i="2"/>
  <c r="Q30" i="2"/>
  <c r="Q27" i="2"/>
  <c r="Q28" i="2" s="1"/>
  <c r="Q23" i="2"/>
  <c r="Q6" i="2"/>
  <c r="Q9" i="2" s="1"/>
  <c r="Q18" i="2" s="1"/>
  <c r="Q20" i="2" s="1"/>
  <c r="AA96" i="2"/>
  <c r="N80" i="2"/>
  <c r="N78" i="2"/>
  <c r="N77" i="2"/>
  <c r="N76" i="2"/>
  <c r="N75" i="2"/>
  <c r="N74" i="2"/>
  <c r="N73" i="2"/>
  <c r="N81" i="2" s="1"/>
  <c r="N70" i="2"/>
  <c r="N69" i="2"/>
  <c r="N68" i="2"/>
  <c r="N66" i="2"/>
  <c r="N65" i="2"/>
  <c r="N64" i="2"/>
  <c r="N63" i="2"/>
  <c r="N62" i="2"/>
  <c r="N61" i="2"/>
  <c r="N60" i="2"/>
  <c r="N57" i="2"/>
  <c r="N56" i="2"/>
  <c r="N55" i="2"/>
  <c r="N54" i="2"/>
  <c r="N53" i="2"/>
  <c r="N52" i="2"/>
  <c r="N51" i="2"/>
  <c r="N50" i="2"/>
  <c r="N49" i="2"/>
  <c r="N47" i="2"/>
  <c r="N45" i="2"/>
  <c r="N44" i="2"/>
  <c r="N43" i="2"/>
  <c r="N42" i="2"/>
  <c r="N41" i="2"/>
  <c r="N40" i="2"/>
  <c r="N39" i="2"/>
  <c r="N38" i="2"/>
  <c r="N37" i="2"/>
  <c r="J96" i="2"/>
  <c r="M96" i="2"/>
  <c r="M81" i="2"/>
  <c r="M71" i="2"/>
  <c r="G10" i="1" l="1"/>
  <c r="G13" i="1" s="1"/>
  <c r="Q83" i="2"/>
  <c r="Q85" i="2" s="1"/>
  <c r="N71" i="2"/>
  <c r="AC96" i="2" l="1"/>
  <c r="AD96" i="2"/>
  <c r="F80" i="2"/>
  <c r="F79" i="2"/>
  <c r="F78" i="2"/>
  <c r="F77" i="2"/>
  <c r="F76" i="2"/>
  <c r="F75" i="2"/>
  <c r="F81" i="2" s="1"/>
  <c r="F70" i="2"/>
  <c r="F68" i="2"/>
  <c r="F67" i="2"/>
  <c r="F64" i="2"/>
  <c r="F63" i="2"/>
  <c r="F62" i="2"/>
  <c r="F61" i="2"/>
  <c r="F60" i="2"/>
  <c r="F71" i="2" s="1"/>
  <c r="F57" i="2"/>
  <c r="F56" i="2"/>
  <c r="F55" i="2"/>
  <c r="F54" i="2"/>
  <c r="F53" i="2"/>
  <c r="F52" i="2"/>
  <c r="F51" i="2"/>
  <c r="F50" i="2"/>
  <c r="F49" i="2"/>
  <c r="F48" i="2"/>
  <c r="F47" i="2"/>
  <c r="F46" i="2"/>
  <c r="F44" i="2"/>
  <c r="F43" i="2"/>
  <c r="F41" i="2"/>
  <c r="F39" i="2"/>
  <c r="F38" i="2"/>
  <c r="F37" i="2"/>
  <c r="J80" i="2"/>
  <c r="J78" i="2"/>
  <c r="J77" i="2"/>
  <c r="J76" i="2"/>
  <c r="J81" i="2" s="1"/>
  <c r="J70" i="2"/>
  <c r="J68" i="2"/>
  <c r="J66" i="2"/>
  <c r="J65" i="2"/>
  <c r="J64" i="2"/>
  <c r="J63" i="2"/>
  <c r="J62" i="2"/>
  <c r="J61" i="2"/>
  <c r="J60" i="2"/>
  <c r="J57" i="2"/>
  <c r="J56" i="2"/>
  <c r="J55" i="2"/>
  <c r="J54" i="2"/>
  <c r="J53" i="2"/>
  <c r="J52" i="2"/>
  <c r="J51" i="2"/>
  <c r="J50" i="2"/>
  <c r="J49" i="2"/>
  <c r="J47" i="2"/>
  <c r="J46" i="2"/>
  <c r="J45" i="2"/>
  <c r="J44" i="2"/>
  <c r="J43" i="2"/>
  <c r="J42" i="2"/>
  <c r="J41" i="2"/>
  <c r="J40" i="2"/>
  <c r="J39" i="2"/>
  <c r="J38" i="2"/>
  <c r="J37" i="2"/>
  <c r="I96" i="2"/>
  <c r="E81" i="2"/>
  <c r="I81" i="2"/>
  <c r="E71" i="2"/>
  <c r="I71" i="2"/>
  <c r="E33" i="2"/>
  <c r="E32" i="2"/>
  <c r="E31" i="2"/>
  <c r="E30" i="2"/>
  <c r="F30" i="2"/>
  <c r="F5" i="2"/>
  <c r="F7" i="2"/>
  <c r="F10" i="2"/>
  <c r="F11" i="2"/>
  <c r="F12" i="2"/>
  <c r="F13" i="2"/>
  <c r="F14" i="2"/>
  <c r="F16" i="2"/>
  <c r="F17" i="2"/>
  <c r="F19" i="2"/>
  <c r="F21" i="2"/>
  <c r="F24" i="2"/>
  <c r="F27" i="2" s="1"/>
  <c r="F25" i="2"/>
  <c r="F26" i="2"/>
  <c r="F4" i="2"/>
  <c r="F3" i="2"/>
  <c r="J26" i="2"/>
  <c r="J25" i="2"/>
  <c r="J24" i="2"/>
  <c r="J27" i="2" s="1"/>
  <c r="J21" i="2"/>
  <c r="J5" i="2"/>
  <c r="J7" i="2"/>
  <c r="J10" i="2"/>
  <c r="J12" i="2"/>
  <c r="J13" i="2"/>
  <c r="J14" i="2"/>
  <c r="J16" i="2"/>
  <c r="J17" i="2"/>
  <c r="J19" i="2"/>
  <c r="J4" i="2"/>
  <c r="J3" i="2"/>
  <c r="I30" i="2"/>
  <c r="E27" i="2"/>
  <c r="E6" i="2"/>
  <c r="E9" i="2" s="1"/>
  <c r="E18" i="2" s="1"/>
  <c r="E20" i="2" s="1"/>
  <c r="E23" i="2" s="1"/>
  <c r="H96" i="2"/>
  <c r="H94" i="2"/>
  <c r="H81" i="2"/>
  <c r="H71" i="2"/>
  <c r="D31" i="2"/>
  <c r="D30" i="2"/>
  <c r="H34" i="2"/>
  <c r="H33" i="2"/>
  <c r="H32" i="2"/>
  <c r="H30" i="2"/>
  <c r="D27" i="2"/>
  <c r="H27" i="2"/>
  <c r="D6" i="2"/>
  <c r="D9" i="2" s="1"/>
  <c r="D18" i="2" s="1"/>
  <c r="D20" i="2" s="1"/>
  <c r="D36" i="2" s="1"/>
  <c r="H6" i="2"/>
  <c r="H9" i="2" s="1"/>
  <c r="H18" i="2" s="1"/>
  <c r="H20" i="2" s="1"/>
  <c r="H36" i="2" s="1"/>
  <c r="G96" i="2"/>
  <c r="C90" i="2"/>
  <c r="C91" i="2" s="1"/>
  <c r="C81" i="2"/>
  <c r="C83" i="2" s="1"/>
  <c r="C85" i="2" s="1"/>
  <c r="G81" i="2"/>
  <c r="C71" i="2"/>
  <c r="G71" i="2"/>
  <c r="C36" i="2"/>
  <c r="C58" i="2" s="1"/>
  <c r="G30" i="2"/>
  <c r="C34" i="2"/>
  <c r="C32" i="2"/>
  <c r="C31" i="2"/>
  <c r="C30" i="2"/>
  <c r="C27" i="2"/>
  <c r="C28" i="2" s="1"/>
  <c r="C23" i="2"/>
  <c r="G27" i="2"/>
  <c r="C6" i="2"/>
  <c r="C9" i="2" s="1"/>
  <c r="C18" i="2" s="1"/>
  <c r="C20" i="2" s="1"/>
  <c r="G6" i="2"/>
  <c r="G9" i="2" s="1"/>
  <c r="W96" i="2"/>
  <c r="X96" i="2"/>
  <c r="V81" i="2"/>
  <c r="W81" i="2"/>
  <c r="X81" i="2"/>
  <c r="V71" i="2"/>
  <c r="W70" i="2"/>
  <c r="W65" i="2"/>
  <c r="X71" i="2"/>
  <c r="V43" i="2"/>
  <c r="W43" i="2"/>
  <c r="X43" i="2"/>
  <c r="V30" i="2"/>
  <c r="W30" i="2"/>
  <c r="X30" i="2"/>
  <c r="V27" i="2"/>
  <c r="W27" i="2"/>
  <c r="X27" i="2"/>
  <c r="V17" i="2"/>
  <c r="V8" i="2"/>
  <c r="W17" i="2"/>
  <c r="V6" i="2"/>
  <c r="V32" i="2" s="1"/>
  <c r="W6" i="2"/>
  <c r="W9" i="2" s="1"/>
  <c r="W33" i="2" s="1"/>
  <c r="X17" i="2"/>
  <c r="X6" i="2"/>
  <c r="X9" i="2" s="1"/>
  <c r="X33" i="2" s="1"/>
  <c r="G18" i="2" l="1"/>
  <c r="G31" i="2" s="1"/>
  <c r="G32" i="2"/>
  <c r="E36" i="2"/>
  <c r="E58" i="2" s="1"/>
  <c r="G33" i="2"/>
  <c r="H97" i="2"/>
  <c r="D32" i="2"/>
  <c r="E34" i="2"/>
  <c r="J71" i="2"/>
  <c r="H23" i="2"/>
  <c r="D33" i="2"/>
  <c r="H28" i="2"/>
  <c r="D34" i="2"/>
  <c r="E28" i="2"/>
  <c r="D23" i="2"/>
  <c r="D28" i="2"/>
  <c r="J30" i="2"/>
  <c r="C33" i="2"/>
  <c r="H31" i="2"/>
  <c r="D81" i="2"/>
  <c r="D71" i="2"/>
  <c r="D58" i="2"/>
  <c r="D90" i="2" s="1"/>
  <c r="D91" i="2" s="1"/>
  <c r="H58" i="2"/>
  <c r="H90" i="2" s="1"/>
  <c r="H91" i="2" s="1"/>
  <c r="W71" i="2"/>
  <c r="X32" i="2"/>
  <c r="W32" i="2"/>
  <c r="V9" i="2"/>
  <c r="W18" i="2"/>
  <c r="X18" i="2"/>
  <c r="Z96" i="2"/>
  <c r="E83" i="2" l="1"/>
  <c r="E85" i="2" s="1"/>
  <c r="E90" i="2"/>
  <c r="E91" i="2" s="1"/>
  <c r="H83" i="2"/>
  <c r="H85" i="2" s="1"/>
  <c r="D83" i="2"/>
  <c r="D85" i="2" s="1"/>
  <c r="G20" i="2"/>
  <c r="V18" i="2"/>
  <c r="V33" i="2"/>
  <c r="X20" i="2"/>
  <c r="X31" i="2"/>
  <c r="W20" i="2"/>
  <c r="W31" i="2"/>
  <c r="G34" i="2" l="1"/>
  <c r="G94" i="2"/>
  <c r="G23" i="2"/>
  <c r="G97" i="2"/>
  <c r="G36" i="2"/>
  <c r="G58" i="2" s="1"/>
  <c r="G28" i="2"/>
  <c r="W97" i="2"/>
  <c r="W94" i="2"/>
  <c r="X97" i="2"/>
  <c r="X94" i="2"/>
  <c r="W34" i="2"/>
  <c r="W23" i="2"/>
  <c r="W36" i="2"/>
  <c r="W58" i="2" s="1"/>
  <c r="W28" i="2"/>
  <c r="X23" i="2"/>
  <c r="X34" i="2"/>
  <c r="X36" i="2"/>
  <c r="X58" i="2" s="1"/>
  <c r="X28" i="2"/>
  <c r="V20" i="2"/>
  <c r="V31" i="2"/>
  <c r="G90" i="2" l="1"/>
  <c r="G91" i="2" s="1"/>
  <c r="G83" i="2"/>
  <c r="G85" i="2" s="1"/>
  <c r="X90" i="2"/>
  <c r="X91" i="2" s="1"/>
  <c r="X83" i="2"/>
  <c r="X85" i="2" s="1"/>
  <c r="W90" i="2"/>
  <c r="W91" i="2" s="1"/>
  <c r="W83" i="2"/>
  <c r="W85" i="2" s="1"/>
  <c r="V36" i="2"/>
  <c r="V58" i="2" s="1"/>
  <c r="V34" i="2"/>
  <c r="V23" i="2"/>
  <c r="V28" i="2"/>
  <c r="V90" i="2" l="1"/>
  <c r="V91" i="2" s="1"/>
  <c r="V83" i="2"/>
  <c r="V85" i="2" s="1"/>
  <c r="Y81" i="2" l="1"/>
  <c r="Z81" i="2"/>
  <c r="AA81" i="2"/>
  <c r="Y71" i="2"/>
  <c r="Z71" i="2"/>
  <c r="AA71" i="2"/>
  <c r="Y30" i="2"/>
  <c r="Z30" i="2"/>
  <c r="AA30" i="2"/>
  <c r="Y27" i="2"/>
  <c r="Z27" i="2"/>
  <c r="AA27" i="2"/>
  <c r="Y6" i="2"/>
  <c r="Y9" i="2" s="1"/>
  <c r="Y18" i="2" s="1"/>
  <c r="Y20" i="2" s="1"/>
  <c r="Y23" i="2" s="1"/>
  <c r="Z6" i="2"/>
  <c r="Z9" i="2" s="1"/>
  <c r="Z18" i="2" s="1"/>
  <c r="Z20" i="2" s="1"/>
  <c r="AA6" i="2"/>
  <c r="AA9" i="2" s="1"/>
  <c r="AA18" i="2" s="1"/>
  <c r="AA31" i="2" s="1"/>
  <c r="AC27" i="2"/>
  <c r="P81" i="2"/>
  <c r="P71" i="2"/>
  <c r="K81" i="2"/>
  <c r="O81" i="2"/>
  <c r="K71" i="2"/>
  <c r="O71" i="2"/>
  <c r="N26" i="2"/>
  <c r="N25" i="2"/>
  <c r="N24" i="2"/>
  <c r="N4" i="2"/>
  <c r="N5" i="2"/>
  <c r="N7" i="2"/>
  <c r="N10" i="2"/>
  <c r="N12" i="2"/>
  <c r="N13" i="2"/>
  <c r="N19" i="2"/>
  <c r="N21" i="2"/>
  <c r="N3" i="2"/>
  <c r="N30" i="2" s="1"/>
  <c r="M30" i="2"/>
  <c r="M27" i="2"/>
  <c r="I27" i="2"/>
  <c r="I6" i="2"/>
  <c r="I9" i="2" s="1"/>
  <c r="M6" i="2"/>
  <c r="M9" i="2" s="1"/>
  <c r="M18" i="2" l="1"/>
  <c r="M20" i="2" s="1"/>
  <c r="I18" i="2"/>
  <c r="I20" i="2" s="1"/>
  <c r="Z34" i="2"/>
  <c r="Z97" i="2"/>
  <c r="Z94" i="2"/>
  <c r="Y36" i="2"/>
  <c r="Y58" i="2" s="1"/>
  <c r="Y90" i="2" s="1"/>
  <c r="Y91" i="2" s="1"/>
  <c r="AA32" i="2"/>
  <c r="AA33" i="2"/>
  <c r="Z36" i="2"/>
  <c r="Z58" i="2" s="1"/>
  <c r="Z90" i="2" s="1"/>
  <c r="Z91" i="2" s="1"/>
  <c r="Y32" i="2"/>
  <c r="Y33" i="2"/>
  <c r="Y34" i="2"/>
  <c r="Z31" i="2"/>
  <c r="Z32" i="2"/>
  <c r="Z23" i="2"/>
  <c r="Z33" i="2"/>
  <c r="Z28" i="2"/>
  <c r="Y28" i="2"/>
  <c r="Y31" i="2"/>
  <c r="AA20" i="2"/>
  <c r="M31" i="2"/>
  <c r="M32" i="2"/>
  <c r="M33" i="2"/>
  <c r="N27" i="2"/>
  <c r="L81" i="2"/>
  <c r="L71" i="2"/>
  <c r="I33" i="2"/>
  <c r="I31" i="2"/>
  <c r="I32" i="2"/>
  <c r="AB81" i="2"/>
  <c r="AC81" i="2"/>
  <c r="AD81" i="2"/>
  <c r="I34" i="2" l="1"/>
  <c r="I36" i="2"/>
  <c r="I58" i="2" s="1"/>
  <c r="I97" i="2"/>
  <c r="I94" i="2"/>
  <c r="I23" i="2"/>
  <c r="I28" i="2"/>
  <c r="M23" i="2"/>
  <c r="M36" i="2"/>
  <c r="M58" i="2" s="1"/>
  <c r="M97" i="2"/>
  <c r="M94" i="2"/>
  <c r="M34" i="2"/>
  <c r="M28" i="2"/>
  <c r="AA94" i="2"/>
  <c r="AA97" i="2"/>
  <c r="Y83" i="2"/>
  <c r="Y85" i="2" s="1"/>
  <c r="Z83" i="2"/>
  <c r="Z85" i="2" s="1"/>
  <c r="AA23" i="2"/>
  <c r="AA34" i="2"/>
  <c r="AA36" i="2"/>
  <c r="AA58" i="2" s="1"/>
  <c r="AA28" i="2"/>
  <c r="M83" i="2" l="1"/>
  <c r="M85" i="2" s="1"/>
  <c r="M90" i="2"/>
  <c r="M91" i="2" s="1"/>
  <c r="I90" i="2"/>
  <c r="I91" i="2" s="1"/>
  <c r="I83" i="2"/>
  <c r="I85" i="2" s="1"/>
  <c r="AA90" i="2"/>
  <c r="AA91" i="2" s="1"/>
  <c r="AA83" i="2"/>
  <c r="AA85" i="2" s="1"/>
  <c r="AB71" i="2" l="1"/>
  <c r="AC71" i="2"/>
  <c r="AD71" i="2"/>
  <c r="AB30" i="2"/>
  <c r="AC30" i="2"/>
  <c r="AD30" i="2"/>
  <c r="AB27" i="2"/>
  <c r="AD27" i="2"/>
  <c r="AB6" i="2"/>
  <c r="AC6" i="2"/>
  <c r="AD6" i="2"/>
  <c r="L30" i="2"/>
  <c r="P30" i="2"/>
  <c r="P27" i="2"/>
  <c r="L27" i="2"/>
  <c r="K30" i="2"/>
  <c r="O30" i="2"/>
  <c r="K27" i="2"/>
  <c r="O27" i="2"/>
  <c r="K6" i="2"/>
  <c r="K32" i="2" s="1"/>
  <c r="O6" i="2"/>
  <c r="O9" i="2" s="1"/>
  <c r="O18" i="2" s="1"/>
  <c r="P6" i="2"/>
  <c r="P9" i="2" s="1"/>
  <c r="F12" i="1"/>
  <c r="F11" i="1"/>
  <c r="F9" i="1" a="1"/>
  <c r="F9" i="1" s="1"/>
  <c r="F8" i="1" a="1"/>
  <c r="F8" i="1" s="1"/>
  <c r="Z2" i="2"/>
  <c r="AA2" i="2" s="1"/>
  <c r="AB2" i="2" s="1"/>
  <c r="AC2" i="2" s="1"/>
  <c r="AD2" i="2" s="1"/>
  <c r="AE2" i="2" s="1"/>
  <c r="AF2" i="2" s="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EG2" i="2" s="1"/>
  <c r="EH2" i="2" s="1"/>
  <c r="EI2" i="2" s="1"/>
  <c r="EJ2" i="2" s="1"/>
  <c r="EK2" i="2" s="1"/>
  <c r="EL2" i="2" s="1"/>
  <c r="EM2" i="2" s="1"/>
  <c r="EN2" i="2" s="1"/>
  <c r="EO2" i="2" s="1"/>
  <c r="EP2" i="2" s="1"/>
  <c r="EQ2" i="2" s="1"/>
  <c r="ER2" i="2" s="1"/>
  <c r="ES2" i="2" s="1"/>
  <c r="ET2" i="2" s="1"/>
  <c r="EU2" i="2" s="1"/>
  <c r="EV2" i="2" s="1"/>
  <c r="EW2" i="2" s="1"/>
  <c r="EX2" i="2" s="1"/>
  <c r="EY2" i="2" s="1"/>
  <c r="EZ2" i="2" s="1"/>
  <c r="FA2" i="2" s="1"/>
  <c r="FB2" i="2" s="1"/>
  <c r="FC2" i="2" s="1"/>
  <c r="FD2" i="2" s="1"/>
  <c r="FE2" i="2" s="1"/>
  <c r="FF2" i="2" s="1"/>
  <c r="FG2" i="2" s="1"/>
  <c r="FH2" i="2" s="1"/>
  <c r="FI2" i="2" s="1"/>
  <c r="FJ2" i="2" s="1"/>
  <c r="FK2" i="2" s="1"/>
  <c r="FL2" i="2" s="1"/>
  <c r="FM2" i="2" s="1"/>
  <c r="P33" i="2" l="1"/>
  <c r="P18" i="2"/>
  <c r="P20" i="2" s="1"/>
  <c r="P36" i="2" s="1"/>
  <c r="P58" i="2" s="1"/>
  <c r="P90" i="2" s="1"/>
  <c r="P91" i="2" s="1"/>
  <c r="AC9" i="2"/>
  <c r="J6" i="2"/>
  <c r="J32" i="2" s="1"/>
  <c r="AB9" i="2"/>
  <c r="F9" i="2" s="1"/>
  <c r="F33" i="2" s="1"/>
  <c r="F6" i="2"/>
  <c r="F32" i="2" s="1"/>
  <c r="AB18" i="2"/>
  <c r="AC33" i="2"/>
  <c r="AD9" i="2"/>
  <c r="AD18" i="2" s="1"/>
  <c r="AD32" i="2"/>
  <c r="AC32" i="2"/>
  <c r="AB32" i="2"/>
  <c r="AB33" i="2"/>
  <c r="F10" i="1"/>
  <c r="P32" i="2"/>
  <c r="K9" i="2"/>
  <c r="K18" i="2" s="1"/>
  <c r="O33" i="2"/>
  <c r="O32" i="2"/>
  <c r="L6" i="2"/>
  <c r="N6" i="2" s="1"/>
  <c r="N32" i="2" s="1"/>
  <c r="AB31" i="2" l="1"/>
  <c r="F18" i="2"/>
  <c r="F31" i="2" s="1"/>
  <c r="AC18" i="2"/>
  <c r="J9" i="2"/>
  <c r="J33" i="2" s="1"/>
  <c r="AD33" i="2"/>
  <c r="P28" i="2"/>
  <c r="P34" i="2"/>
  <c r="P83" i="2"/>
  <c r="P85" i="2" s="1"/>
  <c r="P23" i="2"/>
  <c r="P31" i="2"/>
  <c r="AB20" i="2"/>
  <c r="AD31" i="2"/>
  <c r="F13" i="1"/>
  <c r="AD20" i="2"/>
  <c r="K20" i="2"/>
  <c r="K36" i="2" s="1"/>
  <c r="K58" i="2" s="1"/>
  <c r="L9" i="2"/>
  <c r="L32" i="2"/>
  <c r="K33" i="2"/>
  <c r="O31" i="2"/>
  <c r="O20" i="2"/>
  <c r="O36" i="2" s="1"/>
  <c r="O58" i="2" s="1"/>
  <c r="AB28" i="2" l="1"/>
  <c r="F20" i="2"/>
  <c r="N9" i="2"/>
  <c r="L18" i="2"/>
  <c r="AD97" i="2"/>
  <c r="AD94" i="2"/>
  <c r="J18" i="2"/>
  <c r="J31" i="2" s="1"/>
  <c r="AC31" i="2"/>
  <c r="AC20" i="2"/>
  <c r="AB36" i="2"/>
  <c r="AB58" i="2" s="1"/>
  <c r="AB90" i="2" s="1"/>
  <c r="AB91" i="2" s="1"/>
  <c r="AB23" i="2"/>
  <c r="AB34" i="2"/>
  <c r="K90" i="2"/>
  <c r="K91" i="2" s="1"/>
  <c r="K83" i="2"/>
  <c r="K85" i="2" s="1"/>
  <c r="O90" i="2"/>
  <c r="O91" i="2" s="1"/>
  <c r="O83" i="2"/>
  <c r="O85" i="2" s="1"/>
  <c r="AE20" i="2"/>
  <c r="K31" i="2"/>
  <c r="AD23" i="2"/>
  <c r="AD36" i="2"/>
  <c r="AD58" i="2" s="1"/>
  <c r="AD34" i="2"/>
  <c r="AD28" i="2"/>
  <c r="K23" i="2"/>
  <c r="K34" i="2"/>
  <c r="K28" i="2"/>
  <c r="L33" i="2"/>
  <c r="O34" i="2"/>
  <c r="O23" i="2"/>
  <c r="O28" i="2"/>
  <c r="J20" i="2" l="1"/>
  <c r="AC97" i="2"/>
  <c r="AC94" i="2"/>
  <c r="AC28" i="2"/>
  <c r="AC23" i="2"/>
  <c r="AB83" i="2"/>
  <c r="AB85" i="2" s="1"/>
  <c r="N33" i="2"/>
  <c r="N18" i="2"/>
  <c r="N31" i="2" s="1"/>
  <c r="AC36" i="2"/>
  <c r="AC58" i="2" s="1"/>
  <c r="AC90" i="2" s="1"/>
  <c r="AC91" i="2" s="1"/>
  <c r="F36" i="2"/>
  <c r="F58" i="2" s="1"/>
  <c r="F23" i="2"/>
  <c r="F34" i="2"/>
  <c r="F28" i="2"/>
  <c r="AC34" i="2"/>
  <c r="AD90" i="2"/>
  <c r="AD91" i="2" s="1"/>
  <c r="AD83" i="2"/>
  <c r="AD85" i="2" s="1"/>
  <c r="AF20" i="2"/>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BK20" i="2" s="1"/>
  <c r="BL20" i="2" s="1"/>
  <c r="BM20" i="2" s="1"/>
  <c r="BN20" i="2" s="1"/>
  <c r="BO20" i="2" s="1"/>
  <c r="BP20" i="2" s="1"/>
  <c r="BQ20" i="2" s="1"/>
  <c r="BR20" i="2" s="1"/>
  <c r="BS20" i="2" s="1"/>
  <c r="BT20" i="2" s="1"/>
  <c r="BU20" i="2" s="1"/>
  <c r="BV20" i="2" s="1"/>
  <c r="BW20" i="2" s="1"/>
  <c r="BX20" i="2" s="1"/>
  <c r="BY20" i="2" s="1"/>
  <c r="BZ20" i="2" s="1"/>
  <c r="CA20" i="2" s="1"/>
  <c r="CB20" i="2" s="1"/>
  <c r="CC20" i="2" s="1"/>
  <c r="CD20" i="2" s="1"/>
  <c r="CE20" i="2" s="1"/>
  <c r="CF20" i="2" s="1"/>
  <c r="CG20" i="2" s="1"/>
  <c r="CH20" i="2" s="1"/>
  <c r="CI20" i="2" s="1"/>
  <c r="CJ20" i="2" s="1"/>
  <c r="CK20" i="2" s="1"/>
  <c r="CL20" i="2" s="1"/>
  <c r="CM20" i="2" s="1"/>
  <c r="CN20" i="2" s="1"/>
  <c r="CO20" i="2" s="1"/>
  <c r="CP20" i="2" s="1"/>
  <c r="CQ20" i="2" s="1"/>
  <c r="CR20" i="2" s="1"/>
  <c r="CS20" i="2" s="1"/>
  <c r="CT20" i="2" s="1"/>
  <c r="CU20" i="2" s="1"/>
  <c r="CV20" i="2" s="1"/>
  <c r="CW20" i="2" s="1"/>
  <c r="CX20" i="2" s="1"/>
  <c r="CY20" i="2" s="1"/>
  <c r="CZ20" i="2" s="1"/>
  <c r="DA20" i="2" s="1"/>
  <c r="DB20" i="2" s="1"/>
  <c r="DC20" i="2" s="1"/>
  <c r="DD20" i="2" s="1"/>
  <c r="DE20" i="2" s="1"/>
  <c r="DF20" i="2" s="1"/>
  <c r="DG20" i="2" s="1"/>
  <c r="DH20" i="2" s="1"/>
  <c r="DI20" i="2" s="1"/>
  <c r="DJ20" i="2" s="1"/>
  <c r="DK20" i="2" s="1"/>
  <c r="DL20" i="2" s="1"/>
  <c r="DM20" i="2" s="1"/>
  <c r="DN20" i="2" s="1"/>
  <c r="DO20" i="2" s="1"/>
  <c r="DP20" i="2" s="1"/>
  <c r="DQ20" i="2" s="1"/>
  <c r="DR20" i="2" s="1"/>
  <c r="DS20" i="2" s="1"/>
  <c r="DT20" i="2" s="1"/>
  <c r="DU20" i="2" s="1"/>
  <c r="DV20" i="2" s="1"/>
  <c r="DW20" i="2" s="1"/>
  <c r="DX20" i="2" s="1"/>
  <c r="DY20" i="2" s="1"/>
  <c r="DZ20" i="2" s="1"/>
  <c r="EA20" i="2" s="1"/>
  <c r="EB20" i="2" s="1"/>
  <c r="EC20" i="2" s="1"/>
  <c r="ED20" i="2" s="1"/>
  <c r="EE20" i="2" s="1"/>
  <c r="EF20" i="2" s="1"/>
  <c r="EG20" i="2" s="1"/>
  <c r="EH20" i="2" s="1"/>
  <c r="EI20" i="2" s="1"/>
  <c r="EJ20" i="2" s="1"/>
  <c r="EK20" i="2" s="1"/>
  <c r="EL20" i="2" s="1"/>
  <c r="EM20" i="2" s="1"/>
  <c r="EN20" i="2" s="1"/>
  <c r="EO20" i="2" s="1"/>
  <c r="EP20" i="2" s="1"/>
  <c r="EQ20" i="2" s="1"/>
  <c r="ER20" i="2" s="1"/>
  <c r="ES20" i="2" s="1"/>
  <c r="ET20" i="2" s="1"/>
  <c r="EU20" i="2" s="1"/>
  <c r="EV20" i="2" s="1"/>
  <c r="EW20" i="2" s="1"/>
  <c r="EX20" i="2" s="1"/>
  <c r="EY20" i="2" s="1"/>
  <c r="EZ20" i="2" s="1"/>
  <c r="FA20" i="2" s="1"/>
  <c r="FB20" i="2" s="1"/>
  <c r="FC20" i="2" s="1"/>
  <c r="FD20" i="2" s="1"/>
  <c r="FE20" i="2" s="1"/>
  <c r="FF20" i="2" s="1"/>
  <c r="FG20" i="2" s="1"/>
  <c r="FH20" i="2" s="1"/>
  <c r="FI20" i="2" s="1"/>
  <c r="FJ20" i="2" s="1"/>
  <c r="FK20" i="2" s="1"/>
  <c r="FL20" i="2" s="1"/>
  <c r="FM20" i="2" s="1"/>
  <c r="L20" i="2"/>
  <c r="L31" i="2"/>
  <c r="F90" i="2" l="1"/>
  <c r="F91" i="2" s="1"/>
  <c r="F83" i="2"/>
  <c r="F85" i="2" s="1"/>
  <c r="AC83" i="2"/>
  <c r="AC85" i="2" s="1"/>
  <c r="J97" i="2"/>
  <c r="J94" i="2"/>
  <c r="J34" i="2"/>
  <c r="J36" i="2"/>
  <c r="J58" i="2" s="1"/>
  <c r="J23" i="2"/>
  <c r="J28" i="2"/>
  <c r="N20" i="2"/>
  <c r="L36" i="2"/>
  <c r="L58" i="2" s="1"/>
  <c r="AH25" i="2"/>
  <c r="AH26" i="2" s="1"/>
  <c r="AH27" i="2" s="1"/>
  <c r="L34" i="2"/>
  <c r="L23" i="2"/>
  <c r="L28" i="2"/>
  <c r="N34" i="2" l="1"/>
  <c r="N36" i="2"/>
  <c r="N58" i="2" s="1"/>
  <c r="J90" i="2"/>
  <c r="J91" i="2" s="1"/>
  <c r="J83" i="2"/>
  <c r="J85" i="2" s="1"/>
  <c r="N23" i="2"/>
  <c r="N28" i="2"/>
  <c r="L90" i="2"/>
  <c r="L91" i="2" s="1"/>
  <c r="L83" i="2"/>
  <c r="L85" i="2" s="1"/>
  <c r="N90" i="2" l="1"/>
  <c r="N91" i="2" s="1"/>
  <c r="N83" i="2"/>
  <c r="N8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V8" authorId="0" shapeId="0" xr:uid="{6CFF799C-6281-49DD-849F-F626E605F4EB}">
      <text>
        <r>
          <rPr>
            <b/>
            <sz val="9"/>
            <color indexed="81"/>
            <rFont val="Tahoma"/>
            <family val="2"/>
            <charset val="238"/>
          </rPr>
          <t>Franciszek Kessler:</t>
        </r>
        <r>
          <rPr>
            <sz val="9"/>
            <color indexed="81"/>
            <rFont val="Tahoma"/>
            <family val="2"/>
            <charset val="238"/>
          </rPr>
          <t xml:space="preserve">
41 reduction of PMI tax related receivable
</t>
        </r>
      </text>
    </comment>
    <comment ref="W70" authorId="0" shapeId="0" xr:uid="{91F153C6-311C-4E9E-A12B-EB1FA9996822}">
      <text>
        <r>
          <rPr>
            <b/>
            <sz val="9"/>
            <color indexed="81"/>
            <rFont val="Tahoma"/>
            <family val="2"/>
            <charset val="238"/>
          </rPr>
          <t>Franciszek Kessler:</t>
        </r>
        <r>
          <rPr>
            <sz val="9"/>
            <color indexed="81"/>
            <rFont val="Tahoma"/>
            <family val="2"/>
            <charset val="238"/>
          </rPr>
          <t xml:space="preserve">
510 from proceeds from derivative financial instruments</t>
        </r>
      </text>
    </comment>
    <comment ref="AA96" authorId="0" shapeId="0" xr:uid="{6428D2CF-919B-4D0B-ABA2-8F0E3234AEF2}">
      <text>
        <r>
          <rPr>
            <b/>
            <sz val="9"/>
            <color indexed="81"/>
            <rFont val="Tahoma"/>
            <family val="2"/>
            <charset val="238"/>
          </rPr>
          <t>Franciszek Kessler:</t>
        </r>
        <r>
          <rPr>
            <sz val="9"/>
            <color indexed="81"/>
            <rFont val="Tahoma"/>
            <family val="2"/>
            <charset val="238"/>
          </rPr>
          <t xml:space="preserve">
short term debt + long term debt + total stockholders equity</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<sst xmlns="http://schemas.openxmlformats.org/spreadsheetml/2006/main" count="466" uniqueCount="109">
  <si>
    <t>Price</t>
  </si>
  <si>
    <t>Shares</t>
  </si>
  <si>
    <t>MC</t>
  </si>
  <si>
    <t>Cash</t>
  </si>
  <si>
    <t>Debt</t>
  </si>
  <si>
    <t>EV</t>
  </si>
  <si>
    <t>Q122</t>
  </si>
  <si>
    <t>Q222</t>
  </si>
  <si>
    <t>Q322</t>
  </si>
  <si>
    <t>Q422</t>
  </si>
  <si>
    <t>Q123</t>
  </si>
  <si>
    <t>Q223</t>
  </si>
  <si>
    <t>Q323</t>
  </si>
  <si>
    <t>Q423</t>
  </si>
  <si>
    <t>Q124</t>
  </si>
  <si>
    <t>Q224</t>
  </si>
  <si>
    <t>in M</t>
  </si>
  <si>
    <t>in M USD</t>
  </si>
  <si>
    <t>Main</t>
  </si>
  <si>
    <t>in M usd</t>
  </si>
  <si>
    <t>Q324</t>
  </si>
  <si>
    <t>Net revenues</t>
  </si>
  <si>
    <t>Cost of sales</t>
  </si>
  <si>
    <t>Excise taxes on products</t>
  </si>
  <si>
    <t>Gross profit</t>
  </si>
  <si>
    <t>Marketing, administration and research costs</t>
  </si>
  <si>
    <t>Operating income</t>
  </si>
  <si>
    <t>Interest and other debt expense, net</t>
  </si>
  <si>
    <t>Net periodic benefit income, excluding service cost</t>
  </si>
  <si>
    <t>(Income) losses from investments in equity securities</t>
  </si>
  <si>
    <t>Earnings before income taxes</t>
  </si>
  <si>
    <t>Provision for income taxes</t>
  </si>
  <si>
    <t>Net earnings</t>
  </si>
  <si>
    <t>EPS</t>
  </si>
  <si>
    <t>Benefit plans</t>
  </si>
  <si>
    <t>ABI</t>
  </si>
  <si>
    <t>Currency translation adjustments and other</t>
  </si>
  <si>
    <t>Other comprehensive earnings (losses) net of deferred income taxes</t>
  </si>
  <si>
    <t>Comprehensive earnings</t>
  </si>
  <si>
    <t>Revenue y/y</t>
  </si>
  <si>
    <t>Tax rate</t>
  </si>
  <si>
    <t>GM</t>
  </si>
  <si>
    <t>OM</t>
  </si>
  <si>
    <t>PM</t>
  </si>
  <si>
    <t>Gain on sale of IQOS system commercialization rights</t>
  </si>
  <si>
    <t>-</t>
  </si>
  <si>
    <t>Loss on early extinguishment of debt</t>
  </si>
  <si>
    <t>Loss on Cronos-related financial instruments</t>
  </si>
  <si>
    <t>D&amp;A</t>
  </si>
  <si>
    <t xml:space="preserve">Deferred income tax provision (benefit) </t>
  </si>
  <si>
    <t>Unrecognized tax benefit</t>
  </si>
  <si>
    <t>Dividends from ABI</t>
  </si>
  <si>
    <t>Receivables</t>
  </si>
  <si>
    <t>Inventories</t>
  </si>
  <si>
    <t>Accounts payable</t>
  </si>
  <si>
    <t>Income taxes</t>
  </si>
  <si>
    <t>Accrued liabilities and other current assets</t>
  </si>
  <si>
    <t>Accrued settlement charges</t>
  </si>
  <si>
    <t>Pension plan contributions</t>
  </si>
  <si>
    <t>Pension and postretirement</t>
  </si>
  <si>
    <t>Other net</t>
  </si>
  <si>
    <t>CFFO</t>
  </si>
  <si>
    <t>Capital Expenditures</t>
  </si>
  <si>
    <t>Proceeds from the sale of IQOS System commercialization rights</t>
  </si>
  <si>
    <t>Proceeds from the Ste. Michelle transaction, net of cash transferred</t>
  </si>
  <si>
    <t>Acquisition of NJOY net of cash acquired</t>
  </si>
  <si>
    <t>CFI</t>
  </si>
  <si>
    <t>Proceeds from short-term borrowings</t>
  </si>
  <si>
    <t>Repayment of short-term borrowings</t>
  </si>
  <si>
    <t>Long-term debt issued</t>
  </si>
  <si>
    <t>Long-term debt repaid</t>
  </si>
  <si>
    <t>Repurchases of common stock</t>
  </si>
  <si>
    <t>Dividends paid on common stock</t>
  </si>
  <si>
    <t>Premiums and fees related to early extinguishment of debt</t>
  </si>
  <si>
    <t>CFFA</t>
  </si>
  <si>
    <t>cash change</t>
  </si>
  <si>
    <t>cash beg</t>
  </si>
  <si>
    <t xml:space="preserve">cash end </t>
  </si>
  <si>
    <t>cash paid for interest</t>
  </si>
  <si>
    <t>cash paid for income taxes</t>
  </si>
  <si>
    <t>FCF</t>
  </si>
  <si>
    <t>f</t>
  </si>
  <si>
    <t>gr</t>
  </si>
  <si>
    <t>dr</t>
  </si>
  <si>
    <t>npv</t>
  </si>
  <si>
    <t>net npv</t>
  </si>
  <si>
    <t>up</t>
  </si>
  <si>
    <t>Proceeds from the ABI transaction</t>
  </si>
  <si>
    <t>payout/fcf</t>
  </si>
  <si>
    <t>Fair value adjustment for NJOY transaction contingent payments</t>
  </si>
  <si>
    <t>Gain on the sale of IQOS system commercialization rights</t>
  </si>
  <si>
    <t>Asset impairment</t>
  </si>
  <si>
    <t>Asset imapirment and exit costs</t>
  </si>
  <si>
    <t>Impairment of JUUL equity securities</t>
  </si>
  <si>
    <t>Loss on ABI/SABMiller business combination</t>
  </si>
  <si>
    <t>Acquisition of business and assets</t>
  </si>
  <si>
    <t>Investment in JUUL</t>
  </si>
  <si>
    <t>Investment in Cronos</t>
  </si>
  <si>
    <t>ROA</t>
  </si>
  <si>
    <t>Total assets</t>
  </si>
  <si>
    <t>Working capital</t>
  </si>
  <si>
    <t>ROIC</t>
  </si>
  <si>
    <t>Proceeds from finance assets</t>
  </si>
  <si>
    <t>Payment for derivative financial instruments</t>
  </si>
  <si>
    <t>Q121</t>
  </si>
  <si>
    <t>Q221</t>
  </si>
  <si>
    <t>Q321</t>
  </si>
  <si>
    <t>Q421</t>
  </si>
  <si>
    <t>Q424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</si>
</sst>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d\-mm;@"/>
  </numFmts>
  <fonts count="11" x14ac:knownFonts="1">
    <font>
      <sz val="11"/>
      <color theme="1"/>
      <name val="Calibri"/>
      <family val="2"/>
      <charset val="238"/>
      <scheme val="minor"/>
    </font>
    <font>
      <sz val="10"/>
      <color theme="1"/>
      <name val="Arial"/>
      <family val="2"/>
      <charset val="238"/>
    </font>
    <font>
      <sz val="8"/>
      <name val="Calibri"/>
      <family val="2"/>
      <charset val="238"/>
      <scheme val="minor"/>
    </font>
    <font>
      <sz val="9"/>
      <color indexed="81"/>
      <name val="Tahoma"/>
      <family val="2"/>
      <charset val="238"/>
    </font>
    <font>
      <b/>
      <sz val="9"/>
      <color indexed="81"/>
      <name val="Tahoma"/>
      <family val="2"/>
      <charset val="238"/>
    </font>
    <font>
      <u/>
      <sz val="11"/>
      <color theme="10"/>
      <name val="Calibri"/>
      <family val="2"/>
      <charset val="238"/>
      <scheme val="minor"/>
    </font>
    <font>
      <b/>
      <sz val="10"/>
      <color theme="1"/>
      <name val="Arial"/>
      <family val="2"/>
      <charset val="238"/>
    </font>
    <font>
      <u/>
      <sz val="10"/>
      <color theme="10"/>
      <name val="Arial"/>
      <family val="2"/>
      <charset val="238"/>
    </font>
    <font>
      <i/>
      <sz val="10"/>
      <color theme="1"/>
      <name val="Arial"/>
      <family val="2"/>
      <charset val="238"/>
    </font>
    <font>
      <b/>
      <i/>
      <sz val="10"/>
      <color theme="1"/>
      <name val="Arial"/>
      <family val="2"/>
      <charset val="238"/>
    </font>
    <font>
      <b/>
      <sz val="10"/>
      <color indexed="8"/>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8" fillId="0" borderId="0" xfId="0" applyFont="1"/>
    <xf numFmtId="0" fontId="1" fillId="0" borderId="0" xfId="0" applyFont="1"/>
    <xf numFmtId="0" fontId="9" fillId="0" borderId="0" xfId="0" applyFont="1"/>
    <xf numFmtId="0" fontId="6" fillId="0" borderId="0" xfId="0" applyFont="1"/>
    <xf numFmtId="3" fontId="6" fillId="0" borderId="0" xfId="0" applyNumberFormat="1" applyFont="1"/>
    <xf numFmtId="3" fontId="1" fillId="0" borderId="0" xfId="0" applyNumberFormat="1" applyFont="1"/>
    <xf numFmtId="9" fontId="1" fillId="0" borderId="0" xfId="0" applyNumberFormat="1" applyFont="1"/>
    <xf numFmtId="9" fontId="8" fillId="0" borderId="0" xfId="0" applyNumberFormat="1" applyFont="1"/>
    <xf numFmtId="10" fontId="8" fillId="0" borderId="0" xfId="0" applyNumberFormat="1" applyFont="1"/>
    <xf numFmtId="10" fontId="1" fillId="0" borderId="0" xfId="0" applyNumberFormat="1" applyFont="1"/>
    <xf numFmtId="164" fontId="1" fillId="0" borderId="0" xfId="0" applyNumberFormat="1" applyFont="1"/>
    <xf numFmtId="0" fontId="10" fillId="0" borderId="0" xfId="0" applyFont="1"/>
    <xf numFmtId="14" fontId="1" fillId="0" borderId="0" xfId="0" applyNumberFormat="1" applyFont="1"/>
    <xf numFmtId="165" fontId="7" fillId="0" borderId="0" xfId="1" applyNumberFormat="1" applyFont="1"/>
    <xf numFmtId="165"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17</xdr:col>
      <xdr:colOff>34983</xdr:colOff>
      <xdr:row>0</xdr:row>
      <xdr:rowOff>81568</xdr:rowOff>
    </xdr:from>
    <xdr:to>
      <xdr:col>17</xdr:col>
      <xdr:colOff>34983</xdr:colOff>
      <xdr:row>150</xdr:row>
      <xdr:rowOff>88553</xdr:rowOff>
    </xdr:to>
    <xdr:cxnSp macro="">
      <xdr:nvCxnSpPr>
        <xdr:cNvPr id="3" name="Straight Connector 2">
          <a:extLst>
            <a:ext uri="{FF2B5EF4-FFF2-40B4-BE49-F238E27FC236}">
              <a16:creationId xmlns:a16="http://schemas.microsoft.com/office/drawing/2014/main" id="{AB974397-2621-224F-51AE-B64322E22395}"/>
            </a:ext>
          </a:extLst>
        </xdr:cNvPr>
        <xdr:cNvCxnSpPr/>
      </xdr:nvCxnSpPr>
      <xdr:spPr>
        <a:xfrm>
          <a:off x="10763943" y="81568"/>
          <a:ext cx="0" cy="251529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62346</xdr:colOff>
      <xdr:row>1</xdr:row>
      <xdr:rowOff>13854</xdr:rowOff>
    </xdr:from>
    <xdr:to>
      <xdr:col>30</xdr:col>
      <xdr:colOff>62346</xdr:colOff>
      <xdr:row>150</xdr:row>
      <xdr:rowOff>22744</xdr:rowOff>
    </xdr:to>
    <xdr:cxnSp macro="">
      <xdr:nvCxnSpPr>
        <xdr:cNvPr id="5" name="Straight Connector 4">
          <a:extLst>
            <a:ext uri="{FF2B5EF4-FFF2-40B4-BE49-F238E27FC236}">
              <a16:creationId xmlns:a16="http://schemas.microsoft.com/office/drawing/2014/main" id="{B0EE9528-761F-4EF3-BEE3-E462C1297277}"/>
            </a:ext>
          </a:extLst>
        </xdr:cNvPr>
        <xdr:cNvCxnSpPr/>
      </xdr:nvCxnSpPr>
      <xdr:spPr>
        <a:xfrm>
          <a:off x="13639801" y="193963"/>
          <a:ext cx="0" cy="237832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https://www.bing.com/financeapi/forcetrigger?t=a1xtpr&amp;q=XNYS%3aMO&amp;form=skydnc</v>
    <v>Learn more on Bing</v>
  </rv>
  <rv s="1">
    <v>en-US</v>
    <v>a1xtpr</v>
    <v>268435456</v>
    <v>1</v>
    <v>Powered by Refinitiv</v>
    <v>0</v>
    <v>Altria Group, Inc. (XNYS:MO)</v>
    <v>2</v>
    <v>3</v>
    <v>Finance</v>
    <v>4</v>
    <v>58.034999999999997</v>
    <v>39.25</v>
    <v>0.68089999999999995</v>
    <v>0.11700000000000001</v>
    <v>2.2919999999999998E-3</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51.53</v>
    <v>Food &amp; Tobacco</v>
    <v>Stock</v>
    <v>45673.857523240622</v>
    <v>0</v>
    <v>50.72</v>
    <v>86215130000</v>
    <v>Altria Group, Inc.</v>
    <v>Altria Group, Inc.</v>
    <v>50.9</v>
    <v>8.6189999999999998</v>
    <v>51.04</v>
    <v>51.156999999999996</v>
    <v>1694813000</v>
    <v>MO</v>
    <v>Altria Group, Inc. (XNYS:MO)</v>
    <v>3523660</v>
    <v>7971610</v>
    <v>1985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F600-D258-4A06-817C-411221231C5A}">
  <dimension ref="E1:Q13"/>
  <sheetViews>
    <sheetView workbookViewId="0">
      <selection activeCell="Q1" sqref="Q1:R2"/>
    </sheetView>
  </sheetViews>
  <sheetFormatPr defaultRowHeight="13.2" x14ac:dyDescent="0.25"/>
  <cols>
    <col min="1" max="1" width="8.88671875" style="2"/>
    <col min="2" max="2" width="16.5546875" style="2" customWidth="1"/>
    <col min="3" max="16384" width="8.88671875" style="2"/>
  </cols>
  <sheetData>
    <row r="1" spans="5:17" x14ac:dyDescent="0.25">
      <c r="Q1" s="13"/>
    </row>
    <row r="3" spans="5:17" s="12" customFormat="1" x14ac:dyDescent="0.25"/>
    <row r="5" spans="5:17" x14ac:dyDescent="0.25">
      <c r="F5" s="2" t="e" vm="1">
        <v>#VALUE!</v>
      </c>
    </row>
    <row r="7" spans="5:17" x14ac:dyDescent="0.25">
      <c r="F7" s="2" t="s">
        <v>15</v>
      </c>
      <c r="G7" s="2" t="s">
        <v>20</v>
      </c>
    </row>
    <row r="8" spans="5:17" x14ac:dyDescent="0.25">
      <c r="E8" s="2" t="s">
        <v>0</v>
      </c>
      <c r="F8" s="11" cm="1">
        <f t="array" aca="1" ref="F8" ca="1">+_FV(F5,"Price")</f>
        <v>51.156999999999996</v>
      </c>
      <c r="G8" s="11" cm="1">
        <f t="array" aca="1" ref="G8" ca="1">+_FV(F5,"Price")</f>
        <v>51.156999999999996</v>
      </c>
    </row>
    <row r="9" spans="5:17" x14ac:dyDescent="0.25">
      <c r="E9" s="2" t="s">
        <v>1</v>
      </c>
      <c r="F9" s="6" cm="1">
        <f t="array" aca="1" ref="F9" ca="1">+_FV(F5,"Shares outstanding",TRUE)/1000000</f>
        <v>1694.8130000000001</v>
      </c>
      <c r="G9" s="6" cm="1">
        <f t="array" aca="1" ref="G9" ca="1">+_FV(F5,"Shares outstanding",TRUE)/1000000</f>
        <v>1694.8130000000001</v>
      </c>
      <c r="H9" s="2" t="s">
        <v>16</v>
      </c>
    </row>
    <row r="10" spans="5:17" x14ac:dyDescent="0.25">
      <c r="E10" s="2" t="s">
        <v>2</v>
      </c>
      <c r="F10" s="6">
        <f ca="1">+F9*F8</f>
        <v>86701.548641000001</v>
      </c>
      <c r="G10" s="6">
        <f ca="1">+G9*G8</f>
        <v>86701.548641000001</v>
      </c>
      <c r="H10" s="2" t="s">
        <v>17</v>
      </c>
    </row>
    <row r="11" spans="5:17" x14ac:dyDescent="0.25">
      <c r="E11" s="2" t="s">
        <v>3</v>
      </c>
      <c r="F11" s="6">
        <f>1799+72+316+8335</f>
        <v>10522</v>
      </c>
      <c r="G11" s="6">
        <f>1897+87+8153</f>
        <v>10137</v>
      </c>
      <c r="H11" s="2" t="s">
        <v>17</v>
      </c>
    </row>
    <row r="12" spans="5:17" x14ac:dyDescent="0.25">
      <c r="E12" s="2" t="s">
        <v>4</v>
      </c>
      <c r="F12" s="6">
        <f>1553+556+23470+3281</f>
        <v>28860</v>
      </c>
      <c r="G12" s="6">
        <f>1585+510+23570</f>
        <v>25665</v>
      </c>
      <c r="H12" s="2" t="s">
        <v>17</v>
      </c>
    </row>
    <row r="13" spans="5:17" x14ac:dyDescent="0.25">
      <c r="E13" s="2" t="s">
        <v>5</v>
      </c>
      <c r="F13" s="6">
        <f ca="1">+F12+F10-F11</f>
        <v>105039.548641</v>
      </c>
      <c r="G13" s="6">
        <f ca="1">+G12+G10-G11</f>
        <v>102229.548641</v>
      </c>
      <c r="H13"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3057-3870-4DFD-8E06-88FDDED23778}">
  <dimension ref="A1:FN119"/>
  <sheetViews>
    <sheetView tabSelected="1" zoomScaleNormal="100" workbookViewId="0">
      <pane xSplit="2" ySplit="2" topLeftCell="Q3" activePane="bottomRight" state="frozen"/>
      <selection pane="topRight" activeCell="C1" sqref="C1"/>
      <selection pane="bottomLeft" activeCell="A3" sqref="A3"/>
      <selection pane="bottomRight" activeCell="Q3" sqref="Q3"/>
    </sheetView>
  </sheetViews>
  <sheetFormatPr defaultRowHeight="13.2" x14ac:dyDescent="0.25"/>
  <cols>
    <col min="1" max="1" width="4.88671875" style="1" bestFit="1" customWidth="1"/>
    <col min="2" max="2" width="16.5546875" style="2" customWidth="1"/>
    <col min="3" max="5" width="9" style="2" bestFit="1" customWidth="1"/>
    <col min="6" max="6" width="9.109375" style="2" bestFit="1" customWidth="1"/>
    <col min="7" max="16" width="9" style="2" bestFit="1" customWidth="1"/>
    <col min="17" max="20" width="8.88671875" style="2"/>
    <col min="21" max="29" width="9" style="2" bestFit="1" customWidth="1"/>
    <col min="30" max="30" width="9.21875" style="2" bestFit="1" customWidth="1"/>
    <col min="31" max="169" width="9" style="2" bestFit="1" customWidth="1"/>
    <col min="170" max="16384" width="8.88671875" style="2"/>
  </cols>
  <sheetData>
    <row r="1" spans="1:170" s="15" customFormat="1" x14ac:dyDescent="0.25">
      <c r="A1" s="14" t="s">
        <v>18</v>
      </c>
      <c r="C1" s="15">
        <v>44286</v>
      </c>
      <c r="D1" s="15">
        <v>44377</v>
      </c>
      <c r="E1" s="15">
        <v>44469</v>
      </c>
      <c r="F1" s="15">
        <v>44561</v>
      </c>
      <c r="G1" s="15">
        <v>44651</v>
      </c>
      <c r="H1" s="15">
        <v>44742</v>
      </c>
      <c r="I1" s="15">
        <v>44834</v>
      </c>
      <c r="J1" s="15">
        <v>44926</v>
      </c>
      <c r="K1" s="15">
        <v>45016</v>
      </c>
      <c r="L1" s="15">
        <v>45473</v>
      </c>
      <c r="M1" s="15">
        <v>45199</v>
      </c>
      <c r="N1" s="15">
        <v>45291</v>
      </c>
      <c r="O1" s="15">
        <v>45382</v>
      </c>
      <c r="P1" s="15">
        <v>45473</v>
      </c>
      <c r="Q1" s="15">
        <v>45565</v>
      </c>
      <c r="V1" s="15">
        <v>42369</v>
      </c>
      <c r="W1" s="15">
        <v>42735</v>
      </c>
      <c r="X1" s="15">
        <v>43100</v>
      </c>
      <c r="Y1" s="15">
        <v>43465</v>
      </c>
      <c r="Z1" s="15">
        <v>43830</v>
      </c>
      <c r="AA1" s="15">
        <v>44196</v>
      </c>
      <c r="AB1" s="15">
        <v>44561</v>
      </c>
      <c r="AC1" s="15">
        <v>44926</v>
      </c>
      <c r="AD1" s="15">
        <v>45291</v>
      </c>
    </row>
    <row r="2" spans="1:170" x14ac:dyDescent="0.25">
      <c r="B2" s="2" t="s">
        <v>19</v>
      </c>
      <c r="C2" s="2" t="s">
        <v>104</v>
      </c>
      <c r="D2" s="2" t="s">
        <v>105</v>
      </c>
      <c r="E2" s="2" t="s">
        <v>106</v>
      </c>
      <c r="F2" s="2" t="s">
        <v>107</v>
      </c>
      <c r="G2" s="2" t="s">
        <v>6</v>
      </c>
      <c r="H2" s="2" t="s">
        <v>7</v>
      </c>
      <c r="I2" s="2" t="s">
        <v>8</v>
      </c>
      <c r="J2" s="2" t="s">
        <v>9</v>
      </c>
      <c r="K2" s="2" t="s">
        <v>10</v>
      </c>
      <c r="L2" s="2" t="s">
        <v>11</v>
      </c>
      <c r="M2" s="2" t="s">
        <v>12</v>
      </c>
      <c r="N2" s="2" t="s">
        <v>13</v>
      </c>
      <c r="O2" s="2" t="s">
        <v>14</v>
      </c>
      <c r="P2" s="2" t="s">
        <v>15</v>
      </c>
      <c r="Q2" s="2" t="s">
        <v>20</v>
      </c>
      <c r="R2" s="2" t="s">
        <v>108</v>
      </c>
      <c r="U2" s="2">
        <v>2014</v>
      </c>
      <c r="V2" s="2">
        <v>2015</v>
      </c>
      <c r="W2" s="2">
        <v>2016</v>
      </c>
      <c r="X2" s="2">
        <v>2017</v>
      </c>
      <c r="Y2" s="2">
        <v>2018</v>
      </c>
      <c r="Z2" s="2">
        <f>Y2+1</f>
        <v>2019</v>
      </c>
      <c r="AA2" s="2">
        <f t="shared" ref="AA2:AI2" si="0">Z2+1</f>
        <v>2020</v>
      </c>
      <c r="AB2" s="2">
        <f t="shared" si="0"/>
        <v>2021</v>
      </c>
      <c r="AC2" s="2">
        <f t="shared" si="0"/>
        <v>2022</v>
      </c>
      <c r="AD2" s="2">
        <f t="shared" si="0"/>
        <v>2023</v>
      </c>
      <c r="AE2" s="2">
        <f t="shared" si="0"/>
        <v>2024</v>
      </c>
      <c r="AF2" s="2">
        <f t="shared" si="0"/>
        <v>2025</v>
      </c>
      <c r="AG2" s="2">
        <f t="shared" si="0"/>
        <v>2026</v>
      </c>
      <c r="AH2" s="2">
        <f t="shared" si="0"/>
        <v>2027</v>
      </c>
      <c r="AI2" s="2">
        <f t="shared" si="0"/>
        <v>2028</v>
      </c>
      <c r="AJ2" s="2">
        <f t="shared" ref="AJ2" si="1">AI2+1</f>
        <v>2029</v>
      </c>
      <c r="AK2" s="2">
        <f t="shared" ref="AK2" si="2">AJ2+1</f>
        <v>2030</v>
      </c>
      <c r="AL2" s="2">
        <f t="shared" ref="AL2" si="3">AK2+1</f>
        <v>2031</v>
      </c>
      <c r="AM2" s="2">
        <f t="shared" ref="AM2" si="4">AL2+1</f>
        <v>2032</v>
      </c>
      <c r="AN2" s="2">
        <f t="shared" ref="AN2" si="5">AM2+1</f>
        <v>2033</v>
      </c>
      <c r="AO2" s="2">
        <f t="shared" ref="AO2" si="6">AN2+1</f>
        <v>2034</v>
      </c>
      <c r="AP2" s="2">
        <f t="shared" ref="AP2" si="7">AO2+1</f>
        <v>2035</v>
      </c>
      <c r="AQ2" s="2">
        <f t="shared" ref="AQ2" si="8">AP2+1</f>
        <v>2036</v>
      </c>
      <c r="AR2" s="2">
        <f t="shared" ref="AR2" si="9">AQ2+1</f>
        <v>2037</v>
      </c>
      <c r="AS2" s="2">
        <f t="shared" ref="AS2" si="10">AR2+1</f>
        <v>2038</v>
      </c>
      <c r="AT2" s="2">
        <f t="shared" ref="AT2" si="11">AS2+1</f>
        <v>2039</v>
      </c>
      <c r="AU2" s="2">
        <f t="shared" ref="AU2" si="12">AT2+1</f>
        <v>2040</v>
      </c>
      <c r="AV2" s="2">
        <f t="shared" ref="AV2" si="13">AU2+1</f>
        <v>2041</v>
      </c>
      <c r="AW2" s="2">
        <f t="shared" ref="AW2" si="14">AV2+1</f>
        <v>2042</v>
      </c>
      <c r="AX2" s="2">
        <f t="shared" ref="AX2" si="15">AW2+1</f>
        <v>2043</v>
      </c>
      <c r="AY2" s="2">
        <f t="shared" ref="AY2" si="16">AX2+1</f>
        <v>2044</v>
      </c>
      <c r="AZ2" s="2">
        <f t="shared" ref="AZ2" si="17">AY2+1</f>
        <v>2045</v>
      </c>
      <c r="BA2" s="2">
        <f t="shared" ref="BA2" si="18">AZ2+1</f>
        <v>2046</v>
      </c>
      <c r="BB2" s="2">
        <f t="shared" ref="BB2" si="19">BA2+1</f>
        <v>2047</v>
      </c>
      <c r="BC2" s="2">
        <f t="shared" ref="BC2" si="20">BB2+1</f>
        <v>2048</v>
      </c>
      <c r="BD2" s="2">
        <f t="shared" ref="BD2" si="21">BC2+1</f>
        <v>2049</v>
      </c>
      <c r="BE2" s="2">
        <f t="shared" ref="BE2" si="22">BD2+1</f>
        <v>2050</v>
      </c>
      <c r="BF2" s="2">
        <f t="shared" ref="BF2" si="23">BE2+1</f>
        <v>2051</v>
      </c>
      <c r="BG2" s="2">
        <f t="shared" ref="BG2" si="24">BF2+1</f>
        <v>2052</v>
      </c>
      <c r="BH2" s="2">
        <f t="shared" ref="BH2" si="25">BG2+1</f>
        <v>2053</v>
      </c>
      <c r="BI2" s="2">
        <f t="shared" ref="BI2" si="26">BH2+1</f>
        <v>2054</v>
      </c>
      <c r="BJ2" s="2">
        <f t="shared" ref="BJ2" si="27">BI2+1</f>
        <v>2055</v>
      </c>
      <c r="BK2" s="2">
        <f t="shared" ref="BK2" si="28">BJ2+1</f>
        <v>2056</v>
      </c>
      <c r="BL2" s="2">
        <f t="shared" ref="BL2" si="29">BK2+1</f>
        <v>2057</v>
      </c>
      <c r="BM2" s="2">
        <f t="shared" ref="BM2" si="30">BL2+1</f>
        <v>2058</v>
      </c>
      <c r="BN2" s="2">
        <f t="shared" ref="BN2" si="31">BM2+1</f>
        <v>2059</v>
      </c>
      <c r="BO2" s="2">
        <f t="shared" ref="BO2" si="32">BN2+1</f>
        <v>2060</v>
      </c>
      <c r="BP2" s="2">
        <f t="shared" ref="BP2" si="33">BO2+1</f>
        <v>2061</v>
      </c>
      <c r="BQ2" s="2">
        <f t="shared" ref="BQ2" si="34">BP2+1</f>
        <v>2062</v>
      </c>
      <c r="BR2" s="2">
        <f t="shared" ref="BR2" si="35">BQ2+1</f>
        <v>2063</v>
      </c>
      <c r="BS2" s="2">
        <f t="shared" ref="BS2" si="36">BR2+1</f>
        <v>2064</v>
      </c>
      <c r="BT2" s="2">
        <f t="shared" ref="BT2" si="37">BS2+1</f>
        <v>2065</v>
      </c>
      <c r="BU2" s="2">
        <f t="shared" ref="BU2" si="38">BT2+1</f>
        <v>2066</v>
      </c>
      <c r="BV2" s="2">
        <f t="shared" ref="BV2" si="39">BU2+1</f>
        <v>2067</v>
      </c>
      <c r="BW2" s="2">
        <f t="shared" ref="BW2" si="40">BV2+1</f>
        <v>2068</v>
      </c>
      <c r="BX2" s="2">
        <f t="shared" ref="BX2" si="41">BW2+1</f>
        <v>2069</v>
      </c>
      <c r="BY2" s="2">
        <f t="shared" ref="BY2" si="42">BX2+1</f>
        <v>2070</v>
      </c>
      <c r="BZ2" s="2">
        <f t="shared" ref="BZ2" si="43">BY2+1</f>
        <v>2071</v>
      </c>
      <c r="CA2" s="2">
        <f t="shared" ref="CA2" si="44">BZ2+1</f>
        <v>2072</v>
      </c>
      <c r="CB2" s="2">
        <f t="shared" ref="CB2" si="45">CA2+1</f>
        <v>2073</v>
      </c>
      <c r="CC2" s="2">
        <f t="shared" ref="CC2" si="46">CB2+1</f>
        <v>2074</v>
      </c>
      <c r="CD2" s="2">
        <f t="shared" ref="CD2" si="47">CC2+1</f>
        <v>2075</v>
      </c>
      <c r="CE2" s="2">
        <f t="shared" ref="CE2" si="48">CD2+1</f>
        <v>2076</v>
      </c>
      <c r="CF2" s="2">
        <f t="shared" ref="CF2" si="49">CE2+1</f>
        <v>2077</v>
      </c>
      <c r="CG2" s="2">
        <f t="shared" ref="CG2" si="50">CF2+1</f>
        <v>2078</v>
      </c>
      <c r="CH2" s="2">
        <f t="shared" ref="CH2" si="51">CG2+1</f>
        <v>2079</v>
      </c>
      <c r="CI2" s="2">
        <f t="shared" ref="CI2" si="52">CH2+1</f>
        <v>2080</v>
      </c>
      <c r="CJ2" s="2">
        <f t="shared" ref="CJ2" si="53">CI2+1</f>
        <v>2081</v>
      </c>
      <c r="CK2" s="2">
        <f t="shared" ref="CK2" si="54">CJ2+1</f>
        <v>2082</v>
      </c>
      <c r="CL2" s="2">
        <f t="shared" ref="CL2" si="55">CK2+1</f>
        <v>2083</v>
      </c>
      <c r="CM2" s="2">
        <f t="shared" ref="CM2" si="56">CL2+1</f>
        <v>2084</v>
      </c>
      <c r="CN2" s="2">
        <f t="shared" ref="CN2" si="57">CM2+1</f>
        <v>2085</v>
      </c>
      <c r="CO2" s="2">
        <f t="shared" ref="CO2" si="58">CN2+1</f>
        <v>2086</v>
      </c>
      <c r="CP2" s="2">
        <f t="shared" ref="CP2" si="59">CO2+1</f>
        <v>2087</v>
      </c>
      <c r="CQ2" s="2">
        <f t="shared" ref="CQ2" si="60">CP2+1</f>
        <v>2088</v>
      </c>
      <c r="CR2" s="2">
        <f t="shared" ref="CR2" si="61">CQ2+1</f>
        <v>2089</v>
      </c>
      <c r="CS2" s="2">
        <f t="shared" ref="CS2" si="62">CR2+1</f>
        <v>2090</v>
      </c>
      <c r="CT2" s="2">
        <f t="shared" ref="CT2" si="63">CS2+1</f>
        <v>2091</v>
      </c>
      <c r="CU2" s="2">
        <f t="shared" ref="CU2" si="64">CT2+1</f>
        <v>2092</v>
      </c>
      <c r="CV2" s="2">
        <f t="shared" ref="CV2" si="65">CU2+1</f>
        <v>2093</v>
      </c>
      <c r="CW2" s="2">
        <f t="shared" ref="CW2" si="66">CV2+1</f>
        <v>2094</v>
      </c>
      <c r="CX2" s="2">
        <f t="shared" ref="CX2" si="67">CW2+1</f>
        <v>2095</v>
      </c>
      <c r="CY2" s="2">
        <f t="shared" ref="CY2" si="68">CX2+1</f>
        <v>2096</v>
      </c>
      <c r="CZ2" s="2">
        <f t="shared" ref="CZ2" si="69">CY2+1</f>
        <v>2097</v>
      </c>
      <c r="DA2" s="2">
        <f t="shared" ref="DA2" si="70">CZ2+1</f>
        <v>2098</v>
      </c>
      <c r="DB2" s="2">
        <f t="shared" ref="DB2" si="71">DA2+1</f>
        <v>2099</v>
      </c>
      <c r="DC2" s="2">
        <f t="shared" ref="DC2" si="72">DB2+1</f>
        <v>2100</v>
      </c>
      <c r="DD2" s="2">
        <f t="shared" ref="DD2" si="73">DC2+1</f>
        <v>2101</v>
      </c>
      <c r="DE2" s="2">
        <f t="shared" ref="DE2" si="74">DD2+1</f>
        <v>2102</v>
      </c>
      <c r="DF2" s="2">
        <f t="shared" ref="DF2" si="75">DE2+1</f>
        <v>2103</v>
      </c>
      <c r="DG2" s="2">
        <f t="shared" ref="DG2" si="76">DF2+1</f>
        <v>2104</v>
      </c>
      <c r="DH2" s="2">
        <f t="shared" ref="DH2" si="77">DG2+1</f>
        <v>2105</v>
      </c>
      <c r="DI2" s="2">
        <f t="shared" ref="DI2" si="78">DH2+1</f>
        <v>2106</v>
      </c>
      <c r="DJ2" s="2">
        <f t="shared" ref="DJ2" si="79">DI2+1</f>
        <v>2107</v>
      </c>
      <c r="DK2" s="2">
        <f t="shared" ref="DK2" si="80">DJ2+1</f>
        <v>2108</v>
      </c>
      <c r="DL2" s="2">
        <f t="shared" ref="DL2" si="81">DK2+1</f>
        <v>2109</v>
      </c>
      <c r="DM2" s="2">
        <f t="shared" ref="DM2" si="82">DL2+1</f>
        <v>2110</v>
      </c>
      <c r="DN2" s="2">
        <f t="shared" ref="DN2" si="83">DM2+1</f>
        <v>2111</v>
      </c>
      <c r="DO2" s="2">
        <f t="shared" ref="DO2" si="84">DN2+1</f>
        <v>2112</v>
      </c>
      <c r="DP2" s="2">
        <f t="shared" ref="DP2" si="85">DO2+1</f>
        <v>2113</v>
      </c>
      <c r="DQ2" s="2">
        <f t="shared" ref="DQ2" si="86">DP2+1</f>
        <v>2114</v>
      </c>
      <c r="DR2" s="2">
        <f t="shared" ref="DR2" si="87">DQ2+1</f>
        <v>2115</v>
      </c>
      <c r="DS2" s="2">
        <f t="shared" ref="DS2" si="88">DR2+1</f>
        <v>2116</v>
      </c>
      <c r="DT2" s="2">
        <f t="shared" ref="DT2" si="89">DS2+1</f>
        <v>2117</v>
      </c>
      <c r="DU2" s="2">
        <f t="shared" ref="DU2" si="90">DT2+1</f>
        <v>2118</v>
      </c>
      <c r="DV2" s="2">
        <f t="shared" ref="DV2" si="91">DU2+1</f>
        <v>2119</v>
      </c>
      <c r="DW2" s="2">
        <f t="shared" ref="DW2" si="92">DV2+1</f>
        <v>2120</v>
      </c>
      <c r="DX2" s="2">
        <f t="shared" ref="DX2" si="93">DW2+1</f>
        <v>2121</v>
      </c>
      <c r="DY2" s="2">
        <f t="shared" ref="DY2" si="94">DX2+1</f>
        <v>2122</v>
      </c>
      <c r="DZ2" s="2">
        <f t="shared" ref="DZ2" si="95">DY2+1</f>
        <v>2123</v>
      </c>
      <c r="EA2" s="2">
        <f t="shared" ref="EA2" si="96">DZ2+1</f>
        <v>2124</v>
      </c>
      <c r="EB2" s="2">
        <f t="shared" ref="EB2" si="97">EA2+1</f>
        <v>2125</v>
      </c>
      <c r="EC2" s="2">
        <f t="shared" ref="EC2" si="98">EB2+1</f>
        <v>2126</v>
      </c>
      <c r="ED2" s="2">
        <f t="shared" ref="ED2" si="99">EC2+1</f>
        <v>2127</v>
      </c>
      <c r="EE2" s="2">
        <f t="shared" ref="EE2" si="100">ED2+1</f>
        <v>2128</v>
      </c>
      <c r="EF2" s="2">
        <f t="shared" ref="EF2" si="101">EE2+1</f>
        <v>2129</v>
      </c>
      <c r="EG2" s="2">
        <f t="shared" ref="EG2" si="102">EF2+1</f>
        <v>2130</v>
      </c>
      <c r="EH2" s="2">
        <f t="shared" ref="EH2" si="103">EG2+1</f>
        <v>2131</v>
      </c>
      <c r="EI2" s="2">
        <f t="shared" ref="EI2" si="104">EH2+1</f>
        <v>2132</v>
      </c>
      <c r="EJ2" s="2">
        <f t="shared" ref="EJ2" si="105">EI2+1</f>
        <v>2133</v>
      </c>
      <c r="EK2" s="2">
        <f t="shared" ref="EK2" si="106">EJ2+1</f>
        <v>2134</v>
      </c>
      <c r="EL2" s="2">
        <f t="shared" ref="EL2" si="107">EK2+1</f>
        <v>2135</v>
      </c>
      <c r="EM2" s="2">
        <f t="shared" ref="EM2" si="108">EL2+1</f>
        <v>2136</v>
      </c>
      <c r="EN2" s="2">
        <f t="shared" ref="EN2" si="109">EM2+1</f>
        <v>2137</v>
      </c>
      <c r="EO2" s="2">
        <f t="shared" ref="EO2" si="110">EN2+1</f>
        <v>2138</v>
      </c>
      <c r="EP2" s="2">
        <f t="shared" ref="EP2" si="111">EO2+1</f>
        <v>2139</v>
      </c>
      <c r="EQ2" s="2">
        <f t="shared" ref="EQ2" si="112">EP2+1</f>
        <v>2140</v>
      </c>
      <c r="ER2" s="2">
        <f t="shared" ref="ER2" si="113">EQ2+1</f>
        <v>2141</v>
      </c>
      <c r="ES2" s="2">
        <f t="shared" ref="ES2" si="114">ER2+1</f>
        <v>2142</v>
      </c>
      <c r="ET2" s="2">
        <f t="shared" ref="ET2" si="115">ES2+1</f>
        <v>2143</v>
      </c>
      <c r="EU2" s="2">
        <f t="shared" ref="EU2" si="116">ET2+1</f>
        <v>2144</v>
      </c>
      <c r="EV2" s="2">
        <f t="shared" ref="EV2" si="117">EU2+1</f>
        <v>2145</v>
      </c>
      <c r="EW2" s="2">
        <f t="shared" ref="EW2" si="118">EV2+1</f>
        <v>2146</v>
      </c>
      <c r="EX2" s="2">
        <f t="shared" ref="EX2" si="119">EW2+1</f>
        <v>2147</v>
      </c>
      <c r="EY2" s="2">
        <f t="shared" ref="EY2" si="120">EX2+1</f>
        <v>2148</v>
      </c>
      <c r="EZ2" s="2">
        <f t="shared" ref="EZ2" si="121">EY2+1</f>
        <v>2149</v>
      </c>
      <c r="FA2" s="2">
        <f t="shared" ref="FA2" si="122">EZ2+1</f>
        <v>2150</v>
      </c>
      <c r="FB2" s="2">
        <f t="shared" ref="FB2" si="123">FA2+1</f>
        <v>2151</v>
      </c>
      <c r="FC2" s="2">
        <f t="shared" ref="FC2" si="124">FB2+1</f>
        <v>2152</v>
      </c>
      <c r="FD2" s="2">
        <f t="shared" ref="FD2" si="125">FC2+1</f>
        <v>2153</v>
      </c>
      <c r="FE2" s="2">
        <f t="shared" ref="FE2" si="126">FD2+1</f>
        <v>2154</v>
      </c>
      <c r="FF2" s="2">
        <f t="shared" ref="FF2" si="127">FE2+1</f>
        <v>2155</v>
      </c>
      <c r="FG2" s="2">
        <f t="shared" ref="FG2" si="128">FF2+1</f>
        <v>2156</v>
      </c>
      <c r="FH2" s="2">
        <f t="shared" ref="FH2" si="129">FG2+1</f>
        <v>2157</v>
      </c>
      <c r="FI2" s="2">
        <f t="shared" ref="FI2" si="130">FH2+1</f>
        <v>2158</v>
      </c>
      <c r="FJ2" s="2">
        <f t="shared" ref="FJ2" si="131">FI2+1</f>
        <v>2159</v>
      </c>
      <c r="FK2" s="2">
        <f t="shared" ref="FK2" si="132">FJ2+1</f>
        <v>2160</v>
      </c>
      <c r="FL2" s="2">
        <f t="shared" ref="FL2" si="133">FK2+1</f>
        <v>2161</v>
      </c>
      <c r="FM2" s="2">
        <f t="shared" ref="FM2" si="134">FL2+1</f>
        <v>2162</v>
      </c>
      <c r="FN2" s="2" t="s">
        <v>81</v>
      </c>
    </row>
    <row r="3" spans="1:170" s="4" customFormat="1" x14ac:dyDescent="0.25">
      <c r="A3" s="3"/>
      <c r="B3" s="4" t="s">
        <v>21</v>
      </c>
      <c r="C3" s="5">
        <v>6036</v>
      </c>
      <c r="D3" s="5">
        <v>6936</v>
      </c>
      <c r="E3" s="5">
        <v>6786</v>
      </c>
      <c r="F3" s="5">
        <f>+AB3-SUM(C3:E3)</f>
        <v>6255</v>
      </c>
      <c r="G3" s="5">
        <v>5892</v>
      </c>
      <c r="H3" s="5">
        <v>6543</v>
      </c>
      <c r="I3" s="5">
        <v>6550</v>
      </c>
      <c r="J3" s="5">
        <f>+AC3-SUM(G3:I3)</f>
        <v>6111</v>
      </c>
      <c r="K3" s="5">
        <v>5719</v>
      </c>
      <c r="L3" s="5">
        <v>6508</v>
      </c>
      <c r="M3" s="5">
        <v>6281</v>
      </c>
      <c r="N3" s="5">
        <f>+AD3-SUM(K3:M3)</f>
        <v>5975</v>
      </c>
      <c r="O3" s="5">
        <v>5576</v>
      </c>
      <c r="P3" s="5">
        <v>6209</v>
      </c>
      <c r="Q3" s="5">
        <v>6259</v>
      </c>
      <c r="R3" s="5"/>
      <c r="S3" s="5"/>
      <c r="T3" s="5"/>
      <c r="U3" s="5"/>
      <c r="V3" s="5">
        <v>25434</v>
      </c>
      <c r="W3" s="5">
        <v>25744</v>
      </c>
      <c r="X3" s="5">
        <v>25576</v>
      </c>
      <c r="Y3" s="5">
        <v>25364</v>
      </c>
      <c r="Z3" s="5">
        <v>25110</v>
      </c>
      <c r="AA3" s="5">
        <v>26153</v>
      </c>
      <c r="AB3" s="5">
        <v>26013</v>
      </c>
      <c r="AC3" s="5">
        <v>25096</v>
      </c>
      <c r="AD3" s="5">
        <v>24483</v>
      </c>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FN3" s="4" t="s">
        <v>81</v>
      </c>
    </row>
    <row r="4" spans="1:170" x14ac:dyDescent="0.25">
      <c r="B4" s="2" t="s">
        <v>22</v>
      </c>
      <c r="C4" s="6">
        <v>1608</v>
      </c>
      <c r="D4" s="6">
        <v>1882</v>
      </c>
      <c r="E4" s="6">
        <v>1858</v>
      </c>
      <c r="F4" s="6">
        <f>+AB4-SUM(C4:E4)</f>
        <v>1771</v>
      </c>
      <c r="G4" s="6">
        <v>1446</v>
      </c>
      <c r="H4" s="6">
        <v>1708</v>
      </c>
      <c r="I4" s="6">
        <v>1715</v>
      </c>
      <c r="J4" s="6">
        <f>+AC4-SUM(G4:I4)</f>
        <v>1573</v>
      </c>
      <c r="K4" s="6">
        <v>1434</v>
      </c>
      <c r="L4" s="6">
        <v>1681</v>
      </c>
      <c r="M4" s="6">
        <v>1578</v>
      </c>
      <c r="N4" s="6">
        <f t="shared" ref="N4:N21" si="135">+AD4-SUM(K4:M4)</f>
        <v>1525</v>
      </c>
      <c r="O4" s="6">
        <v>1437</v>
      </c>
      <c r="P4" s="6">
        <v>1602</v>
      </c>
      <c r="Q4" s="6">
        <v>1536</v>
      </c>
      <c r="R4" s="6"/>
      <c r="S4" s="6"/>
      <c r="T4" s="6"/>
      <c r="U4" s="6"/>
      <c r="V4" s="6">
        <v>7740</v>
      </c>
      <c r="W4" s="6">
        <v>7746</v>
      </c>
      <c r="X4" s="6">
        <v>7543</v>
      </c>
      <c r="Y4" s="6">
        <v>7373</v>
      </c>
      <c r="Z4" s="6">
        <v>7085</v>
      </c>
      <c r="AA4" s="6">
        <v>7818</v>
      </c>
      <c r="AB4" s="6">
        <v>7119</v>
      </c>
      <c r="AC4" s="6">
        <v>6442</v>
      </c>
      <c r="AD4" s="6">
        <v>6218</v>
      </c>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FN4" s="2" t="s">
        <v>81</v>
      </c>
    </row>
    <row r="5" spans="1:170" x14ac:dyDescent="0.25">
      <c r="B5" s="2" t="s">
        <v>23</v>
      </c>
      <c r="C5" s="6">
        <v>1156</v>
      </c>
      <c r="D5" s="6">
        <v>1322</v>
      </c>
      <c r="E5" s="6">
        <v>1255</v>
      </c>
      <c r="F5" s="6">
        <f t="shared" ref="F5:F26" si="136">+AB5-SUM(C5:E5)</f>
        <v>1169</v>
      </c>
      <c r="G5" s="6">
        <v>1073</v>
      </c>
      <c r="H5" s="6">
        <v>1169</v>
      </c>
      <c r="I5" s="6">
        <v>1138</v>
      </c>
      <c r="J5" s="6">
        <f t="shared" ref="J5:J21" si="137">+AC5-SUM(G5:I5)</f>
        <v>1028</v>
      </c>
      <c r="K5" s="6">
        <v>956</v>
      </c>
      <c r="L5" s="6">
        <v>1070</v>
      </c>
      <c r="M5" s="6">
        <v>1004</v>
      </c>
      <c r="N5" s="6">
        <f t="shared" si="135"/>
        <v>951</v>
      </c>
      <c r="O5" s="6">
        <v>859</v>
      </c>
      <c r="P5" s="6">
        <v>932</v>
      </c>
      <c r="Q5" s="6">
        <v>915</v>
      </c>
      <c r="R5" s="6"/>
      <c r="S5" s="6"/>
      <c r="T5" s="6"/>
      <c r="U5" s="6"/>
      <c r="V5" s="6">
        <v>6580</v>
      </c>
      <c r="W5" s="6">
        <v>6407</v>
      </c>
      <c r="X5" s="6">
        <v>6082</v>
      </c>
      <c r="Y5" s="6">
        <v>5737</v>
      </c>
      <c r="Z5" s="6">
        <v>5314</v>
      </c>
      <c r="AA5" s="6">
        <v>5312</v>
      </c>
      <c r="AB5" s="6">
        <v>4902</v>
      </c>
      <c r="AC5" s="6">
        <v>4408</v>
      </c>
      <c r="AD5" s="6">
        <v>3981</v>
      </c>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FN5" s="2" t="s">
        <v>81</v>
      </c>
    </row>
    <row r="6" spans="1:170" x14ac:dyDescent="0.25">
      <c r="B6" s="2" t="s">
        <v>24</v>
      </c>
      <c r="C6" s="6">
        <f>+C3-SUM(C4:C5)</f>
        <v>3272</v>
      </c>
      <c r="D6" s="6">
        <f>+D3-SUM(D4:D5)</f>
        <v>3732</v>
      </c>
      <c r="E6" s="6">
        <f>+E3-SUM(E4:E5)</f>
        <v>3673</v>
      </c>
      <c r="F6" s="6">
        <f t="shared" si="136"/>
        <v>3315</v>
      </c>
      <c r="G6" s="6">
        <f>+G3-SUM(G4:G5)</f>
        <v>3373</v>
      </c>
      <c r="H6" s="6">
        <f>+H3-SUM(H4:H5)</f>
        <v>3666</v>
      </c>
      <c r="I6" s="6">
        <f>+I3-SUM(I4:I5)</f>
        <v>3697</v>
      </c>
      <c r="J6" s="6">
        <f t="shared" si="137"/>
        <v>3510</v>
      </c>
      <c r="K6" s="6">
        <f>+K3-SUM(K4:K5)</f>
        <v>3329</v>
      </c>
      <c r="L6" s="6">
        <f>+L3-SUM(L4:L5)</f>
        <v>3757</v>
      </c>
      <c r="M6" s="6">
        <f>+M3-SUM(M4:M5)</f>
        <v>3699</v>
      </c>
      <c r="N6" s="6">
        <f t="shared" si="135"/>
        <v>3499</v>
      </c>
      <c r="O6" s="6">
        <f>+O3-SUM(O4:O5)</f>
        <v>3280</v>
      </c>
      <c r="P6" s="6">
        <f>+P3-SUM(P4:P5)</f>
        <v>3675</v>
      </c>
      <c r="Q6" s="6">
        <f>+Q3-SUM(Q4:Q5)</f>
        <v>3808</v>
      </c>
      <c r="R6" s="6"/>
      <c r="S6" s="6"/>
      <c r="T6" s="6"/>
      <c r="U6" s="6"/>
      <c r="V6" s="6">
        <f t="shared" ref="V6:AD6" si="138">+V3-SUM(V4:V5)</f>
        <v>11114</v>
      </c>
      <c r="W6" s="6">
        <f t="shared" si="138"/>
        <v>11591</v>
      </c>
      <c r="X6" s="6">
        <f t="shared" si="138"/>
        <v>11951</v>
      </c>
      <c r="Y6" s="6">
        <f t="shared" si="138"/>
        <v>12254</v>
      </c>
      <c r="Z6" s="6">
        <f t="shared" si="138"/>
        <v>12711</v>
      </c>
      <c r="AA6" s="6">
        <f t="shared" si="138"/>
        <v>13023</v>
      </c>
      <c r="AB6" s="6">
        <f t="shared" si="138"/>
        <v>13992</v>
      </c>
      <c r="AC6" s="6">
        <f t="shared" si="138"/>
        <v>14246</v>
      </c>
      <c r="AD6" s="6">
        <f t="shared" si="138"/>
        <v>14284</v>
      </c>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FN6" s="2" t="s">
        <v>81</v>
      </c>
    </row>
    <row r="7" spans="1:170" x14ac:dyDescent="0.25">
      <c r="B7" s="2" t="s">
        <v>25</v>
      </c>
      <c r="C7" s="6">
        <v>582</v>
      </c>
      <c r="D7" s="6">
        <v>546</v>
      </c>
      <c r="E7" s="6">
        <v>722</v>
      </c>
      <c r="F7" s="6">
        <f t="shared" si="136"/>
        <v>582</v>
      </c>
      <c r="G7" s="6">
        <v>489</v>
      </c>
      <c r="H7" s="6">
        <v>561</v>
      </c>
      <c r="I7" s="6">
        <v>585</v>
      </c>
      <c r="J7" s="6">
        <f t="shared" si="137"/>
        <v>692</v>
      </c>
      <c r="K7" s="6">
        <v>572</v>
      </c>
      <c r="L7" s="6">
        <v>852</v>
      </c>
      <c r="M7" s="6">
        <v>610</v>
      </c>
      <c r="N7" s="6">
        <f t="shared" si="135"/>
        <v>703</v>
      </c>
      <c r="O7" s="6">
        <v>606</v>
      </c>
      <c r="P7" s="6">
        <v>788</v>
      </c>
      <c r="Q7" s="6">
        <v>656</v>
      </c>
      <c r="R7" s="6"/>
      <c r="S7" s="6"/>
      <c r="T7" s="6"/>
      <c r="U7" s="6"/>
      <c r="V7" s="6">
        <v>2708</v>
      </c>
      <c r="W7" s="6">
        <v>2650</v>
      </c>
      <c r="X7" s="6">
        <v>2362</v>
      </c>
      <c r="Y7" s="6">
        <v>2756</v>
      </c>
      <c r="Z7" s="6">
        <v>2226</v>
      </c>
      <c r="AA7" s="6">
        <v>2154</v>
      </c>
      <c r="AB7" s="6">
        <v>2432</v>
      </c>
      <c r="AC7" s="6">
        <v>2327</v>
      </c>
      <c r="AD7" s="6">
        <v>2737</v>
      </c>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FN7" s="2" t="s">
        <v>81</v>
      </c>
    </row>
    <row r="8" spans="1:170" x14ac:dyDescent="0.25">
      <c r="B8" s="2" t="s">
        <v>92</v>
      </c>
      <c r="C8" s="6" t="s">
        <v>45</v>
      </c>
      <c r="D8" s="6" t="s">
        <v>45</v>
      </c>
      <c r="E8" s="6" t="s">
        <v>45</v>
      </c>
      <c r="F8" s="6" t="s">
        <v>45</v>
      </c>
      <c r="G8" s="6" t="s">
        <v>45</v>
      </c>
      <c r="H8" s="6" t="s">
        <v>45</v>
      </c>
      <c r="I8" s="6" t="s">
        <v>45</v>
      </c>
      <c r="J8" s="6" t="s">
        <v>45</v>
      </c>
      <c r="K8" s="6"/>
      <c r="L8" s="6" t="s">
        <v>45</v>
      </c>
      <c r="M8" s="6" t="s">
        <v>45</v>
      </c>
      <c r="N8" s="6" t="s">
        <v>45</v>
      </c>
      <c r="O8" s="6"/>
      <c r="P8" s="6">
        <v>354</v>
      </c>
      <c r="Q8" s="6" t="s">
        <v>45</v>
      </c>
      <c r="R8" s="6"/>
      <c r="S8" s="6"/>
      <c r="T8" s="6"/>
      <c r="U8" s="6"/>
      <c r="V8" s="6">
        <f>4+41</f>
        <v>45</v>
      </c>
      <c r="W8" s="6">
        <v>179</v>
      </c>
      <c r="X8" s="6">
        <v>33</v>
      </c>
      <c r="Y8" s="6">
        <v>383</v>
      </c>
      <c r="Z8" s="6">
        <v>159</v>
      </c>
      <c r="AA8" s="6">
        <v>-4</v>
      </c>
      <c r="AB8" s="6" t="s">
        <v>45</v>
      </c>
      <c r="AC8" s="6" t="s">
        <v>45</v>
      </c>
      <c r="AD8" s="6" t="s">
        <v>45</v>
      </c>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FN8" s="2" t="s">
        <v>81</v>
      </c>
    </row>
    <row r="9" spans="1:170" x14ac:dyDescent="0.25">
      <c r="B9" s="2" t="s">
        <v>26</v>
      </c>
      <c r="C9" s="6">
        <f>+C6-SUM(C7:C8)</f>
        <v>2690</v>
      </c>
      <c r="D9" s="6">
        <f>+D6-SUM(D7:D8)</f>
        <v>3186</v>
      </c>
      <c r="E9" s="6">
        <f>+E6-SUM(E7:E8)</f>
        <v>2951</v>
      </c>
      <c r="F9" s="6">
        <f t="shared" si="136"/>
        <v>2733</v>
      </c>
      <c r="G9" s="6">
        <f>+G6-SUM(G7:G8)</f>
        <v>2884</v>
      </c>
      <c r="H9" s="6">
        <f>+H6-SUM(H7:H8)</f>
        <v>3105</v>
      </c>
      <c r="I9" s="6">
        <f>+I6-SUM(I7:I8)</f>
        <v>3112</v>
      </c>
      <c r="J9" s="6">
        <f t="shared" si="137"/>
        <v>2818</v>
      </c>
      <c r="K9" s="6">
        <f>+K6-SUM(K7:K8)</f>
        <v>2757</v>
      </c>
      <c r="L9" s="6">
        <f>+L6-SUM(L7:L8)</f>
        <v>2905</v>
      </c>
      <c r="M9" s="6">
        <f>+M6-SUM(M7:M8)</f>
        <v>3089</v>
      </c>
      <c r="N9" s="6">
        <f t="shared" si="135"/>
        <v>2796</v>
      </c>
      <c r="O9" s="6">
        <f>+O6-SUM(O7:O8)</f>
        <v>2674</v>
      </c>
      <c r="P9" s="6">
        <f>+P6-SUM(P7:P8)</f>
        <v>2533</v>
      </c>
      <c r="Q9" s="6">
        <f>+Q6-SUM(Q7:Q8)</f>
        <v>3152</v>
      </c>
      <c r="R9" s="6"/>
      <c r="S9" s="6"/>
      <c r="T9" s="6"/>
      <c r="U9" s="6"/>
      <c r="V9" s="6">
        <f t="shared" ref="V9:AD9" si="139">+V6-SUM(V7:V8)</f>
        <v>8361</v>
      </c>
      <c r="W9" s="6">
        <f t="shared" si="139"/>
        <v>8762</v>
      </c>
      <c r="X9" s="6">
        <f t="shared" si="139"/>
        <v>9556</v>
      </c>
      <c r="Y9" s="6">
        <f t="shared" si="139"/>
        <v>9115</v>
      </c>
      <c r="Z9" s="6">
        <f t="shared" si="139"/>
        <v>10326</v>
      </c>
      <c r="AA9" s="6">
        <f t="shared" si="139"/>
        <v>10873</v>
      </c>
      <c r="AB9" s="6">
        <f t="shared" si="139"/>
        <v>11560</v>
      </c>
      <c r="AC9" s="6">
        <f t="shared" si="139"/>
        <v>11919</v>
      </c>
      <c r="AD9" s="6">
        <f t="shared" si="139"/>
        <v>11547</v>
      </c>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FN9" s="2" t="s">
        <v>81</v>
      </c>
    </row>
    <row r="10" spans="1:170" x14ac:dyDescent="0.25">
      <c r="B10" s="2" t="s">
        <v>27</v>
      </c>
      <c r="C10" s="6">
        <v>308</v>
      </c>
      <c r="D10" s="6">
        <v>295</v>
      </c>
      <c r="E10" s="6">
        <v>266</v>
      </c>
      <c r="F10" s="6">
        <f t="shared" si="136"/>
        <v>293</v>
      </c>
      <c r="G10" s="6">
        <v>281</v>
      </c>
      <c r="H10" s="6">
        <v>280</v>
      </c>
      <c r="I10" s="6">
        <v>271</v>
      </c>
      <c r="J10" s="6">
        <f t="shared" si="137"/>
        <v>226</v>
      </c>
      <c r="K10" s="6">
        <v>229</v>
      </c>
      <c r="L10" s="6">
        <v>257</v>
      </c>
      <c r="M10" s="6">
        <v>272</v>
      </c>
      <c r="N10" s="6">
        <f t="shared" si="135"/>
        <v>231</v>
      </c>
      <c r="O10" s="6">
        <v>254</v>
      </c>
      <c r="P10" s="6">
        <v>261</v>
      </c>
      <c r="Q10" s="6">
        <v>267</v>
      </c>
      <c r="R10" s="6"/>
      <c r="S10" s="6"/>
      <c r="T10" s="6"/>
      <c r="U10" s="6"/>
      <c r="V10" s="6">
        <v>817</v>
      </c>
      <c r="W10" s="6">
        <v>747</v>
      </c>
      <c r="X10" s="6">
        <v>705</v>
      </c>
      <c r="Y10" s="6">
        <v>665</v>
      </c>
      <c r="Z10" s="6">
        <v>1280</v>
      </c>
      <c r="AA10" s="6">
        <v>1209</v>
      </c>
      <c r="AB10" s="6">
        <v>1162</v>
      </c>
      <c r="AC10" s="6">
        <v>1058</v>
      </c>
      <c r="AD10" s="6">
        <v>989</v>
      </c>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FN10" s="2" t="s">
        <v>81</v>
      </c>
    </row>
    <row r="11" spans="1:170" x14ac:dyDescent="0.25">
      <c r="B11" s="2" t="s">
        <v>46</v>
      </c>
      <c r="C11" s="6">
        <v>649</v>
      </c>
      <c r="D11" s="6" t="s">
        <v>45</v>
      </c>
      <c r="E11" s="6" t="s">
        <v>45</v>
      </c>
      <c r="F11" s="6">
        <f t="shared" si="136"/>
        <v>0</v>
      </c>
      <c r="G11" s="6" t="s">
        <v>45</v>
      </c>
      <c r="H11" s="6" t="s">
        <v>45</v>
      </c>
      <c r="I11" s="6" t="s">
        <v>45</v>
      </c>
      <c r="J11" s="6" t="s">
        <v>45</v>
      </c>
      <c r="K11" s="6"/>
      <c r="L11" s="6" t="s">
        <v>45</v>
      </c>
      <c r="M11" s="6" t="s">
        <v>45</v>
      </c>
      <c r="N11" s="6" t="s">
        <v>45</v>
      </c>
      <c r="O11" s="6"/>
      <c r="P11" s="6" t="s">
        <v>45</v>
      </c>
      <c r="Q11" s="6" t="s">
        <v>45</v>
      </c>
      <c r="R11" s="6"/>
      <c r="S11" s="6"/>
      <c r="T11" s="6"/>
      <c r="U11" s="6"/>
      <c r="V11" s="2">
        <v>228</v>
      </c>
      <c r="W11" s="2">
        <v>823</v>
      </c>
      <c r="X11" s="2" t="s">
        <v>45</v>
      </c>
      <c r="Y11" s="2" t="s">
        <v>45</v>
      </c>
      <c r="Z11" s="6" t="s">
        <v>45</v>
      </c>
      <c r="AA11" s="6" t="s">
        <v>45</v>
      </c>
      <c r="AB11" s="6">
        <v>649</v>
      </c>
      <c r="AC11" s="6" t="s">
        <v>45</v>
      </c>
      <c r="AD11" s="6" t="s">
        <v>45</v>
      </c>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FN11" s="2" t="s">
        <v>81</v>
      </c>
    </row>
    <row r="12" spans="1:170" x14ac:dyDescent="0.25">
      <c r="B12" s="2" t="s">
        <v>28</v>
      </c>
      <c r="C12" s="6">
        <v>-43</v>
      </c>
      <c r="D12" s="6">
        <v>-46</v>
      </c>
      <c r="E12" s="6">
        <v>-63</v>
      </c>
      <c r="F12" s="6">
        <f t="shared" si="136"/>
        <v>-50</v>
      </c>
      <c r="G12" s="6">
        <v>-46</v>
      </c>
      <c r="H12" s="6">
        <v>-47</v>
      </c>
      <c r="I12" s="6">
        <v>-44</v>
      </c>
      <c r="J12" s="6">
        <f t="shared" si="137"/>
        <v>-47</v>
      </c>
      <c r="K12" s="6">
        <v>-31</v>
      </c>
      <c r="L12" s="6">
        <v>-31</v>
      </c>
      <c r="M12" s="6">
        <v>-33</v>
      </c>
      <c r="N12" s="6">
        <f t="shared" si="135"/>
        <v>-32</v>
      </c>
      <c r="O12" s="6">
        <v>-24</v>
      </c>
      <c r="P12" s="6">
        <v>-25</v>
      </c>
      <c r="Q12" s="6">
        <v>-25</v>
      </c>
      <c r="R12" s="6"/>
      <c r="S12" s="6"/>
      <c r="T12" s="6"/>
      <c r="U12" s="6"/>
      <c r="V12" s="6" t="s">
        <v>45</v>
      </c>
      <c r="W12" s="6" t="s">
        <v>45</v>
      </c>
      <c r="X12" s="6" t="s">
        <v>45</v>
      </c>
      <c r="Y12" s="6">
        <v>-34</v>
      </c>
      <c r="Z12" s="6">
        <v>-37</v>
      </c>
      <c r="AA12" s="6">
        <v>-77</v>
      </c>
      <c r="AB12" s="6">
        <v>-202</v>
      </c>
      <c r="AC12" s="6">
        <v>-184</v>
      </c>
      <c r="AD12" s="6">
        <v>-127</v>
      </c>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FN12" s="2" t="s">
        <v>81</v>
      </c>
    </row>
    <row r="13" spans="1:170" x14ac:dyDescent="0.25">
      <c r="B13" s="2" t="s">
        <v>29</v>
      </c>
      <c r="C13" s="6">
        <v>-51</v>
      </c>
      <c r="D13" s="6">
        <v>-75</v>
      </c>
      <c r="E13" s="6">
        <v>5915</v>
      </c>
      <c r="F13" s="6">
        <f t="shared" si="136"/>
        <v>190</v>
      </c>
      <c r="G13" s="6">
        <v>-34</v>
      </c>
      <c r="H13" s="6">
        <v>1263</v>
      </c>
      <c r="I13" s="6">
        <v>2478</v>
      </c>
      <c r="J13" s="6">
        <f t="shared" si="137"/>
        <v>-66</v>
      </c>
      <c r="K13" s="6">
        <v>80</v>
      </c>
      <c r="L13" s="6">
        <v>-127</v>
      </c>
      <c r="M13" s="6">
        <v>-58</v>
      </c>
      <c r="N13" s="6">
        <f t="shared" si="135"/>
        <v>-138</v>
      </c>
      <c r="O13" s="6">
        <v>-295</v>
      </c>
      <c r="P13" s="6">
        <v>-119</v>
      </c>
      <c r="Q13" s="6">
        <v>-116</v>
      </c>
      <c r="R13" s="6"/>
      <c r="S13" s="6"/>
      <c r="T13" s="6"/>
      <c r="U13" s="6"/>
      <c r="V13" s="6" t="s">
        <v>45</v>
      </c>
      <c r="W13" s="6" t="s">
        <v>45</v>
      </c>
      <c r="X13" s="6" t="s">
        <v>45</v>
      </c>
      <c r="Y13" s="6">
        <v>-890</v>
      </c>
      <c r="Z13" s="6">
        <v>-1725</v>
      </c>
      <c r="AA13" s="6">
        <v>111</v>
      </c>
      <c r="AB13" s="6">
        <v>5979</v>
      </c>
      <c r="AC13" s="6">
        <v>3641</v>
      </c>
      <c r="AD13" s="6">
        <v>-243</v>
      </c>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FN13" s="2" t="s">
        <v>81</v>
      </c>
    </row>
    <row r="14" spans="1:170" x14ac:dyDescent="0.25">
      <c r="B14" s="2" t="s">
        <v>93</v>
      </c>
      <c r="C14" s="6" t="s">
        <v>45</v>
      </c>
      <c r="D14" s="6" t="s">
        <v>45</v>
      </c>
      <c r="E14" s="6" t="s">
        <v>45</v>
      </c>
      <c r="F14" s="6">
        <f t="shared" si="136"/>
        <v>0</v>
      </c>
      <c r="G14" s="6" t="s">
        <v>45</v>
      </c>
      <c r="H14" s="6" t="s">
        <v>45</v>
      </c>
      <c r="I14" s="6" t="s">
        <v>45</v>
      </c>
      <c r="J14" s="6">
        <f t="shared" si="137"/>
        <v>0</v>
      </c>
      <c r="K14" s="6"/>
      <c r="L14" s="6"/>
      <c r="M14" s="6"/>
      <c r="N14" s="6"/>
      <c r="O14" s="6"/>
      <c r="P14" s="6" t="s">
        <v>45</v>
      </c>
      <c r="Q14" s="6" t="s">
        <v>45</v>
      </c>
      <c r="R14" s="6"/>
      <c r="S14" s="6"/>
      <c r="T14" s="6"/>
      <c r="U14" s="6"/>
      <c r="V14" s="6" t="s">
        <v>45</v>
      </c>
      <c r="W14" s="6" t="s">
        <v>45</v>
      </c>
      <c r="X14" s="6" t="s">
        <v>45</v>
      </c>
      <c r="Y14" s="6" t="s">
        <v>45</v>
      </c>
      <c r="Z14" s="6">
        <v>8600</v>
      </c>
      <c r="AA14" s="6">
        <v>2600</v>
      </c>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row>
    <row r="15" spans="1:170" x14ac:dyDescent="0.25">
      <c r="B15" s="2" t="s">
        <v>44</v>
      </c>
      <c r="C15" s="6" t="s">
        <v>45</v>
      </c>
      <c r="D15" s="6" t="s">
        <v>45</v>
      </c>
      <c r="E15" s="6" t="s">
        <v>45</v>
      </c>
      <c r="F15" s="6" t="s">
        <v>45</v>
      </c>
      <c r="G15" s="6" t="s">
        <v>45</v>
      </c>
      <c r="H15" s="6" t="s">
        <v>45</v>
      </c>
      <c r="I15" s="6" t="s">
        <v>45</v>
      </c>
      <c r="J15" s="6" t="s">
        <v>45</v>
      </c>
      <c r="K15" s="6"/>
      <c r="L15" s="6" t="s">
        <v>45</v>
      </c>
      <c r="M15" s="6" t="s">
        <v>45</v>
      </c>
      <c r="N15" s="6" t="s">
        <v>45</v>
      </c>
      <c r="O15" s="6"/>
      <c r="P15" s="6">
        <v>-2700</v>
      </c>
      <c r="Q15" s="6" t="s">
        <v>45</v>
      </c>
      <c r="R15" s="6"/>
      <c r="S15" s="6"/>
      <c r="T15" s="6"/>
      <c r="U15" s="6"/>
      <c r="V15" s="6" t="s">
        <v>45</v>
      </c>
      <c r="W15" s="6" t="s">
        <v>45</v>
      </c>
      <c r="X15" s="6" t="s">
        <v>45</v>
      </c>
      <c r="Y15" s="6" t="s">
        <v>45</v>
      </c>
      <c r="Z15" s="6" t="s">
        <v>45</v>
      </c>
      <c r="AA15" s="6" t="s">
        <v>45</v>
      </c>
      <c r="AB15" s="6" t="s">
        <v>45</v>
      </c>
      <c r="AC15" s="6" t="s">
        <v>45</v>
      </c>
      <c r="AD15" s="6" t="s">
        <v>45</v>
      </c>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FN15" s="2" t="s">
        <v>81</v>
      </c>
    </row>
    <row r="16" spans="1:170" x14ac:dyDescent="0.25">
      <c r="B16" s="2" t="s">
        <v>47</v>
      </c>
      <c r="C16" s="6">
        <v>-110</v>
      </c>
      <c r="D16" s="6">
        <v>103</v>
      </c>
      <c r="E16" s="6">
        <v>135</v>
      </c>
      <c r="F16" s="6">
        <f t="shared" si="136"/>
        <v>20</v>
      </c>
      <c r="G16" s="6">
        <v>10</v>
      </c>
      <c r="H16" s="6">
        <v>4</v>
      </c>
      <c r="I16" s="6" t="s">
        <v>45</v>
      </c>
      <c r="J16" s="6">
        <f t="shared" si="137"/>
        <v>1</v>
      </c>
      <c r="K16" s="6"/>
      <c r="L16" s="6"/>
      <c r="M16" s="6" t="s">
        <v>45</v>
      </c>
      <c r="N16" s="6" t="s">
        <v>45</v>
      </c>
      <c r="O16" s="6"/>
      <c r="P16" s="6" t="s">
        <v>45</v>
      </c>
      <c r="Q16" s="6" t="s">
        <v>45</v>
      </c>
      <c r="R16" s="6"/>
      <c r="S16" s="6"/>
      <c r="T16" s="6"/>
      <c r="U16" s="6"/>
      <c r="V16" s="6" t="s">
        <v>45</v>
      </c>
      <c r="W16" s="6" t="s">
        <v>45</v>
      </c>
      <c r="X16" s="6" t="s">
        <v>45</v>
      </c>
      <c r="Y16" s="6" t="s">
        <v>45</v>
      </c>
      <c r="Z16" s="6">
        <v>1442</v>
      </c>
      <c r="AA16" s="6">
        <v>140</v>
      </c>
      <c r="AB16" s="6">
        <v>148</v>
      </c>
      <c r="AC16" s="6">
        <v>15</v>
      </c>
      <c r="AD16" s="6" t="s">
        <v>45</v>
      </c>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FN16" s="2" t="s">
        <v>81</v>
      </c>
    </row>
    <row r="17" spans="1:170" x14ac:dyDescent="0.25">
      <c r="B17" s="2" t="s">
        <v>94</v>
      </c>
      <c r="C17" s="6" t="s">
        <v>45</v>
      </c>
      <c r="D17" s="6" t="s">
        <v>45</v>
      </c>
      <c r="E17" s="6" t="s">
        <v>45</v>
      </c>
      <c r="F17" s="6">
        <f t="shared" si="136"/>
        <v>0</v>
      </c>
      <c r="G17" s="6" t="s">
        <v>45</v>
      </c>
      <c r="H17" s="6" t="s">
        <v>45</v>
      </c>
      <c r="I17" s="6" t="s">
        <v>45</v>
      </c>
      <c r="J17" s="6">
        <f t="shared" si="137"/>
        <v>0</v>
      </c>
      <c r="K17" s="6"/>
      <c r="L17" s="6"/>
      <c r="M17" s="6"/>
      <c r="N17" s="6"/>
      <c r="O17" s="6"/>
      <c r="P17" s="6" t="s">
        <v>45</v>
      </c>
      <c r="Q17" s="6" t="s">
        <v>45</v>
      </c>
      <c r="R17" s="6"/>
      <c r="S17" s="6"/>
      <c r="T17" s="6"/>
      <c r="U17" s="6"/>
      <c r="V17" s="6">
        <f>-757-5</f>
        <v>-762</v>
      </c>
      <c r="W17" s="6">
        <f>-795-13865</f>
        <v>-14660</v>
      </c>
      <c r="X17" s="6">
        <f>-445-532</f>
        <v>-977</v>
      </c>
      <c r="Y17" s="6">
        <v>33</v>
      </c>
      <c r="Z17" s="6" t="s">
        <v>45</v>
      </c>
      <c r="AA17" s="6" t="s">
        <v>45</v>
      </c>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row>
    <row r="18" spans="1:170" x14ac:dyDescent="0.25">
      <c r="B18" s="2" t="s">
        <v>30</v>
      </c>
      <c r="C18" s="6">
        <f>+C9-SUM(C10:C17)</f>
        <v>1937</v>
      </c>
      <c r="D18" s="6">
        <f>+D9-SUM(D10:D17)</f>
        <v>2909</v>
      </c>
      <c r="E18" s="6">
        <f>+E9-SUM(E10:E17)</f>
        <v>-3302</v>
      </c>
      <c r="F18" s="6">
        <f t="shared" si="136"/>
        <v>2280</v>
      </c>
      <c r="G18" s="6">
        <f>+G9-SUM(G10:G17)</f>
        <v>2673</v>
      </c>
      <c r="H18" s="6">
        <f>+H9-SUM(H10:H17)</f>
        <v>1605</v>
      </c>
      <c r="I18" s="6">
        <f>+I9-SUM(I10:I17)</f>
        <v>407</v>
      </c>
      <c r="J18" s="6">
        <f t="shared" si="137"/>
        <v>2704</v>
      </c>
      <c r="K18" s="6">
        <f>+K9-SUM(K10:K17)</f>
        <v>2479</v>
      </c>
      <c r="L18" s="6">
        <f>+L9-SUM(L10:L17)</f>
        <v>2806</v>
      </c>
      <c r="M18" s="6">
        <f t="shared" ref="M18:P18" si="140">+M9-SUM(M10:M17)</f>
        <v>2908</v>
      </c>
      <c r="N18" s="6">
        <f t="shared" si="140"/>
        <v>2735</v>
      </c>
      <c r="O18" s="6">
        <f t="shared" si="140"/>
        <v>2739</v>
      </c>
      <c r="P18" s="6">
        <f t="shared" si="140"/>
        <v>5116</v>
      </c>
      <c r="Q18" s="6">
        <f t="shared" ref="Q18" si="141">+Q9-SUM(Q10:Q17)</f>
        <v>3026</v>
      </c>
      <c r="R18" s="6"/>
      <c r="S18" s="6"/>
      <c r="T18" s="6"/>
      <c r="U18" s="6"/>
      <c r="V18" s="6">
        <f t="shared" ref="V18:AA18" si="142">+V9-SUM(V10:V17)</f>
        <v>8078</v>
      </c>
      <c r="W18" s="6">
        <f t="shared" si="142"/>
        <v>21852</v>
      </c>
      <c r="X18" s="6">
        <f t="shared" si="142"/>
        <v>9828</v>
      </c>
      <c r="Y18" s="6">
        <f t="shared" si="142"/>
        <v>9341</v>
      </c>
      <c r="Z18" s="6">
        <f t="shared" si="142"/>
        <v>766</v>
      </c>
      <c r="AA18" s="6">
        <f t="shared" si="142"/>
        <v>6890</v>
      </c>
      <c r="AB18" s="6">
        <f t="shared" ref="AB18:AD18" si="143">+AB9-SUM(AB10:AB17)</f>
        <v>3824</v>
      </c>
      <c r="AC18" s="6">
        <f t="shared" si="143"/>
        <v>7389</v>
      </c>
      <c r="AD18" s="6">
        <f t="shared" si="143"/>
        <v>10928</v>
      </c>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FN18" s="2" t="s">
        <v>81</v>
      </c>
    </row>
    <row r="19" spans="1:170" x14ac:dyDescent="0.25">
      <c r="B19" s="2" t="s">
        <v>31</v>
      </c>
      <c r="C19" s="6">
        <v>516</v>
      </c>
      <c r="D19" s="6">
        <v>759</v>
      </c>
      <c r="E19" s="6">
        <v>-582</v>
      </c>
      <c r="F19" s="6">
        <f t="shared" si="136"/>
        <v>656</v>
      </c>
      <c r="G19" s="6">
        <v>714</v>
      </c>
      <c r="H19" s="6">
        <v>714</v>
      </c>
      <c r="I19" s="6">
        <v>183</v>
      </c>
      <c r="J19" s="6">
        <f t="shared" si="137"/>
        <v>14</v>
      </c>
      <c r="K19" s="6">
        <v>692</v>
      </c>
      <c r="L19" s="6">
        <v>689</v>
      </c>
      <c r="M19" s="6">
        <v>742</v>
      </c>
      <c r="N19" s="6">
        <f t="shared" si="135"/>
        <v>675</v>
      </c>
      <c r="O19" s="6">
        <v>610</v>
      </c>
      <c r="P19" s="6">
        <v>1313</v>
      </c>
      <c r="Q19" s="6">
        <v>733</v>
      </c>
      <c r="R19" s="6"/>
      <c r="S19" s="6"/>
      <c r="T19" s="6"/>
      <c r="U19" s="6"/>
      <c r="V19" s="6">
        <v>2835</v>
      </c>
      <c r="W19" s="6">
        <v>7608</v>
      </c>
      <c r="X19" s="6">
        <v>-399</v>
      </c>
      <c r="Y19" s="6">
        <v>2374</v>
      </c>
      <c r="Z19" s="6">
        <v>2064</v>
      </c>
      <c r="AA19" s="6">
        <v>2436</v>
      </c>
      <c r="AB19" s="6">
        <v>1349</v>
      </c>
      <c r="AC19" s="6">
        <v>1625</v>
      </c>
      <c r="AD19" s="6">
        <v>2798</v>
      </c>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FN19" s="2" t="s">
        <v>81</v>
      </c>
    </row>
    <row r="20" spans="1:170" x14ac:dyDescent="0.25">
      <c r="B20" s="2" t="s">
        <v>32</v>
      </c>
      <c r="C20" s="6">
        <f>+C18-C19</f>
        <v>1421</v>
      </c>
      <c r="D20" s="6">
        <f>+D18-D19</f>
        <v>2150</v>
      </c>
      <c r="E20" s="6">
        <f>+E18-E19</f>
        <v>-2720</v>
      </c>
      <c r="F20" s="6">
        <f t="shared" si="136"/>
        <v>1624</v>
      </c>
      <c r="G20" s="6">
        <f>+G18-G19</f>
        <v>1959</v>
      </c>
      <c r="H20" s="6">
        <f>+H18-H19</f>
        <v>891</v>
      </c>
      <c r="I20" s="6">
        <f>+I18-I19</f>
        <v>224</v>
      </c>
      <c r="J20" s="6">
        <f t="shared" si="137"/>
        <v>2690</v>
      </c>
      <c r="K20" s="6">
        <f>+K18-K19</f>
        <v>1787</v>
      </c>
      <c r="L20" s="6">
        <f>+L18-L19</f>
        <v>2117</v>
      </c>
      <c r="M20" s="6">
        <f>+M18-M19</f>
        <v>2166</v>
      </c>
      <c r="N20" s="6">
        <f t="shared" si="135"/>
        <v>2060</v>
      </c>
      <c r="O20" s="6">
        <f>+O18-O19</f>
        <v>2129</v>
      </c>
      <c r="P20" s="6">
        <f>+P18-P19</f>
        <v>3803</v>
      </c>
      <c r="Q20" s="6">
        <f>+Q18-Q19</f>
        <v>2293</v>
      </c>
      <c r="R20" s="6"/>
      <c r="S20" s="6"/>
      <c r="T20" s="6"/>
      <c r="U20" s="6"/>
      <c r="V20" s="6">
        <f t="shared" ref="V20:AD20" si="144">+V18-V19</f>
        <v>5243</v>
      </c>
      <c r="W20" s="6">
        <f t="shared" si="144"/>
        <v>14244</v>
      </c>
      <c r="X20" s="6">
        <f t="shared" si="144"/>
        <v>10227</v>
      </c>
      <c r="Y20" s="6">
        <f t="shared" si="144"/>
        <v>6967</v>
      </c>
      <c r="Z20" s="6">
        <f t="shared" si="144"/>
        <v>-1298</v>
      </c>
      <c r="AA20" s="6">
        <f t="shared" si="144"/>
        <v>4454</v>
      </c>
      <c r="AB20" s="6">
        <f t="shared" si="144"/>
        <v>2475</v>
      </c>
      <c r="AC20" s="6">
        <f t="shared" si="144"/>
        <v>5764</v>
      </c>
      <c r="AD20" s="6">
        <f t="shared" si="144"/>
        <v>8130</v>
      </c>
      <c r="AE20" s="6">
        <f>+AD20*(1+$AH$23)</f>
        <v>7967.4</v>
      </c>
      <c r="AF20" s="6">
        <f t="shared" ref="AF20:CQ20" si="145">+AE20*(1+$AH$23)</f>
        <v>7808.0519999999997</v>
      </c>
      <c r="AG20" s="6">
        <f t="shared" si="145"/>
        <v>7651.8909599999997</v>
      </c>
      <c r="AH20" s="6">
        <f t="shared" si="145"/>
        <v>7498.8531407999999</v>
      </c>
      <c r="AI20" s="6">
        <f t="shared" si="145"/>
        <v>7348.8760779839995</v>
      </c>
      <c r="AJ20" s="6">
        <f t="shared" si="145"/>
        <v>7201.8985564243194</v>
      </c>
      <c r="AK20" s="6">
        <f t="shared" si="145"/>
        <v>7057.8605852958326</v>
      </c>
      <c r="AL20" s="6">
        <f t="shared" si="145"/>
        <v>6916.7033735899158</v>
      </c>
      <c r="AM20" s="6">
        <f t="shared" si="145"/>
        <v>6778.3693061181175</v>
      </c>
      <c r="AN20" s="6">
        <f t="shared" si="145"/>
        <v>6642.8019199957553</v>
      </c>
      <c r="AO20" s="6">
        <f t="shared" si="145"/>
        <v>6509.9458815958396</v>
      </c>
      <c r="AP20" s="6">
        <f t="shared" si="145"/>
        <v>6379.746963963923</v>
      </c>
      <c r="AQ20" s="6">
        <f t="shared" si="145"/>
        <v>6252.1520246846449</v>
      </c>
      <c r="AR20" s="6">
        <f t="shared" si="145"/>
        <v>6127.1089841909516</v>
      </c>
      <c r="AS20" s="6">
        <f t="shared" si="145"/>
        <v>6004.5668045071325</v>
      </c>
      <c r="AT20" s="6">
        <f t="shared" si="145"/>
        <v>5884.4754684169893</v>
      </c>
      <c r="AU20" s="6">
        <f t="shared" si="145"/>
        <v>5766.7859590486496</v>
      </c>
      <c r="AV20" s="6">
        <f t="shared" si="145"/>
        <v>5651.4502398676768</v>
      </c>
      <c r="AW20" s="6">
        <f t="shared" si="145"/>
        <v>5538.4212350703228</v>
      </c>
      <c r="AX20" s="6">
        <f t="shared" si="145"/>
        <v>5427.6528103689161</v>
      </c>
      <c r="AY20" s="6">
        <f t="shared" si="145"/>
        <v>5319.0997541615379</v>
      </c>
      <c r="AZ20" s="6">
        <f t="shared" si="145"/>
        <v>5212.7177590783067</v>
      </c>
      <c r="BA20" s="6">
        <f t="shared" si="145"/>
        <v>5108.4634038967406</v>
      </c>
      <c r="BB20" s="6">
        <f t="shared" si="145"/>
        <v>5006.2941358188054</v>
      </c>
      <c r="BC20" s="6">
        <f t="shared" si="145"/>
        <v>4906.1682531024289</v>
      </c>
      <c r="BD20" s="6">
        <f t="shared" si="145"/>
        <v>4808.0448880403801</v>
      </c>
      <c r="BE20" s="6">
        <f t="shared" si="145"/>
        <v>4711.8839902795726</v>
      </c>
      <c r="BF20" s="6">
        <f t="shared" si="145"/>
        <v>4617.6463104739814</v>
      </c>
      <c r="BG20" s="6">
        <f t="shared" si="145"/>
        <v>4525.2933842645016</v>
      </c>
      <c r="BH20" s="6">
        <f t="shared" si="145"/>
        <v>4434.7875165792111</v>
      </c>
      <c r="BI20" s="6">
        <f t="shared" si="145"/>
        <v>4346.0917662476268</v>
      </c>
      <c r="BJ20" s="6">
        <f t="shared" si="145"/>
        <v>4259.1699309226742</v>
      </c>
      <c r="BK20" s="6">
        <f t="shared" si="145"/>
        <v>4173.9865323042204</v>
      </c>
      <c r="BL20" s="6">
        <f t="shared" si="145"/>
        <v>4090.5068016581358</v>
      </c>
      <c r="BM20" s="6">
        <f t="shared" si="145"/>
        <v>4008.6966656249729</v>
      </c>
      <c r="BN20" s="6">
        <f t="shared" si="145"/>
        <v>3928.5227323124732</v>
      </c>
      <c r="BO20" s="6">
        <f t="shared" si="145"/>
        <v>3849.9522776662238</v>
      </c>
      <c r="BP20" s="6">
        <f t="shared" si="145"/>
        <v>3772.9532321128995</v>
      </c>
      <c r="BQ20" s="6">
        <f t="shared" si="145"/>
        <v>3697.4941674706415</v>
      </c>
      <c r="BR20" s="6">
        <f t="shared" si="145"/>
        <v>3623.5442841212284</v>
      </c>
      <c r="BS20" s="6">
        <f t="shared" si="145"/>
        <v>3551.0733984388039</v>
      </c>
      <c r="BT20" s="6">
        <f t="shared" si="145"/>
        <v>3480.0519304700279</v>
      </c>
      <c r="BU20" s="6">
        <f t="shared" si="145"/>
        <v>3410.4508918606271</v>
      </c>
      <c r="BV20" s="6">
        <f t="shared" si="145"/>
        <v>3342.2418740234143</v>
      </c>
      <c r="BW20" s="6">
        <f t="shared" si="145"/>
        <v>3275.3970365429459</v>
      </c>
      <c r="BX20" s="6">
        <f t="shared" si="145"/>
        <v>3209.8890958120869</v>
      </c>
      <c r="BY20" s="6">
        <f t="shared" si="145"/>
        <v>3145.6913138958453</v>
      </c>
      <c r="BZ20" s="6">
        <f t="shared" si="145"/>
        <v>3082.7774876179283</v>
      </c>
      <c r="CA20" s="6">
        <f t="shared" si="145"/>
        <v>3021.1219378655696</v>
      </c>
      <c r="CB20" s="6">
        <f t="shared" si="145"/>
        <v>2960.6994991082584</v>
      </c>
      <c r="CC20" s="6">
        <f t="shared" si="145"/>
        <v>2901.4855091260933</v>
      </c>
      <c r="CD20" s="6">
        <f t="shared" si="145"/>
        <v>2843.4557989435716</v>
      </c>
      <c r="CE20" s="6">
        <f t="shared" si="145"/>
        <v>2786.5866829647002</v>
      </c>
      <c r="CF20" s="6">
        <f t="shared" si="145"/>
        <v>2730.8549493054061</v>
      </c>
      <c r="CG20" s="6">
        <f t="shared" si="145"/>
        <v>2676.2378503192981</v>
      </c>
      <c r="CH20" s="6">
        <f t="shared" si="145"/>
        <v>2622.713093312912</v>
      </c>
      <c r="CI20" s="6">
        <f t="shared" si="145"/>
        <v>2570.2588314466539</v>
      </c>
      <c r="CJ20" s="6">
        <f t="shared" si="145"/>
        <v>2518.8536548177208</v>
      </c>
      <c r="CK20" s="6">
        <f t="shared" si="145"/>
        <v>2468.4765817213665</v>
      </c>
      <c r="CL20" s="6">
        <f t="shared" si="145"/>
        <v>2419.1070500869391</v>
      </c>
      <c r="CM20" s="6">
        <f t="shared" si="145"/>
        <v>2370.7249090852001</v>
      </c>
      <c r="CN20" s="6">
        <f t="shared" si="145"/>
        <v>2323.3104109034962</v>
      </c>
      <c r="CO20" s="6">
        <f t="shared" si="145"/>
        <v>2276.8442026854264</v>
      </c>
      <c r="CP20" s="6">
        <f t="shared" si="145"/>
        <v>2231.3073186317179</v>
      </c>
      <c r="CQ20" s="6">
        <f t="shared" si="145"/>
        <v>2186.6811722590833</v>
      </c>
      <c r="CR20" s="6">
        <f t="shared" ref="CR20:FC20" si="146">+CQ20*(1+$AH$23)</f>
        <v>2142.9475488139014</v>
      </c>
      <c r="CS20" s="6">
        <f t="shared" si="146"/>
        <v>2100.0885978376232</v>
      </c>
      <c r="CT20" s="6">
        <f t="shared" si="146"/>
        <v>2058.0868258808705</v>
      </c>
      <c r="CU20" s="6">
        <f t="shared" si="146"/>
        <v>2016.9250893632529</v>
      </c>
      <c r="CV20" s="6">
        <f t="shared" si="146"/>
        <v>1976.5865875759878</v>
      </c>
      <c r="CW20" s="6">
        <f t="shared" si="146"/>
        <v>1937.0548558244679</v>
      </c>
      <c r="CX20" s="6">
        <f t="shared" si="146"/>
        <v>1898.3137587079786</v>
      </c>
      <c r="CY20" s="6">
        <f t="shared" si="146"/>
        <v>1860.3474835338191</v>
      </c>
      <c r="CZ20" s="6">
        <f t="shared" si="146"/>
        <v>1823.1405338631425</v>
      </c>
      <c r="DA20" s="6">
        <f t="shared" si="146"/>
        <v>1786.6777231858796</v>
      </c>
      <c r="DB20" s="6">
        <f t="shared" si="146"/>
        <v>1750.944168722162</v>
      </c>
      <c r="DC20" s="6">
        <f t="shared" si="146"/>
        <v>1715.9252853477187</v>
      </c>
      <c r="DD20" s="6">
        <f t="shared" si="146"/>
        <v>1681.6067796407642</v>
      </c>
      <c r="DE20" s="6">
        <f t="shared" si="146"/>
        <v>1647.9746440479489</v>
      </c>
      <c r="DF20" s="6">
        <f t="shared" si="146"/>
        <v>1615.0151511669899</v>
      </c>
      <c r="DG20" s="6">
        <f t="shared" si="146"/>
        <v>1582.71484814365</v>
      </c>
      <c r="DH20" s="6">
        <f t="shared" si="146"/>
        <v>1551.0605511807769</v>
      </c>
      <c r="DI20" s="6">
        <f t="shared" si="146"/>
        <v>1520.0393401571614</v>
      </c>
      <c r="DJ20" s="6">
        <f t="shared" si="146"/>
        <v>1489.6385533540181</v>
      </c>
      <c r="DK20" s="6">
        <f t="shared" si="146"/>
        <v>1459.8457822869377</v>
      </c>
      <c r="DL20" s="6">
        <f t="shared" si="146"/>
        <v>1430.648866641199</v>
      </c>
      <c r="DM20" s="6">
        <f t="shared" si="146"/>
        <v>1402.0358893083751</v>
      </c>
      <c r="DN20" s="6">
        <f t="shared" si="146"/>
        <v>1373.9951715222076</v>
      </c>
      <c r="DO20" s="6">
        <f t="shared" si="146"/>
        <v>1346.5152680917633</v>
      </c>
      <c r="DP20" s="6">
        <f t="shared" si="146"/>
        <v>1319.5849627299281</v>
      </c>
      <c r="DQ20" s="6">
        <f t="shared" si="146"/>
        <v>1293.1932634753296</v>
      </c>
      <c r="DR20" s="6">
        <f t="shared" si="146"/>
        <v>1267.3293982058231</v>
      </c>
      <c r="DS20" s="6">
        <f t="shared" si="146"/>
        <v>1241.9828102417066</v>
      </c>
      <c r="DT20" s="6">
        <f t="shared" si="146"/>
        <v>1217.1431540368724</v>
      </c>
      <c r="DU20" s="6">
        <f t="shared" si="146"/>
        <v>1192.8002909561349</v>
      </c>
      <c r="DV20" s="6">
        <f t="shared" si="146"/>
        <v>1168.9442851370122</v>
      </c>
      <c r="DW20" s="6">
        <f t="shared" si="146"/>
        <v>1145.565399434272</v>
      </c>
      <c r="DX20" s="6">
        <f t="shared" si="146"/>
        <v>1122.6540914455866</v>
      </c>
      <c r="DY20" s="6">
        <f t="shared" si="146"/>
        <v>1100.2010096166748</v>
      </c>
      <c r="DZ20" s="6">
        <f t="shared" si="146"/>
        <v>1078.1969894243414</v>
      </c>
      <c r="EA20" s="6">
        <f t="shared" si="146"/>
        <v>1056.6330496358546</v>
      </c>
      <c r="EB20" s="6">
        <f t="shared" si="146"/>
        <v>1035.5003886431375</v>
      </c>
      <c r="EC20" s="6">
        <f t="shared" si="146"/>
        <v>1014.7903808702747</v>
      </c>
      <c r="ED20" s="6">
        <f t="shared" si="146"/>
        <v>994.49457325286915</v>
      </c>
      <c r="EE20" s="6">
        <f t="shared" si="146"/>
        <v>974.60468178781173</v>
      </c>
      <c r="EF20" s="6">
        <f t="shared" si="146"/>
        <v>955.11258815205542</v>
      </c>
      <c r="EG20" s="6">
        <f t="shared" si="146"/>
        <v>936.01033638901424</v>
      </c>
      <c r="EH20" s="6">
        <f t="shared" si="146"/>
        <v>917.29012966123389</v>
      </c>
      <c r="EI20" s="6">
        <f t="shared" si="146"/>
        <v>898.94432706800922</v>
      </c>
      <c r="EJ20" s="6">
        <f t="shared" si="146"/>
        <v>880.96544052664899</v>
      </c>
      <c r="EK20" s="6">
        <f t="shared" si="146"/>
        <v>863.34613171611602</v>
      </c>
      <c r="EL20" s="6">
        <f t="shared" si="146"/>
        <v>846.07920908179369</v>
      </c>
      <c r="EM20" s="6">
        <f t="shared" si="146"/>
        <v>829.15762490015777</v>
      </c>
      <c r="EN20" s="6">
        <f t="shared" si="146"/>
        <v>812.57447240215458</v>
      </c>
      <c r="EO20" s="6">
        <f t="shared" si="146"/>
        <v>796.32298295411147</v>
      </c>
      <c r="EP20" s="6">
        <f t="shared" si="146"/>
        <v>780.39652329502917</v>
      </c>
      <c r="EQ20" s="6">
        <f t="shared" si="146"/>
        <v>764.78859282912856</v>
      </c>
      <c r="ER20" s="6">
        <f t="shared" si="146"/>
        <v>749.49282097254593</v>
      </c>
      <c r="ES20" s="6">
        <f t="shared" si="146"/>
        <v>734.50296455309501</v>
      </c>
      <c r="ET20" s="6">
        <f t="shared" si="146"/>
        <v>719.81290526203315</v>
      </c>
      <c r="EU20" s="6">
        <f t="shared" si="146"/>
        <v>705.41664715679246</v>
      </c>
      <c r="EV20" s="6">
        <f t="shared" si="146"/>
        <v>691.30831421365656</v>
      </c>
      <c r="EW20" s="6">
        <f t="shared" si="146"/>
        <v>677.48214792938336</v>
      </c>
      <c r="EX20" s="6">
        <f t="shared" si="146"/>
        <v>663.93250497079566</v>
      </c>
      <c r="EY20" s="6">
        <f t="shared" si="146"/>
        <v>650.65385487137974</v>
      </c>
      <c r="EZ20" s="6">
        <f t="shared" si="146"/>
        <v>637.6407777739521</v>
      </c>
      <c r="FA20" s="6">
        <f t="shared" si="146"/>
        <v>624.88796221847304</v>
      </c>
      <c r="FB20" s="6">
        <f t="shared" si="146"/>
        <v>612.39020297410354</v>
      </c>
      <c r="FC20" s="6">
        <f t="shared" si="146"/>
        <v>600.14239891462148</v>
      </c>
      <c r="FD20" s="6">
        <f t="shared" ref="FD20:FM20" si="147">+FC20*(1+$AH$23)</f>
        <v>588.13955093632899</v>
      </c>
      <c r="FE20" s="6">
        <f t="shared" si="147"/>
        <v>576.37675991760239</v>
      </c>
      <c r="FF20" s="6">
        <f t="shared" si="147"/>
        <v>564.84922471925029</v>
      </c>
      <c r="FG20" s="6">
        <f t="shared" si="147"/>
        <v>553.55224022486527</v>
      </c>
      <c r="FH20" s="6">
        <f t="shared" si="147"/>
        <v>542.48119542036795</v>
      </c>
      <c r="FI20" s="6">
        <f t="shared" si="147"/>
        <v>531.6315715119606</v>
      </c>
      <c r="FJ20" s="6">
        <f t="shared" si="147"/>
        <v>520.99894008172134</v>
      </c>
      <c r="FK20" s="6">
        <f t="shared" si="147"/>
        <v>510.5789612800869</v>
      </c>
      <c r="FL20" s="6">
        <f t="shared" si="147"/>
        <v>500.36738205448518</v>
      </c>
      <c r="FM20" s="6">
        <f t="shared" si="147"/>
        <v>490.36003441339545</v>
      </c>
      <c r="FN20" s="2" t="s">
        <v>81</v>
      </c>
    </row>
    <row r="21" spans="1:170" x14ac:dyDescent="0.25">
      <c r="B21" s="2" t="s">
        <v>33</v>
      </c>
      <c r="C21" s="2">
        <v>0.77</v>
      </c>
      <c r="D21" s="2">
        <v>1.1599999999999999</v>
      </c>
      <c r="E21" s="2">
        <v>-1.48</v>
      </c>
      <c r="F21" s="2">
        <f t="shared" si="136"/>
        <v>0.89000000000000012</v>
      </c>
      <c r="G21" s="2">
        <v>1.08</v>
      </c>
      <c r="H21" s="2">
        <v>0.49</v>
      </c>
      <c r="I21" s="2">
        <v>0.12</v>
      </c>
      <c r="J21" s="2">
        <f t="shared" si="137"/>
        <v>1.5</v>
      </c>
      <c r="K21" s="2">
        <v>1</v>
      </c>
      <c r="L21" s="2">
        <v>1.19</v>
      </c>
      <c r="M21" s="2">
        <v>1.22</v>
      </c>
      <c r="N21" s="2">
        <f t="shared" si="135"/>
        <v>1.1600000000000001</v>
      </c>
      <c r="O21" s="2">
        <v>1.21</v>
      </c>
      <c r="P21" s="2">
        <v>2.21</v>
      </c>
      <c r="Q21" s="2">
        <v>1.34</v>
      </c>
      <c r="V21" s="2">
        <v>2.67</v>
      </c>
      <c r="W21" s="2">
        <v>7.28</v>
      </c>
      <c r="X21" s="2">
        <v>5.31</v>
      </c>
      <c r="Y21" s="2">
        <v>3.69</v>
      </c>
      <c r="Z21" s="2">
        <v>-0.7</v>
      </c>
      <c r="AA21" s="2">
        <v>2.4</v>
      </c>
      <c r="AB21" s="2">
        <v>1.34</v>
      </c>
      <c r="AC21" s="2">
        <v>3.19</v>
      </c>
      <c r="AD21" s="2">
        <v>4.57</v>
      </c>
      <c r="FN21" s="2" t="s">
        <v>81</v>
      </c>
    </row>
    <row r="22" spans="1:170" x14ac:dyDescent="0.25">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FN22" s="2" t="s">
        <v>81</v>
      </c>
    </row>
    <row r="23" spans="1:170" x14ac:dyDescent="0.25">
      <c r="B23" s="2" t="s">
        <v>32</v>
      </c>
      <c r="C23" s="6">
        <f t="shared" ref="C23:P23" si="148">+C20</f>
        <v>1421</v>
      </c>
      <c r="D23" s="6">
        <f t="shared" si="148"/>
        <v>2150</v>
      </c>
      <c r="E23" s="6">
        <f t="shared" si="148"/>
        <v>-2720</v>
      </c>
      <c r="F23" s="6">
        <f t="shared" si="148"/>
        <v>1624</v>
      </c>
      <c r="G23" s="6">
        <f t="shared" si="148"/>
        <v>1959</v>
      </c>
      <c r="H23" s="6">
        <f t="shared" si="148"/>
        <v>891</v>
      </c>
      <c r="I23" s="6">
        <f t="shared" si="148"/>
        <v>224</v>
      </c>
      <c r="J23" s="6">
        <f t="shared" si="148"/>
        <v>2690</v>
      </c>
      <c r="K23" s="6">
        <f t="shared" si="148"/>
        <v>1787</v>
      </c>
      <c r="L23" s="6">
        <f t="shared" si="148"/>
        <v>2117</v>
      </c>
      <c r="M23" s="6">
        <f t="shared" si="148"/>
        <v>2166</v>
      </c>
      <c r="N23" s="6">
        <f t="shared" si="148"/>
        <v>2060</v>
      </c>
      <c r="O23" s="6">
        <f t="shared" si="148"/>
        <v>2129</v>
      </c>
      <c r="P23" s="6">
        <f t="shared" si="148"/>
        <v>3803</v>
      </c>
      <c r="Q23" s="6">
        <f t="shared" ref="Q23" si="149">+Q20</f>
        <v>2293</v>
      </c>
      <c r="R23" s="6"/>
      <c r="S23" s="6"/>
      <c r="T23" s="6"/>
      <c r="U23" s="6"/>
      <c r="V23" s="6">
        <f t="shared" ref="V23:AD23" si="150">+V20</f>
        <v>5243</v>
      </c>
      <c r="W23" s="6">
        <f t="shared" si="150"/>
        <v>14244</v>
      </c>
      <c r="X23" s="6">
        <f t="shared" si="150"/>
        <v>10227</v>
      </c>
      <c r="Y23" s="6">
        <f t="shared" si="150"/>
        <v>6967</v>
      </c>
      <c r="Z23" s="6">
        <f t="shared" si="150"/>
        <v>-1298</v>
      </c>
      <c r="AA23" s="6">
        <f t="shared" si="150"/>
        <v>4454</v>
      </c>
      <c r="AB23" s="6">
        <f t="shared" si="150"/>
        <v>2475</v>
      </c>
      <c r="AC23" s="6">
        <f t="shared" si="150"/>
        <v>5764</v>
      </c>
      <c r="AD23" s="6">
        <f t="shared" si="150"/>
        <v>8130</v>
      </c>
      <c r="AE23" s="6"/>
      <c r="AF23" s="6"/>
      <c r="AG23" s="6" t="s">
        <v>82</v>
      </c>
      <c r="AH23" s="7">
        <v>-0.02</v>
      </c>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row>
    <row r="24" spans="1:170" x14ac:dyDescent="0.25">
      <c r="B24" s="2" t="s">
        <v>34</v>
      </c>
      <c r="C24" s="6">
        <v>28</v>
      </c>
      <c r="D24" s="6">
        <v>349</v>
      </c>
      <c r="E24" s="6">
        <v>6</v>
      </c>
      <c r="F24" s="6">
        <f t="shared" si="136"/>
        <v>425</v>
      </c>
      <c r="G24" s="6">
        <v>15</v>
      </c>
      <c r="H24" s="6">
        <v>16</v>
      </c>
      <c r="I24" s="6">
        <v>17</v>
      </c>
      <c r="J24" s="6">
        <f t="shared" ref="J24:J26" si="151">+AC24-SUM(G24:I24)</f>
        <v>128</v>
      </c>
      <c r="K24" s="6">
        <v>-6</v>
      </c>
      <c r="L24" s="6">
        <v>-5</v>
      </c>
      <c r="M24" s="6">
        <v>-5</v>
      </c>
      <c r="N24" s="6">
        <f t="shared" ref="N24:N26" si="152">+AD24-SUM(K24:M24)</f>
        <v>-41</v>
      </c>
      <c r="O24" s="6">
        <v>-1</v>
      </c>
      <c r="P24" s="6">
        <v>-1</v>
      </c>
      <c r="Q24" s="6">
        <v>-2</v>
      </c>
      <c r="R24" s="6"/>
      <c r="S24" s="6"/>
      <c r="T24" s="6"/>
      <c r="U24" s="6"/>
      <c r="V24" s="6">
        <v>-3</v>
      </c>
      <c r="W24" s="6">
        <v>1</v>
      </c>
      <c r="X24" s="6" t="s">
        <v>45</v>
      </c>
      <c r="Y24" s="6">
        <v>68</v>
      </c>
      <c r="Z24" s="6">
        <v>-24</v>
      </c>
      <c r="AA24" s="6">
        <v>-228</v>
      </c>
      <c r="AB24" s="6">
        <v>808</v>
      </c>
      <c r="AC24" s="6">
        <v>176</v>
      </c>
      <c r="AD24" s="6">
        <v>-57</v>
      </c>
      <c r="AE24" s="6"/>
      <c r="AF24" s="6"/>
      <c r="AG24" s="6" t="s">
        <v>83</v>
      </c>
      <c r="AH24" s="7">
        <v>0.05</v>
      </c>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row>
    <row r="25" spans="1:170" x14ac:dyDescent="0.25">
      <c r="B25" s="2" t="s">
        <v>35</v>
      </c>
      <c r="C25" s="6">
        <v>517</v>
      </c>
      <c r="D25" s="6">
        <v>-183</v>
      </c>
      <c r="E25" s="6">
        <v>161</v>
      </c>
      <c r="F25" s="6">
        <f t="shared" si="136"/>
        <v>-69</v>
      </c>
      <c r="G25" s="6">
        <v>78</v>
      </c>
      <c r="H25" s="6">
        <v>565</v>
      </c>
      <c r="I25" s="6">
        <v>-6</v>
      </c>
      <c r="J25" s="6">
        <f t="shared" si="151"/>
        <v>-494</v>
      </c>
      <c r="K25" s="6">
        <v>-12</v>
      </c>
      <c r="L25" s="6">
        <v>78</v>
      </c>
      <c r="M25" s="6">
        <v>236</v>
      </c>
      <c r="N25" s="6">
        <f t="shared" si="152"/>
        <v>-128</v>
      </c>
      <c r="O25" s="6">
        <v>402</v>
      </c>
      <c r="P25" s="6">
        <v>-8</v>
      </c>
      <c r="Q25" s="6">
        <v>-330</v>
      </c>
      <c r="R25" s="6"/>
      <c r="S25" s="6"/>
      <c r="T25" s="6"/>
      <c r="U25" s="6"/>
      <c r="V25" s="6">
        <v>30</v>
      </c>
      <c r="W25" s="6">
        <v>-38</v>
      </c>
      <c r="X25" s="6">
        <v>209</v>
      </c>
      <c r="Y25" s="6">
        <v>-309</v>
      </c>
      <c r="Z25" s="6">
        <v>-319</v>
      </c>
      <c r="AA25" s="6">
        <v>-1245</v>
      </c>
      <c r="AB25" s="6">
        <v>426</v>
      </c>
      <c r="AC25" s="6">
        <v>143</v>
      </c>
      <c r="AD25" s="6">
        <v>174</v>
      </c>
      <c r="AE25" s="6"/>
      <c r="AF25" s="6"/>
      <c r="AG25" s="6" t="s">
        <v>84</v>
      </c>
      <c r="AH25" s="6">
        <f>+NPV(AH24,AE20:FM20)</f>
        <v>113812.21371077359</v>
      </c>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row>
    <row r="26" spans="1:170" x14ac:dyDescent="0.25">
      <c r="B26" s="2" t="s">
        <v>36</v>
      </c>
      <c r="C26" s="6">
        <v>22</v>
      </c>
      <c r="D26" s="6">
        <v>6</v>
      </c>
      <c r="E26" s="6">
        <v>5</v>
      </c>
      <c r="F26" s="6">
        <f t="shared" si="136"/>
        <v>18</v>
      </c>
      <c r="G26" s="6">
        <v>1</v>
      </c>
      <c r="H26" s="6">
        <v>4</v>
      </c>
      <c r="I26" s="6">
        <v>-17</v>
      </c>
      <c r="J26" s="6">
        <f t="shared" si="151"/>
        <v>-22</v>
      </c>
      <c r="K26" s="6">
        <v>10</v>
      </c>
      <c r="L26" s="6">
        <v>-3</v>
      </c>
      <c r="M26" s="6">
        <v>7</v>
      </c>
      <c r="N26" s="6">
        <f t="shared" si="152"/>
        <v>-33</v>
      </c>
      <c r="O26" s="6">
        <v>6</v>
      </c>
      <c r="P26" s="6">
        <v>-8</v>
      </c>
      <c r="Q26" s="6">
        <v>-2</v>
      </c>
      <c r="R26" s="6"/>
      <c r="S26" s="6"/>
      <c r="T26" s="6"/>
      <c r="U26" s="6"/>
      <c r="V26" s="6">
        <v>-625</v>
      </c>
      <c r="W26" s="6">
        <v>1265</v>
      </c>
      <c r="X26" s="6">
        <v>-54</v>
      </c>
      <c r="Y26" s="6">
        <v>-1</v>
      </c>
      <c r="Z26" s="6">
        <v>26</v>
      </c>
      <c r="AA26" s="6">
        <v>-4</v>
      </c>
      <c r="AB26" s="6">
        <v>51</v>
      </c>
      <c r="AC26" s="6">
        <v>-34</v>
      </c>
      <c r="AD26" s="6">
        <v>-19</v>
      </c>
      <c r="AE26" s="6"/>
      <c r="AF26" s="6"/>
      <c r="AG26" s="6" t="s">
        <v>85</v>
      </c>
      <c r="AH26" s="6">
        <f>+AH25+Main!F11-Main!F12</f>
        <v>95474.213710773591</v>
      </c>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row>
    <row r="27" spans="1:170" x14ac:dyDescent="0.25">
      <c r="B27" s="2" t="s">
        <v>37</v>
      </c>
      <c r="C27" s="6">
        <f t="shared" ref="C27:P27" si="153">+SUM(C24:C26)</f>
        <v>567</v>
      </c>
      <c r="D27" s="6">
        <f t="shared" si="153"/>
        <v>172</v>
      </c>
      <c r="E27" s="6">
        <f t="shared" si="153"/>
        <v>172</v>
      </c>
      <c r="F27" s="6">
        <f t="shared" si="153"/>
        <v>374</v>
      </c>
      <c r="G27" s="6">
        <f t="shared" si="153"/>
        <v>94</v>
      </c>
      <c r="H27" s="6">
        <f t="shared" si="153"/>
        <v>585</v>
      </c>
      <c r="I27" s="6">
        <f t="shared" si="153"/>
        <v>-6</v>
      </c>
      <c r="J27" s="6">
        <f t="shared" si="153"/>
        <v>-388</v>
      </c>
      <c r="K27" s="6">
        <f t="shared" si="153"/>
        <v>-8</v>
      </c>
      <c r="L27" s="6">
        <f t="shared" si="153"/>
        <v>70</v>
      </c>
      <c r="M27" s="6">
        <f t="shared" si="153"/>
        <v>238</v>
      </c>
      <c r="N27" s="6">
        <f t="shared" si="153"/>
        <v>-202</v>
      </c>
      <c r="O27" s="6">
        <f t="shared" si="153"/>
        <v>407</v>
      </c>
      <c r="P27" s="6">
        <f t="shared" si="153"/>
        <v>-17</v>
      </c>
      <c r="Q27" s="6">
        <f t="shared" ref="Q27" si="154">+SUM(Q24:Q26)</f>
        <v>-334</v>
      </c>
      <c r="R27" s="6"/>
      <c r="S27" s="6"/>
      <c r="T27" s="6"/>
      <c r="U27" s="6"/>
      <c r="V27" s="6">
        <f t="shared" ref="V27:AD27" si="155">+SUM(V24:V26)</f>
        <v>-598</v>
      </c>
      <c r="W27" s="6">
        <f t="shared" si="155"/>
        <v>1228</v>
      </c>
      <c r="X27" s="6">
        <f t="shared" si="155"/>
        <v>155</v>
      </c>
      <c r="Y27" s="6">
        <f t="shared" si="155"/>
        <v>-242</v>
      </c>
      <c r="Z27" s="6">
        <f t="shared" si="155"/>
        <v>-317</v>
      </c>
      <c r="AA27" s="6">
        <f t="shared" si="155"/>
        <v>-1477</v>
      </c>
      <c r="AB27" s="6">
        <f t="shared" si="155"/>
        <v>1285</v>
      </c>
      <c r="AC27" s="6">
        <f t="shared" si="155"/>
        <v>285</v>
      </c>
      <c r="AD27" s="6">
        <f t="shared" si="155"/>
        <v>98</v>
      </c>
      <c r="AE27" s="6"/>
      <c r="AF27" s="6"/>
      <c r="AG27" s="6" t="s">
        <v>86</v>
      </c>
      <c r="AH27" s="7">
        <f ca="1">+AH26/Main!F10-1</f>
        <v>0.10118233419449107</v>
      </c>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row>
    <row r="28" spans="1:170" x14ac:dyDescent="0.25">
      <c r="B28" s="2" t="s">
        <v>38</v>
      </c>
      <c r="C28" s="6">
        <f t="shared" ref="C28:P28" si="156">+C27+C20</f>
        <v>1988</v>
      </c>
      <c r="D28" s="6">
        <f t="shared" si="156"/>
        <v>2322</v>
      </c>
      <c r="E28" s="6">
        <f t="shared" si="156"/>
        <v>-2548</v>
      </c>
      <c r="F28" s="6">
        <f t="shared" si="156"/>
        <v>1998</v>
      </c>
      <c r="G28" s="6">
        <f t="shared" si="156"/>
        <v>2053</v>
      </c>
      <c r="H28" s="6">
        <f t="shared" si="156"/>
        <v>1476</v>
      </c>
      <c r="I28" s="6">
        <f t="shared" si="156"/>
        <v>218</v>
      </c>
      <c r="J28" s="6">
        <f t="shared" si="156"/>
        <v>2302</v>
      </c>
      <c r="K28" s="6">
        <f t="shared" si="156"/>
        <v>1779</v>
      </c>
      <c r="L28" s="6">
        <f t="shared" si="156"/>
        <v>2187</v>
      </c>
      <c r="M28" s="6">
        <f t="shared" si="156"/>
        <v>2404</v>
      </c>
      <c r="N28" s="6">
        <f t="shared" si="156"/>
        <v>1858</v>
      </c>
      <c r="O28" s="6">
        <f t="shared" si="156"/>
        <v>2536</v>
      </c>
      <c r="P28" s="6">
        <f t="shared" si="156"/>
        <v>3786</v>
      </c>
      <c r="Q28" s="6">
        <f t="shared" ref="Q28" si="157">+Q27+Q20</f>
        <v>1959</v>
      </c>
      <c r="R28" s="6"/>
      <c r="S28" s="6"/>
      <c r="T28" s="6"/>
      <c r="U28" s="6"/>
      <c r="V28" s="6">
        <f t="shared" ref="V28:AD28" si="158">+V27+V20</f>
        <v>4645</v>
      </c>
      <c r="W28" s="6">
        <f t="shared" si="158"/>
        <v>15472</v>
      </c>
      <c r="X28" s="6">
        <f t="shared" si="158"/>
        <v>10382</v>
      </c>
      <c r="Y28" s="6">
        <f t="shared" si="158"/>
        <v>6725</v>
      </c>
      <c r="Z28" s="6">
        <f t="shared" si="158"/>
        <v>-1615</v>
      </c>
      <c r="AA28" s="6">
        <f t="shared" si="158"/>
        <v>2977</v>
      </c>
      <c r="AB28" s="6">
        <f t="shared" si="158"/>
        <v>3760</v>
      </c>
      <c r="AC28" s="6">
        <f t="shared" si="158"/>
        <v>6049</v>
      </c>
      <c r="AD28" s="6">
        <f t="shared" si="158"/>
        <v>8228</v>
      </c>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row>
    <row r="29" spans="1:170" x14ac:dyDescent="0.25">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row>
    <row r="30" spans="1:170" s="7" customFormat="1" x14ac:dyDescent="0.25">
      <c r="A30" s="8"/>
      <c r="B30" s="7" t="s">
        <v>39</v>
      </c>
      <c r="C30" s="7" t="e">
        <f>+C3/#REF!-1</f>
        <v>#REF!</v>
      </c>
      <c r="D30" s="7" t="e">
        <f>+D3/#REF!-1</f>
        <v>#REF!</v>
      </c>
      <c r="E30" s="7" t="e">
        <f t="shared" ref="E30:J30" si="159">+E3/A3-1</f>
        <v>#DIV/0!</v>
      </c>
      <c r="F30" s="7" t="e">
        <f t="shared" si="159"/>
        <v>#VALUE!</v>
      </c>
      <c r="G30" s="7">
        <f t="shared" si="159"/>
        <v>-2.3856858846918461E-2</v>
      </c>
      <c r="H30" s="7">
        <f t="shared" si="159"/>
        <v>-5.6660899653979246E-2</v>
      </c>
      <c r="I30" s="7">
        <f t="shared" si="159"/>
        <v>-3.477748305334516E-2</v>
      </c>
      <c r="J30" s="7">
        <f t="shared" si="159"/>
        <v>-2.302158273381294E-2</v>
      </c>
      <c r="K30" s="7">
        <f>+K3/C3-1</f>
        <v>-5.2518223989396984E-2</v>
      </c>
      <c r="L30" s="7">
        <f t="shared" ref="L30:Q30" si="160">+L3/H3-1</f>
        <v>-5.3492281827908217E-3</v>
      </c>
      <c r="M30" s="7">
        <f t="shared" si="160"/>
        <v>-4.1068702290076309E-2</v>
      </c>
      <c r="N30" s="7">
        <f t="shared" si="160"/>
        <v>-2.2254950090001668E-2</v>
      </c>
      <c r="O30" s="7">
        <f t="shared" si="160"/>
        <v>-2.5004371393600233E-2</v>
      </c>
      <c r="P30" s="7">
        <f t="shared" si="160"/>
        <v>-4.594345421020285E-2</v>
      </c>
      <c r="Q30" s="7">
        <f t="shared" si="160"/>
        <v>-3.5026269702276291E-3</v>
      </c>
      <c r="V30" s="7" t="e">
        <f t="shared" ref="V30:AD30" si="161">+V3/U3-1</f>
        <v>#DIV/0!</v>
      </c>
      <c r="W30" s="7">
        <f t="shared" si="161"/>
        <v>1.2188409216010054E-2</v>
      </c>
      <c r="X30" s="7">
        <f t="shared" si="161"/>
        <v>-6.525792417650722E-3</v>
      </c>
      <c r="Y30" s="7">
        <f t="shared" si="161"/>
        <v>-8.2890209571473417E-3</v>
      </c>
      <c r="Z30" s="7">
        <f t="shared" si="161"/>
        <v>-1.0014193344898281E-2</v>
      </c>
      <c r="AA30" s="7">
        <f t="shared" si="161"/>
        <v>4.153723616089211E-2</v>
      </c>
      <c r="AB30" s="7">
        <f t="shared" si="161"/>
        <v>-5.3531143654648172E-3</v>
      </c>
      <c r="AC30" s="7">
        <f t="shared" si="161"/>
        <v>-3.5251604966747396E-2</v>
      </c>
      <c r="AD30" s="7">
        <f t="shared" si="161"/>
        <v>-2.4426203379024569E-2</v>
      </c>
    </row>
    <row r="31" spans="1:170" s="7" customFormat="1" x14ac:dyDescent="0.25">
      <c r="A31" s="8"/>
      <c r="B31" s="7" t="s">
        <v>40</v>
      </c>
      <c r="C31" s="7">
        <f t="shared" ref="C31:P31" si="162">+C19/C18</f>
        <v>0.26639132679401134</v>
      </c>
      <c r="D31" s="7">
        <f t="shared" si="162"/>
        <v>0.2609144035751117</v>
      </c>
      <c r="E31" s="7">
        <f t="shared" si="162"/>
        <v>0.17625681405208965</v>
      </c>
      <c r="F31" s="7">
        <f t="shared" si="162"/>
        <v>0.28771929824561404</v>
      </c>
      <c r="G31" s="7">
        <f t="shared" si="162"/>
        <v>0.26711560044893379</v>
      </c>
      <c r="H31" s="7">
        <f t="shared" si="162"/>
        <v>0.44485981308411215</v>
      </c>
      <c r="I31" s="7">
        <f t="shared" si="162"/>
        <v>0.44963144963144963</v>
      </c>
      <c r="J31" s="7">
        <f t="shared" si="162"/>
        <v>5.1775147928994087E-3</v>
      </c>
      <c r="K31" s="7">
        <f t="shared" si="162"/>
        <v>0.27914481645824929</v>
      </c>
      <c r="L31" s="7">
        <f t="shared" si="162"/>
        <v>0.24554526015680683</v>
      </c>
      <c r="M31" s="7">
        <f t="shared" si="162"/>
        <v>0.25515818431911969</v>
      </c>
      <c r="N31" s="7">
        <f t="shared" si="162"/>
        <v>0.24680073126142596</v>
      </c>
      <c r="O31" s="7">
        <f t="shared" si="162"/>
        <v>0.22270901788974079</v>
      </c>
      <c r="P31" s="7">
        <f t="shared" si="162"/>
        <v>0.25664581704456607</v>
      </c>
      <c r="Q31" s="7">
        <f t="shared" ref="Q31" si="163">+Q19/Q18</f>
        <v>0.24223397224058163</v>
      </c>
      <c r="V31" s="7">
        <f t="shared" ref="V31:AD31" si="164">+V19/V18</f>
        <v>0.35095320623916809</v>
      </c>
      <c r="W31" s="7">
        <f t="shared" si="164"/>
        <v>0.34816035145524438</v>
      </c>
      <c r="X31" s="7">
        <f t="shared" si="164"/>
        <v>-4.05982905982906E-2</v>
      </c>
      <c r="Y31" s="7">
        <f t="shared" si="164"/>
        <v>0.25414837811797453</v>
      </c>
      <c r="Z31" s="7">
        <f t="shared" si="164"/>
        <v>2.6945169712793735</v>
      </c>
      <c r="AA31" s="7">
        <f t="shared" si="164"/>
        <v>0.35355587808417999</v>
      </c>
      <c r="AB31" s="7">
        <f t="shared" si="164"/>
        <v>0.35277196652719667</v>
      </c>
      <c r="AC31" s="7">
        <f t="shared" si="164"/>
        <v>0.21992150493977533</v>
      </c>
      <c r="AD31" s="7">
        <f t="shared" si="164"/>
        <v>0.25603953147877012</v>
      </c>
    </row>
    <row r="32" spans="1:170" s="7" customFormat="1" x14ac:dyDescent="0.25">
      <c r="A32" s="8"/>
      <c r="B32" s="7" t="s">
        <v>41</v>
      </c>
      <c r="C32" s="7">
        <f t="shared" ref="C32:P32" si="165">+C6/C3</f>
        <v>0.54208084824387015</v>
      </c>
      <c r="D32" s="7">
        <f t="shared" si="165"/>
        <v>0.53806228373702425</v>
      </c>
      <c r="E32" s="7">
        <f t="shared" si="165"/>
        <v>0.54126142057176541</v>
      </c>
      <c r="F32" s="7">
        <f t="shared" si="165"/>
        <v>0.52997601918465231</v>
      </c>
      <c r="G32" s="7">
        <f t="shared" si="165"/>
        <v>0.57247114731839788</v>
      </c>
      <c r="H32" s="7">
        <f t="shared" si="165"/>
        <v>0.56029344337459885</v>
      </c>
      <c r="I32" s="7">
        <f t="shared" si="165"/>
        <v>0.56442748091603057</v>
      </c>
      <c r="J32" s="7">
        <f t="shared" si="165"/>
        <v>0.57437407952871866</v>
      </c>
      <c r="K32" s="7">
        <f t="shared" si="165"/>
        <v>0.58209477181325409</v>
      </c>
      <c r="L32" s="7">
        <f t="shared" si="165"/>
        <v>0.57728948985863549</v>
      </c>
      <c r="M32" s="7">
        <f t="shared" si="165"/>
        <v>0.58891896194873428</v>
      </c>
      <c r="N32" s="7">
        <f t="shared" si="165"/>
        <v>0.58560669456066949</v>
      </c>
      <c r="O32" s="7">
        <f t="shared" si="165"/>
        <v>0.58823529411764708</v>
      </c>
      <c r="P32" s="7">
        <f t="shared" si="165"/>
        <v>0.59188275084554676</v>
      </c>
      <c r="Q32" s="7">
        <f t="shared" ref="Q32" si="166">+Q6/Q3</f>
        <v>0.60840389838632369</v>
      </c>
      <c r="V32" s="7">
        <f t="shared" ref="V32:AD32" si="167">+V6/V3</f>
        <v>0.43697412911850281</v>
      </c>
      <c r="W32" s="7">
        <f t="shared" si="167"/>
        <v>0.45024083281541333</v>
      </c>
      <c r="X32" s="7">
        <f t="shared" si="167"/>
        <v>0.46727400688145138</v>
      </c>
      <c r="Y32" s="7">
        <f t="shared" si="167"/>
        <v>0.48312568995426591</v>
      </c>
      <c r="Z32" s="7">
        <f t="shared" si="167"/>
        <v>0.50621266427718037</v>
      </c>
      <c r="AA32" s="7">
        <f t="shared" si="167"/>
        <v>0.49795434558176882</v>
      </c>
      <c r="AB32" s="7">
        <f t="shared" si="167"/>
        <v>0.53788490370199515</v>
      </c>
      <c r="AC32" s="7">
        <f t="shared" si="167"/>
        <v>0.56766018489002235</v>
      </c>
      <c r="AD32" s="7">
        <f t="shared" si="167"/>
        <v>0.58342523383572276</v>
      </c>
    </row>
    <row r="33" spans="1:69" s="7" customFormat="1" x14ac:dyDescent="0.25">
      <c r="A33" s="8"/>
      <c r="B33" s="7" t="s">
        <v>42</v>
      </c>
      <c r="C33" s="7">
        <f t="shared" ref="C33:P33" si="168">+C9/C3</f>
        <v>0.44565937707090786</v>
      </c>
      <c r="D33" s="7">
        <f t="shared" si="168"/>
        <v>0.45934256055363321</v>
      </c>
      <c r="E33" s="7">
        <f t="shared" si="168"/>
        <v>0.43486590038314177</v>
      </c>
      <c r="F33" s="7">
        <f t="shared" si="168"/>
        <v>0.4369304556354916</v>
      </c>
      <c r="G33" s="7">
        <f t="shared" si="168"/>
        <v>0.48947725729803121</v>
      </c>
      <c r="H33" s="7">
        <f t="shared" si="168"/>
        <v>0.47455295735900965</v>
      </c>
      <c r="I33" s="7">
        <f t="shared" si="168"/>
        <v>0.47511450381679388</v>
      </c>
      <c r="J33" s="7">
        <f t="shared" si="168"/>
        <v>0.4611356570119457</v>
      </c>
      <c r="K33" s="7">
        <f t="shared" si="168"/>
        <v>0.48207728623885293</v>
      </c>
      <c r="L33" s="7">
        <f t="shared" si="168"/>
        <v>0.44637369391518134</v>
      </c>
      <c r="M33" s="7">
        <f t="shared" si="168"/>
        <v>0.49180066868333067</v>
      </c>
      <c r="N33" s="7">
        <f t="shared" si="168"/>
        <v>0.46794979079497906</v>
      </c>
      <c r="O33" s="7">
        <f t="shared" si="168"/>
        <v>0.47955523672883787</v>
      </c>
      <c r="P33" s="7">
        <f t="shared" si="168"/>
        <v>0.40795619262361088</v>
      </c>
      <c r="Q33" s="7">
        <f t="shared" ref="Q33" si="169">+Q9/Q3</f>
        <v>0.5035948234542259</v>
      </c>
      <c r="V33" s="7">
        <f t="shared" ref="V33:AD33" si="170">+V9/V3</f>
        <v>0.32873319179051663</v>
      </c>
      <c r="W33" s="7">
        <f t="shared" si="170"/>
        <v>0.34035114978247361</v>
      </c>
      <c r="X33" s="7">
        <f t="shared" si="170"/>
        <v>0.37363152955896151</v>
      </c>
      <c r="Y33" s="7">
        <f t="shared" si="170"/>
        <v>0.35936760763286546</v>
      </c>
      <c r="Z33" s="7">
        <f t="shared" si="170"/>
        <v>0.41123058542413382</v>
      </c>
      <c r="AA33" s="7">
        <f t="shared" si="170"/>
        <v>0.41574580354070279</v>
      </c>
      <c r="AB33" s="7">
        <f t="shared" si="170"/>
        <v>0.44439318802137395</v>
      </c>
      <c r="AC33" s="7">
        <f t="shared" si="170"/>
        <v>0.47493624481989161</v>
      </c>
      <c r="AD33" s="7">
        <f t="shared" si="170"/>
        <v>0.47163337826246782</v>
      </c>
    </row>
    <row r="34" spans="1:69" s="7" customFormat="1" x14ac:dyDescent="0.25">
      <c r="A34" s="8"/>
      <c r="B34" s="7" t="s">
        <v>43</v>
      </c>
      <c r="C34" s="7">
        <f t="shared" ref="C34:P34" si="171">+C20/C3</f>
        <v>0.23542080848243871</v>
      </c>
      <c r="D34" s="7">
        <f t="shared" si="171"/>
        <v>0.3099769319492503</v>
      </c>
      <c r="E34" s="7">
        <f t="shared" si="171"/>
        <v>-0.40082522841143531</v>
      </c>
      <c r="F34" s="7">
        <f t="shared" si="171"/>
        <v>0.25963229416466826</v>
      </c>
      <c r="G34" s="7">
        <f t="shared" si="171"/>
        <v>0.33248472505091647</v>
      </c>
      <c r="H34" s="7">
        <f t="shared" si="171"/>
        <v>0.13617606602475929</v>
      </c>
      <c r="I34" s="7">
        <f t="shared" si="171"/>
        <v>3.419847328244275E-2</v>
      </c>
      <c r="J34" s="7">
        <f t="shared" si="171"/>
        <v>0.44018982163312059</v>
      </c>
      <c r="K34" s="7">
        <f t="shared" si="171"/>
        <v>0.31246721454799792</v>
      </c>
      <c r="L34" s="7">
        <f t="shared" si="171"/>
        <v>0.32529194837123543</v>
      </c>
      <c r="M34" s="7">
        <f t="shared" si="171"/>
        <v>0.34484954625059705</v>
      </c>
      <c r="N34" s="7">
        <f t="shared" si="171"/>
        <v>0.34476987447698743</v>
      </c>
      <c r="O34" s="7">
        <f t="shared" si="171"/>
        <v>0.38181492109038739</v>
      </c>
      <c r="P34" s="7">
        <f t="shared" si="171"/>
        <v>0.61249798679336442</v>
      </c>
      <c r="Q34" s="7">
        <f t="shared" ref="Q34" si="172">+Q20/Q3</f>
        <v>0.36635245246844544</v>
      </c>
      <c r="V34" s="7">
        <f t="shared" ref="V34:AD34" si="173">+V20/V3</f>
        <v>0.20614138554690573</v>
      </c>
      <c r="W34" s="7">
        <f t="shared" si="173"/>
        <v>0.55329397141081416</v>
      </c>
      <c r="X34" s="7">
        <f t="shared" si="173"/>
        <v>0.39986706287144197</v>
      </c>
      <c r="Y34" s="7">
        <f t="shared" si="173"/>
        <v>0.27468064973978867</v>
      </c>
      <c r="Z34" s="7">
        <f t="shared" si="173"/>
        <v>-5.1692552767821587E-2</v>
      </c>
      <c r="AA34" s="7">
        <f t="shared" si="173"/>
        <v>0.17030550988414331</v>
      </c>
      <c r="AB34" s="7">
        <f t="shared" si="173"/>
        <v>9.5144735324645374E-2</v>
      </c>
      <c r="AC34" s="7">
        <f t="shared" si="173"/>
        <v>0.22967803634045267</v>
      </c>
      <c r="AD34" s="7">
        <f t="shared" si="173"/>
        <v>0.33206714863374587</v>
      </c>
    </row>
    <row r="35" spans="1:69" x14ac:dyDescent="0.2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row>
    <row r="36" spans="1:69" x14ac:dyDescent="0.25">
      <c r="B36" s="7" t="s">
        <v>32</v>
      </c>
      <c r="C36" s="6">
        <f t="shared" ref="C36:N36" si="174">+C20</f>
        <v>1421</v>
      </c>
      <c r="D36" s="6">
        <f t="shared" si="174"/>
        <v>2150</v>
      </c>
      <c r="E36" s="6">
        <f t="shared" si="174"/>
        <v>-2720</v>
      </c>
      <c r="F36" s="6">
        <f t="shared" si="174"/>
        <v>1624</v>
      </c>
      <c r="G36" s="6">
        <f t="shared" si="174"/>
        <v>1959</v>
      </c>
      <c r="H36" s="6">
        <f t="shared" si="174"/>
        <v>891</v>
      </c>
      <c r="I36" s="6">
        <f t="shared" si="174"/>
        <v>224</v>
      </c>
      <c r="J36" s="6">
        <f t="shared" si="174"/>
        <v>2690</v>
      </c>
      <c r="K36" s="6">
        <f t="shared" si="174"/>
        <v>1787</v>
      </c>
      <c r="L36" s="6">
        <f t="shared" si="174"/>
        <v>2117</v>
      </c>
      <c r="M36" s="6">
        <f t="shared" si="174"/>
        <v>2166</v>
      </c>
      <c r="N36" s="6">
        <f t="shared" si="174"/>
        <v>2060</v>
      </c>
      <c r="O36" s="6">
        <f>+O20</f>
        <v>2129</v>
      </c>
      <c r="P36" s="6">
        <f>+P20</f>
        <v>3803</v>
      </c>
      <c r="Q36" s="6">
        <f>+Q20</f>
        <v>2293</v>
      </c>
      <c r="R36" s="6"/>
      <c r="S36" s="6"/>
      <c r="T36" s="6"/>
      <c r="U36" s="6"/>
      <c r="V36" s="6">
        <f t="shared" ref="V36:AD36" si="175">+V20</f>
        <v>5243</v>
      </c>
      <c r="W36" s="6">
        <f t="shared" si="175"/>
        <v>14244</v>
      </c>
      <c r="X36" s="6">
        <f t="shared" si="175"/>
        <v>10227</v>
      </c>
      <c r="Y36" s="6">
        <f t="shared" si="175"/>
        <v>6967</v>
      </c>
      <c r="Z36" s="6">
        <f t="shared" si="175"/>
        <v>-1298</v>
      </c>
      <c r="AA36" s="6">
        <f t="shared" si="175"/>
        <v>4454</v>
      </c>
      <c r="AB36" s="6">
        <f t="shared" si="175"/>
        <v>2475</v>
      </c>
      <c r="AC36" s="6">
        <f t="shared" si="175"/>
        <v>5764</v>
      </c>
      <c r="AD36" s="6">
        <f t="shared" si="175"/>
        <v>8130</v>
      </c>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row>
    <row r="37" spans="1:69" x14ac:dyDescent="0.25">
      <c r="B37" s="7" t="s">
        <v>48</v>
      </c>
      <c r="C37" s="6">
        <v>63</v>
      </c>
      <c r="D37" s="6">
        <v>65</v>
      </c>
      <c r="E37" s="6">
        <v>62</v>
      </c>
      <c r="F37" s="6">
        <f t="shared" ref="F37:F57" si="176">+AB37-SUM(C37:E37)</f>
        <v>54</v>
      </c>
      <c r="G37" s="6">
        <v>52</v>
      </c>
      <c r="H37" s="6">
        <v>57</v>
      </c>
      <c r="I37" s="6">
        <v>54</v>
      </c>
      <c r="J37" s="6">
        <f t="shared" ref="J37:J57" si="177">+AC37-SUM(G37:I37)</f>
        <v>63</v>
      </c>
      <c r="K37" s="6">
        <v>52</v>
      </c>
      <c r="L37" s="6">
        <v>62</v>
      </c>
      <c r="M37" s="6">
        <v>80</v>
      </c>
      <c r="N37" s="6">
        <f t="shared" ref="N37:N57" si="178">+AD37-SUM(K37:M37)</f>
        <v>78</v>
      </c>
      <c r="O37" s="6">
        <v>65</v>
      </c>
      <c r="P37" s="6">
        <v>74</v>
      </c>
      <c r="Q37" s="6">
        <v>74</v>
      </c>
      <c r="R37" s="6"/>
      <c r="S37" s="6"/>
      <c r="T37" s="6"/>
      <c r="U37" s="6"/>
      <c r="V37" s="6">
        <v>225</v>
      </c>
      <c r="W37" s="6">
        <v>204</v>
      </c>
      <c r="X37" s="6">
        <v>209</v>
      </c>
      <c r="Y37" s="6">
        <v>227</v>
      </c>
      <c r="Z37" s="6">
        <v>226</v>
      </c>
      <c r="AA37" s="6">
        <v>257</v>
      </c>
      <c r="AB37" s="6">
        <v>244</v>
      </c>
      <c r="AC37" s="6">
        <v>226</v>
      </c>
      <c r="AD37" s="6">
        <v>272</v>
      </c>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row>
    <row r="38" spans="1:69" x14ac:dyDescent="0.25">
      <c r="B38" s="7" t="s">
        <v>49</v>
      </c>
      <c r="C38" s="6">
        <v>65</v>
      </c>
      <c r="D38" s="6">
        <v>-1</v>
      </c>
      <c r="E38" s="6">
        <v>-1244</v>
      </c>
      <c r="F38" s="6">
        <f t="shared" si="176"/>
        <v>20</v>
      </c>
      <c r="G38" s="6">
        <v>43</v>
      </c>
      <c r="H38" s="6">
        <v>-23</v>
      </c>
      <c r="I38" s="6">
        <v>-570</v>
      </c>
      <c r="J38" s="6">
        <f t="shared" si="177"/>
        <v>-397</v>
      </c>
      <c r="K38" s="6">
        <v>-20</v>
      </c>
      <c r="L38" s="6">
        <v>-160</v>
      </c>
      <c r="M38" s="6">
        <v>-395</v>
      </c>
      <c r="N38" s="6">
        <f t="shared" si="178"/>
        <v>345</v>
      </c>
      <c r="O38" s="6">
        <v>-138</v>
      </c>
      <c r="P38" s="6">
        <v>582</v>
      </c>
      <c r="Q38" s="6">
        <v>15</v>
      </c>
      <c r="R38" s="6"/>
      <c r="S38" s="6"/>
      <c r="T38" s="6"/>
      <c r="U38" s="6"/>
      <c r="V38" s="6">
        <v>-132</v>
      </c>
      <c r="W38" s="6">
        <v>3119</v>
      </c>
      <c r="X38" s="6">
        <v>-3126</v>
      </c>
      <c r="Y38" s="6">
        <v>-57</v>
      </c>
      <c r="Z38" s="6">
        <v>-95</v>
      </c>
      <c r="AA38" s="6">
        <v>-164</v>
      </c>
      <c r="AB38" s="6">
        <v>-1160</v>
      </c>
      <c r="AC38" s="6">
        <v>-947</v>
      </c>
      <c r="AD38" s="6">
        <v>-230</v>
      </c>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row>
    <row r="39" spans="1:69" x14ac:dyDescent="0.25">
      <c r="B39" s="7" t="s">
        <v>50</v>
      </c>
      <c r="C39" s="6" t="s">
        <v>45</v>
      </c>
      <c r="D39" s="6">
        <v>0</v>
      </c>
      <c r="E39" s="6">
        <v>0</v>
      </c>
      <c r="F39" s="6">
        <f t="shared" si="176"/>
        <v>-21</v>
      </c>
      <c r="G39" s="6" t="s">
        <v>45</v>
      </c>
      <c r="H39" s="6">
        <v>0</v>
      </c>
      <c r="I39" s="6">
        <v>0</v>
      </c>
      <c r="J39" s="6">
        <f t="shared" si="177"/>
        <v>16</v>
      </c>
      <c r="K39" s="6">
        <v>269</v>
      </c>
      <c r="L39" s="6">
        <v>281</v>
      </c>
      <c r="M39" s="6">
        <v>623</v>
      </c>
      <c r="N39" s="6">
        <f t="shared" si="178"/>
        <v>-62</v>
      </c>
      <c r="O39" s="6">
        <v>33</v>
      </c>
      <c r="P39" s="6">
        <v>55</v>
      </c>
      <c r="Q39" s="6">
        <v>-8</v>
      </c>
      <c r="R39" s="6"/>
      <c r="S39" s="6"/>
      <c r="T39" s="6"/>
      <c r="U39" s="6"/>
      <c r="V39" s="6" t="s">
        <v>45</v>
      </c>
      <c r="W39" s="6" t="s">
        <v>45</v>
      </c>
      <c r="X39" s="6" t="s">
        <v>45</v>
      </c>
      <c r="Y39" s="6" t="s">
        <v>45</v>
      </c>
      <c r="Z39" s="6" t="s">
        <v>45</v>
      </c>
      <c r="AA39" s="6" t="s">
        <v>45</v>
      </c>
      <c r="AB39" s="6">
        <v>-21</v>
      </c>
      <c r="AC39" s="6">
        <v>16</v>
      </c>
      <c r="AD39" s="6">
        <v>1111</v>
      </c>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row>
    <row r="40" spans="1:69" x14ac:dyDescent="0.25">
      <c r="B40" s="7" t="s">
        <v>89</v>
      </c>
      <c r="C40" s="6" t="s">
        <v>45</v>
      </c>
      <c r="D40" s="6">
        <v>0</v>
      </c>
      <c r="E40" s="6">
        <v>0</v>
      </c>
      <c r="F40" s="6">
        <v>0</v>
      </c>
      <c r="G40" s="6" t="s">
        <v>45</v>
      </c>
      <c r="H40" s="6">
        <v>0</v>
      </c>
      <c r="I40" s="6">
        <v>0</v>
      </c>
      <c r="J40" s="6">
        <f t="shared" si="177"/>
        <v>0</v>
      </c>
      <c r="K40" s="6" t="s">
        <v>45</v>
      </c>
      <c r="L40" s="6">
        <v>0</v>
      </c>
      <c r="M40" s="6">
        <v>0</v>
      </c>
      <c r="N40" s="6">
        <f t="shared" si="178"/>
        <v>0</v>
      </c>
      <c r="O40" s="6" t="s">
        <v>45</v>
      </c>
      <c r="P40" s="6">
        <v>140</v>
      </c>
      <c r="Q40" s="6">
        <v>-140</v>
      </c>
      <c r="R40" s="6"/>
      <c r="S40" s="6"/>
      <c r="T40" s="6"/>
      <c r="U40" s="6"/>
      <c r="V40" s="6" t="s">
        <v>45</v>
      </c>
      <c r="W40" s="6" t="s">
        <v>45</v>
      </c>
      <c r="X40" s="6" t="s">
        <v>45</v>
      </c>
      <c r="Y40" s="6" t="s">
        <v>45</v>
      </c>
      <c r="Z40" s="6" t="s">
        <v>45</v>
      </c>
      <c r="AA40" s="6" t="s">
        <v>45</v>
      </c>
      <c r="AB40" s="6" t="s">
        <v>45</v>
      </c>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row>
    <row r="41" spans="1:69" x14ac:dyDescent="0.25">
      <c r="B41" s="7" t="s">
        <v>29</v>
      </c>
      <c r="C41" s="6">
        <v>-51</v>
      </c>
      <c r="D41" s="6">
        <v>-75</v>
      </c>
      <c r="E41" s="6">
        <v>5915</v>
      </c>
      <c r="F41" s="6">
        <f t="shared" si="176"/>
        <v>190</v>
      </c>
      <c r="G41" s="6">
        <v>-34</v>
      </c>
      <c r="H41" s="6">
        <v>1263</v>
      </c>
      <c r="I41" s="6">
        <v>2478</v>
      </c>
      <c r="J41" s="6">
        <f t="shared" si="177"/>
        <v>-66</v>
      </c>
      <c r="K41" s="6">
        <v>80</v>
      </c>
      <c r="L41" s="6">
        <v>-127</v>
      </c>
      <c r="M41" s="6">
        <v>-58</v>
      </c>
      <c r="N41" s="6">
        <f t="shared" si="178"/>
        <v>-138</v>
      </c>
      <c r="O41" s="6">
        <v>-295</v>
      </c>
      <c r="P41" s="6">
        <v>-119</v>
      </c>
      <c r="Q41" s="6">
        <v>-116</v>
      </c>
      <c r="R41" s="6"/>
      <c r="S41" s="6"/>
      <c r="T41" s="6"/>
      <c r="U41" s="6"/>
      <c r="V41" s="6" t="s">
        <v>45</v>
      </c>
      <c r="W41" s="6" t="s">
        <v>45</v>
      </c>
      <c r="X41" s="6" t="s">
        <v>45</v>
      </c>
      <c r="Y41" s="6">
        <v>-890</v>
      </c>
      <c r="Z41" s="6">
        <v>-1725</v>
      </c>
      <c r="AA41" s="6">
        <v>111</v>
      </c>
      <c r="AB41" s="6">
        <v>5979</v>
      </c>
      <c r="AC41" s="6">
        <v>3641</v>
      </c>
      <c r="AD41" s="6">
        <v>-243</v>
      </c>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row>
    <row r="42" spans="1:69" x14ac:dyDescent="0.25">
      <c r="B42" s="7" t="s">
        <v>90</v>
      </c>
      <c r="C42" s="6" t="s">
        <v>45</v>
      </c>
      <c r="D42" s="6">
        <v>0</v>
      </c>
      <c r="E42" s="6">
        <v>0</v>
      </c>
      <c r="F42" s="6">
        <v>0</v>
      </c>
      <c r="G42" s="6" t="s">
        <v>45</v>
      </c>
      <c r="H42" s="6">
        <v>0</v>
      </c>
      <c r="I42" s="6">
        <v>0</v>
      </c>
      <c r="J42" s="6">
        <f t="shared" si="177"/>
        <v>0</v>
      </c>
      <c r="K42" s="6" t="s">
        <v>45</v>
      </c>
      <c r="L42" s="6">
        <v>0</v>
      </c>
      <c r="M42" s="6">
        <v>0</v>
      </c>
      <c r="N42" s="6">
        <f t="shared" si="178"/>
        <v>0</v>
      </c>
      <c r="O42" s="6"/>
      <c r="P42" s="6">
        <v>-2700</v>
      </c>
      <c r="Q42" s="6">
        <v>0</v>
      </c>
      <c r="R42" s="6"/>
      <c r="S42" s="6"/>
      <c r="T42" s="6"/>
      <c r="U42" s="6"/>
      <c r="V42" s="6" t="s">
        <v>45</v>
      </c>
      <c r="W42" s="6" t="s">
        <v>45</v>
      </c>
      <c r="X42" s="6" t="s">
        <v>45</v>
      </c>
      <c r="Y42" s="6" t="s">
        <v>45</v>
      </c>
      <c r="Z42" s="6" t="s">
        <v>45</v>
      </c>
      <c r="AA42" s="6" t="s">
        <v>45</v>
      </c>
      <c r="AB42" s="6" t="s">
        <v>45</v>
      </c>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row>
    <row r="43" spans="1:69" x14ac:dyDescent="0.25">
      <c r="B43" s="7" t="s">
        <v>94</v>
      </c>
      <c r="C43" s="6" t="s">
        <v>45</v>
      </c>
      <c r="D43" s="6">
        <v>0</v>
      </c>
      <c r="E43" s="6">
        <v>0</v>
      </c>
      <c r="F43" s="6">
        <f t="shared" si="176"/>
        <v>0</v>
      </c>
      <c r="G43" s="6" t="s">
        <v>45</v>
      </c>
      <c r="H43" s="6">
        <v>0</v>
      </c>
      <c r="I43" s="6">
        <v>0</v>
      </c>
      <c r="J43" s="6">
        <f t="shared" si="177"/>
        <v>0</v>
      </c>
      <c r="K43" s="6" t="s">
        <v>45</v>
      </c>
      <c r="L43" s="6" t="s">
        <v>45</v>
      </c>
      <c r="M43" s="6">
        <v>0</v>
      </c>
      <c r="N43" s="6">
        <f t="shared" si="178"/>
        <v>0</v>
      </c>
      <c r="O43" s="6"/>
      <c r="P43" s="6" t="s">
        <v>45</v>
      </c>
      <c r="Q43" s="6">
        <v>0</v>
      </c>
      <c r="R43" s="6"/>
      <c r="S43" s="6"/>
      <c r="T43" s="6"/>
      <c r="U43" s="6"/>
      <c r="V43" s="6">
        <f>-757-5</f>
        <v>-762</v>
      </c>
      <c r="W43" s="6">
        <f>-795-13865</f>
        <v>-14660</v>
      </c>
      <c r="X43" s="6">
        <f>-532-445</f>
        <v>-977</v>
      </c>
      <c r="Y43" s="6">
        <v>33</v>
      </c>
      <c r="Z43" s="6" t="s">
        <v>45</v>
      </c>
      <c r="AA43" s="6" t="s">
        <v>45</v>
      </c>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row>
    <row r="44" spans="1:69" x14ac:dyDescent="0.25">
      <c r="B44" s="7" t="s">
        <v>51</v>
      </c>
      <c r="C44" s="6" t="s">
        <v>45</v>
      </c>
      <c r="D44" s="6">
        <v>119</v>
      </c>
      <c r="E44" s="6">
        <v>0</v>
      </c>
      <c r="F44" s="6">
        <f t="shared" si="176"/>
        <v>0</v>
      </c>
      <c r="G44" s="6" t="s">
        <v>45</v>
      </c>
      <c r="H44" s="6">
        <v>104</v>
      </c>
      <c r="I44" s="6">
        <v>0</v>
      </c>
      <c r="J44" s="6">
        <f t="shared" si="177"/>
        <v>0</v>
      </c>
      <c r="K44" s="6" t="s">
        <v>45</v>
      </c>
      <c r="L44" s="6">
        <v>163</v>
      </c>
      <c r="M44" s="6">
        <v>0</v>
      </c>
      <c r="N44" s="6">
        <f t="shared" si="178"/>
        <v>0</v>
      </c>
      <c r="O44" s="6" t="s">
        <v>45</v>
      </c>
      <c r="P44" s="6">
        <v>139</v>
      </c>
      <c r="Q44" s="6">
        <v>0</v>
      </c>
      <c r="R44" s="6"/>
      <c r="S44" s="6"/>
      <c r="T44" s="6"/>
      <c r="U44" s="6"/>
      <c r="V44" s="6">
        <v>495</v>
      </c>
      <c r="W44" s="6">
        <v>739</v>
      </c>
      <c r="X44" s="6">
        <v>806</v>
      </c>
      <c r="Y44" s="6">
        <v>657</v>
      </c>
      <c r="Z44" s="6">
        <v>396</v>
      </c>
      <c r="AA44" s="6">
        <v>108</v>
      </c>
      <c r="AB44" s="6">
        <v>119</v>
      </c>
      <c r="AC44" s="6">
        <v>104</v>
      </c>
      <c r="AD44" s="6">
        <v>163</v>
      </c>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row>
    <row r="45" spans="1:69" x14ac:dyDescent="0.25">
      <c r="B45" s="7" t="s">
        <v>91</v>
      </c>
      <c r="C45" s="6" t="s">
        <v>45</v>
      </c>
      <c r="D45" s="6">
        <v>0</v>
      </c>
      <c r="E45" s="6">
        <v>0</v>
      </c>
      <c r="F45" s="6">
        <v>0</v>
      </c>
      <c r="G45" s="6" t="s">
        <v>45</v>
      </c>
      <c r="H45" s="6">
        <v>0</v>
      </c>
      <c r="I45" s="6">
        <v>0</v>
      </c>
      <c r="J45" s="6">
        <f t="shared" si="177"/>
        <v>0</v>
      </c>
      <c r="K45" s="6" t="s">
        <v>45</v>
      </c>
      <c r="L45" s="6">
        <v>0</v>
      </c>
      <c r="M45" s="6">
        <v>0</v>
      </c>
      <c r="N45" s="6">
        <f t="shared" si="178"/>
        <v>0</v>
      </c>
      <c r="O45" s="6"/>
      <c r="P45" s="6">
        <v>354</v>
      </c>
      <c r="Q45" s="6">
        <v>0</v>
      </c>
      <c r="R45" s="6"/>
      <c r="S45" s="6"/>
      <c r="T45" s="6"/>
      <c r="U45" s="6"/>
      <c r="V45" s="6">
        <v>1</v>
      </c>
      <c r="W45" s="6">
        <v>106</v>
      </c>
      <c r="X45" s="6">
        <v>-38</v>
      </c>
      <c r="Y45" s="6">
        <v>354</v>
      </c>
      <c r="Z45" s="6">
        <v>41</v>
      </c>
      <c r="AA45" s="6">
        <v>-51</v>
      </c>
      <c r="AB45" s="6" t="s">
        <v>45</v>
      </c>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row>
    <row r="46" spans="1:69" x14ac:dyDescent="0.25">
      <c r="B46" s="7" t="s">
        <v>47</v>
      </c>
      <c r="C46" s="6">
        <v>-110</v>
      </c>
      <c r="D46" s="6">
        <v>103</v>
      </c>
      <c r="E46" s="6">
        <v>135</v>
      </c>
      <c r="F46" s="6">
        <f t="shared" si="176"/>
        <v>20</v>
      </c>
      <c r="G46" s="6">
        <v>10</v>
      </c>
      <c r="H46" s="6">
        <v>4</v>
      </c>
      <c r="I46" s="6">
        <v>0</v>
      </c>
      <c r="J46" s="6">
        <f t="shared" si="177"/>
        <v>1</v>
      </c>
      <c r="K46" s="6" t="s">
        <v>45</v>
      </c>
      <c r="L46" s="6">
        <v>0</v>
      </c>
      <c r="M46" s="6">
        <v>0</v>
      </c>
      <c r="N46" s="6" t="s">
        <v>45</v>
      </c>
      <c r="O46" s="6" t="s">
        <v>45</v>
      </c>
      <c r="P46" s="6">
        <v>0</v>
      </c>
      <c r="Q46" s="6">
        <v>0</v>
      </c>
      <c r="R46" s="6"/>
      <c r="S46" s="6"/>
      <c r="T46" s="6"/>
      <c r="U46" s="6"/>
      <c r="V46" s="6" t="s">
        <v>45</v>
      </c>
      <c r="W46" s="6" t="s">
        <v>45</v>
      </c>
      <c r="X46" s="6" t="s">
        <v>45</v>
      </c>
      <c r="Y46" s="6" t="s">
        <v>45</v>
      </c>
      <c r="Z46" s="6">
        <v>1442</v>
      </c>
      <c r="AA46" s="6">
        <v>140</v>
      </c>
      <c r="AB46" s="6">
        <v>148</v>
      </c>
      <c r="AC46" s="6">
        <v>15</v>
      </c>
      <c r="AD46" s="6" t="s">
        <v>45</v>
      </c>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row>
    <row r="47" spans="1:69" x14ac:dyDescent="0.25">
      <c r="B47" s="7" t="s">
        <v>93</v>
      </c>
      <c r="C47" s="6" t="s">
        <v>45</v>
      </c>
      <c r="D47" s="6">
        <v>0</v>
      </c>
      <c r="E47" s="6">
        <v>0</v>
      </c>
      <c r="F47" s="6">
        <f t="shared" si="176"/>
        <v>0</v>
      </c>
      <c r="G47" s="6" t="s">
        <v>45</v>
      </c>
      <c r="H47" s="6">
        <v>0</v>
      </c>
      <c r="I47" s="6">
        <v>0</v>
      </c>
      <c r="J47" s="6">
        <f t="shared" si="177"/>
        <v>0</v>
      </c>
      <c r="K47" s="6" t="s">
        <v>45</v>
      </c>
      <c r="L47" s="6" t="s">
        <v>45</v>
      </c>
      <c r="M47" s="6">
        <v>0</v>
      </c>
      <c r="N47" s="6">
        <f t="shared" si="178"/>
        <v>0</v>
      </c>
      <c r="O47" s="6"/>
      <c r="P47" s="6" t="s">
        <v>45</v>
      </c>
      <c r="Q47" s="6">
        <v>0</v>
      </c>
      <c r="R47" s="6"/>
      <c r="S47" s="6"/>
      <c r="T47" s="6"/>
      <c r="U47" s="6"/>
      <c r="V47" s="6" t="s">
        <v>45</v>
      </c>
      <c r="W47" s="6" t="s">
        <v>45</v>
      </c>
      <c r="X47" s="6" t="s">
        <v>45</v>
      </c>
      <c r="Y47" s="6" t="s">
        <v>45</v>
      </c>
      <c r="Z47" s="6">
        <v>8600</v>
      </c>
      <c r="AA47" s="6">
        <v>2600</v>
      </c>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row>
    <row r="48" spans="1:69" x14ac:dyDescent="0.25">
      <c r="B48" s="7" t="s">
        <v>46</v>
      </c>
      <c r="C48" s="6">
        <v>649</v>
      </c>
      <c r="D48" s="6">
        <v>0</v>
      </c>
      <c r="E48" s="6">
        <v>0</v>
      </c>
      <c r="F48" s="6">
        <f t="shared" si="176"/>
        <v>0</v>
      </c>
      <c r="G48" s="6" t="s">
        <v>45</v>
      </c>
      <c r="H48" s="6">
        <v>0</v>
      </c>
      <c r="I48" s="6">
        <v>0</v>
      </c>
      <c r="J48" s="6" t="s">
        <v>45</v>
      </c>
      <c r="K48" s="6" t="s">
        <v>45</v>
      </c>
      <c r="L48" s="6">
        <v>0</v>
      </c>
      <c r="M48" s="6">
        <v>0</v>
      </c>
      <c r="N48" s="6" t="s">
        <v>45</v>
      </c>
      <c r="O48" s="6" t="s">
        <v>45</v>
      </c>
      <c r="P48" s="6">
        <v>0</v>
      </c>
      <c r="Q48" s="6">
        <v>0</v>
      </c>
      <c r="R48" s="6"/>
      <c r="S48" s="6"/>
      <c r="T48" s="6"/>
      <c r="U48" s="6"/>
      <c r="V48" s="6">
        <v>228</v>
      </c>
      <c r="W48" s="6">
        <v>823</v>
      </c>
      <c r="X48" s="6" t="s">
        <v>45</v>
      </c>
      <c r="Y48" s="6" t="s">
        <v>45</v>
      </c>
      <c r="Z48" s="6" t="s">
        <v>45</v>
      </c>
      <c r="AA48" s="6" t="s">
        <v>45</v>
      </c>
      <c r="AB48" s="6">
        <v>649</v>
      </c>
      <c r="AC48" s="6" t="s">
        <v>45</v>
      </c>
      <c r="AD48" s="6" t="s">
        <v>45</v>
      </c>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row>
    <row r="49" spans="2:69" x14ac:dyDescent="0.25">
      <c r="B49" s="7" t="s">
        <v>52</v>
      </c>
      <c r="C49" s="6">
        <v>-5</v>
      </c>
      <c r="D49" s="6">
        <v>10</v>
      </c>
      <c r="E49" s="6">
        <v>-12</v>
      </c>
      <c r="F49" s="6">
        <f t="shared" si="176"/>
        <v>-11</v>
      </c>
      <c r="G49" s="6">
        <v>1</v>
      </c>
      <c r="H49" s="6">
        <v>3</v>
      </c>
      <c r="I49" s="6">
        <v>-9</v>
      </c>
      <c r="J49" s="6">
        <f t="shared" si="177"/>
        <v>-16</v>
      </c>
      <c r="K49" s="6">
        <v>-34</v>
      </c>
      <c r="L49" s="6">
        <v>-24</v>
      </c>
      <c r="M49" s="6">
        <v>77</v>
      </c>
      <c r="N49" s="6">
        <f t="shared" si="178"/>
        <v>-13</v>
      </c>
      <c r="O49" s="6">
        <v>-6</v>
      </c>
      <c r="P49" s="6">
        <v>5</v>
      </c>
      <c r="Q49" s="6">
        <v>-13</v>
      </c>
      <c r="R49" s="6"/>
      <c r="S49" s="6"/>
      <c r="T49" s="6"/>
      <c r="U49" s="6"/>
      <c r="V49" s="6">
        <v>3</v>
      </c>
      <c r="W49" s="6">
        <v>-27</v>
      </c>
      <c r="X49" s="6">
        <v>10</v>
      </c>
      <c r="Y49" s="6" t="s">
        <v>45</v>
      </c>
      <c r="Z49" s="6">
        <v>-8</v>
      </c>
      <c r="AA49" s="6">
        <v>20</v>
      </c>
      <c r="AB49" s="6">
        <v>-18</v>
      </c>
      <c r="AC49" s="6">
        <v>-21</v>
      </c>
      <c r="AD49" s="6">
        <v>6</v>
      </c>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row>
    <row r="50" spans="2:69" x14ac:dyDescent="0.25">
      <c r="B50" s="7" t="s">
        <v>53</v>
      </c>
      <c r="C50" s="6">
        <v>18</v>
      </c>
      <c r="D50" s="6">
        <v>154</v>
      </c>
      <c r="E50" s="6">
        <v>-54</v>
      </c>
      <c r="F50" s="6">
        <f t="shared" si="176"/>
        <v>-61</v>
      </c>
      <c r="G50" s="6">
        <v>-20</v>
      </c>
      <c r="H50" s="6">
        <v>70</v>
      </c>
      <c r="I50" s="6">
        <v>38</v>
      </c>
      <c r="J50" s="6">
        <f t="shared" si="177"/>
        <v>-74</v>
      </c>
      <c r="K50" s="6">
        <v>-72</v>
      </c>
      <c r="L50" s="6">
        <v>81</v>
      </c>
      <c r="M50" s="6">
        <v>17</v>
      </c>
      <c r="N50" s="6">
        <f t="shared" si="178"/>
        <v>-41</v>
      </c>
      <c r="O50" s="6">
        <v>-26</v>
      </c>
      <c r="P50" s="6">
        <v>67</v>
      </c>
      <c r="Q50" s="6">
        <v>73</v>
      </c>
      <c r="R50" s="6"/>
      <c r="S50" s="6"/>
      <c r="T50" s="6"/>
      <c r="U50" s="6"/>
      <c r="V50" s="6">
        <v>-33</v>
      </c>
      <c r="W50" s="6">
        <v>-34</v>
      </c>
      <c r="X50" s="6">
        <v>-171</v>
      </c>
      <c r="Y50" s="6">
        <v>-129</v>
      </c>
      <c r="Z50" s="6">
        <v>42</v>
      </c>
      <c r="AA50" s="6">
        <v>2</v>
      </c>
      <c r="AB50" s="6">
        <v>57</v>
      </c>
      <c r="AC50" s="6">
        <v>14</v>
      </c>
      <c r="AD50" s="6">
        <v>-15</v>
      </c>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row>
    <row r="51" spans="2:69" x14ac:dyDescent="0.25">
      <c r="B51" s="7" t="s">
        <v>54</v>
      </c>
      <c r="C51" s="6">
        <v>-98</v>
      </c>
      <c r="D51" s="6">
        <v>-15</v>
      </c>
      <c r="E51" s="6">
        <v>116</v>
      </c>
      <c r="F51" s="6">
        <f t="shared" si="176"/>
        <v>160</v>
      </c>
      <c r="G51" s="6">
        <v>-59</v>
      </c>
      <c r="H51" s="6">
        <v>12</v>
      </c>
      <c r="I51" s="6">
        <v>20</v>
      </c>
      <c r="J51" s="6">
        <f t="shared" si="177"/>
        <v>119</v>
      </c>
      <c r="K51" s="6">
        <v>-115</v>
      </c>
      <c r="L51" s="6">
        <v>33</v>
      </c>
      <c r="M51" s="6">
        <v>35</v>
      </c>
      <c r="N51" s="6">
        <f t="shared" si="178"/>
        <v>85</v>
      </c>
      <c r="O51" s="6">
        <v>-61</v>
      </c>
      <c r="P51" s="6">
        <v>45</v>
      </c>
      <c r="Q51" s="6">
        <v>-52</v>
      </c>
      <c r="R51" s="6"/>
      <c r="S51" s="6"/>
      <c r="T51" s="6"/>
      <c r="U51" s="6"/>
      <c r="V51" s="6">
        <v>26</v>
      </c>
      <c r="W51" s="6">
        <v>24</v>
      </c>
      <c r="X51" s="6">
        <v>-55</v>
      </c>
      <c r="Y51" s="6">
        <v>27</v>
      </c>
      <c r="Z51" s="6">
        <v>-79</v>
      </c>
      <c r="AA51" s="6">
        <v>53</v>
      </c>
      <c r="AB51" s="6">
        <v>163</v>
      </c>
      <c r="AC51" s="6">
        <v>92</v>
      </c>
      <c r="AD51" s="6">
        <v>38</v>
      </c>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row>
    <row r="52" spans="2:69" x14ac:dyDescent="0.25">
      <c r="B52" s="7" t="s">
        <v>55</v>
      </c>
      <c r="C52" s="6">
        <v>396</v>
      </c>
      <c r="D52" s="6">
        <v>-567</v>
      </c>
      <c r="E52" s="6">
        <v>-29</v>
      </c>
      <c r="F52" s="6">
        <f t="shared" si="176"/>
        <v>51</v>
      </c>
      <c r="G52" s="6">
        <v>637</v>
      </c>
      <c r="H52" s="6">
        <v>-631</v>
      </c>
      <c r="I52" s="6">
        <v>43</v>
      </c>
      <c r="J52" s="6">
        <f t="shared" si="177"/>
        <v>-167</v>
      </c>
      <c r="K52" s="6">
        <v>409</v>
      </c>
      <c r="L52" s="6">
        <v>-600</v>
      </c>
      <c r="M52" s="6">
        <v>-19</v>
      </c>
      <c r="N52" s="6">
        <f t="shared" si="178"/>
        <v>216</v>
      </c>
      <c r="O52" s="6">
        <v>671</v>
      </c>
      <c r="P52" s="6">
        <v>-494</v>
      </c>
      <c r="Q52" s="6">
        <v>219</v>
      </c>
      <c r="R52" s="6"/>
      <c r="S52" s="6"/>
      <c r="T52" s="6"/>
      <c r="U52" s="6"/>
      <c r="V52" s="6">
        <v>-12</v>
      </c>
      <c r="W52" s="6">
        <v>-231</v>
      </c>
      <c r="X52" s="6">
        <v>-294</v>
      </c>
      <c r="Y52" s="6">
        <v>218</v>
      </c>
      <c r="Z52" s="6">
        <v>89</v>
      </c>
      <c r="AA52" s="6">
        <v>-29</v>
      </c>
      <c r="AB52" s="6">
        <v>-149</v>
      </c>
      <c r="AC52" s="6">
        <v>-118</v>
      </c>
      <c r="AD52" s="6">
        <v>6</v>
      </c>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row>
    <row r="53" spans="2:69" x14ac:dyDescent="0.25">
      <c r="B53" s="7" t="s">
        <v>56</v>
      </c>
      <c r="C53" s="6">
        <v>-307</v>
      </c>
      <c r="D53" s="6">
        <v>310</v>
      </c>
      <c r="E53" s="6">
        <v>-107</v>
      </c>
      <c r="F53" s="6">
        <f t="shared" si="176"/>
        <v>269</v>
      </c>
      <c r="G53" s="6">
        <v>-372</v>
      </c>
      <c r="H53" s="6">
        <v>195</v>
      </c>
      <c r="I53" s="6">
        <v>-205</v>
      </c>
      <c r="J53" s="6">
        <f t="shared" si="177"/>
        <v>253</v>
      </c>
      <c r="K53" s="6">
        <v>-369</v>
      </c>
      <c r="L53" s="6">
        <v>556</v>
      </c>
      <c r="M53" s="6">
        <v>-397</v>
      </c>
      <c r="N53" s="6">
        <f t="shared" si="178"/>
        <v>490</v>
      </c>
      <c r="O53" s="6">
        <v>-377</v>
      </c>
      <c r="P53" s="6">
        <v>26</v>
      </c>
      <c r="Q53" s="6">
        <v>-568</v>
      </c>
      <c r="R53" s="6"/>
      <c r="S53" s="6"/>
      <c r="T53" s="6"/>
      <c r="U53" s="6"/>
      <c r="V53" s="6">
        <v>184</v>
      </c>
      <c r="W53" s="6">
        <v>-113</v>
      </c>
      <c r="X53" s="6">
        <v>-85</v>
      </c>
      <c r="Y53" s="6">
        <v>-21</v>
      </c>
      <c r="Z53" s="6">
        <v>11</v>
      </c>
      <c r="AA53" s="6">
        <v>-15</v>
      </c>
      <c r="AB53" s="6">
        <v>165</v>
      </c>
      <c r="AC53" s="6">
        <v>-129</v>
      </c>
      <c r="AD53" s="6">
        <v>280</v>
      </c>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row>
    <row r="54" spans="2:69" x14ac:dyDescent="0.25">
      <c r="B54" s="7" t="s">
        <v>57</v>
      </c>
      <c r="C54" s="6">
        <v>975</v>
      </c>
      <c r="D54" s="6">
        <v>-2559</v>
      </c>
      <c r="E54" s="6">
        <v>1016</v>
      </c>
      <c r="F54" s="6">
        <f t="shared" si="176"/>
        <v>353</v>
      </c>
      <c r="G54" s="6">
        <v>880</v>
      </c>
      <c r="H54" s="6">
        <v>-2480</v>
      </c>
      <c r="I54" s="6">
        <v>982</v>
      </c>
      <c r="J54" s="6">
        <f t="shared" si="177"/>
        <v>194</v>
      </c>
      <c r="K54" s="6">
        <v>895</v>
      </c>
      <c r="L54" s="6">
        <v>-2258</v>
      </c>
      <c r="M54" s="6">
        <v>826</v>
      </c>
      <c r="N54" s="6">
        <f t="shared" si="178"/>
        <v>175</v>
      </c>
      <c r="O54" s="6">
        <v>857</v>
      </c>
      <c r="P54" s="6">
        <v>-2100</v>
      </c>
      <c r="Q54" s="6">
        <v>798</v>
      </c>
      <c r="R54" s="6"/>
      <c r="S54" s="6"/>
      <c r="T54" s="6"/>
      <c r="U54" s="6"/>
      <c r="V54" s="6">
        <v>90</v>
      </c>
      <c r="W54" s="6">
        <v>111</v>
      </c>
      <c r="X54" s="6">
        <v>-1259</v>
      </c>
      <c r="Y54" s="6">
        <v>980</v>
      </c>
      <c r="Z54" s="6">
        <v>-108</v>
      </c>
      <c r="AA54" s="6">
        <v>218</v>
      </c>
      <c r="AB54" s="6">
        <v>-215</v>
      </c>
      <c r="AC54" s="6">
        <v>-424</v>
      </c>
      <c r="AD54" s="6">
        <v>-362</v>
      </c>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row>
    <row r="55" spans="2:69" x14ac:dyDescent="0.25">
      <c r="B55" s="7" t="s">
        <v>58</v>
      </c>
      <c r="C55" s="6">
        <v>-3</v>
      </c>
      <c r="D55" s="6">
        <v>-3</v>
      </c>
      <c r="E55" s="6">
        <v>-17</v>
      </c>
      <c r="F55" s="6">
        <f t="shared" si="176"/>
        <v>-3</v>
      </c>
      <c r="G55" s="6">
        <v>-3</v>
      </c>
      <c r="H55" s="6">
        <v>-5</v>
      </c>
      <c r="I55" s="6">
        <v>-3</v>
      </c>
      <c r="J55" s="6">
        <f t="shared" si="177"/>
        <v>-9</v>
      </c>
      <c r="K55" s="6">
        <v>-7</v>
      </c>
      <c r="L55" s="6">
        <v>-4</v>
      </c>
      <c r="M55" s="6">
        <v>-3</v>
      </c>
      <c r="N55" s="6">
        <f t="shared" si="178"/>
        <v>-6</v>
      </c>
      <c r="O55" s="6">
        <v>-4</v>
      </c>
      <c r="P55" s="6">
        <v>-5</v>
      </c>
      <c r="Q55" s="6">
        <v>-4</v>
      </c>
      <c r="R55" s="6"/>
      <c r="S55" s="6"/>
      <c r="T55" s="6"/>
      <c r="U55" s="6"/>
      <c r="V55" s="6">
        <v>-28</v>
      </c>
      <c r="W55" s="6">
        <v>-531</v>
      </c>
      <c r="X55" s="6">
        <v>-294</v>
      </c>
      <c r="Y55" s="6">
        <v>-41</v>
      </c>
      <c r="Z55" s="6">
        <v>-56</v>
      </c>
      <c r="AA55" s="6">
        <v>-33</v>
      </c>
      <c r="AB55" s="6">
        <v>-26</v>
      </c>
      <c r="AC55" s="6">
        <v>-20</v>
      </c>
      <c r="AD55" s="6">
        <v>-20</v>
      </c>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row>
    <row r="56" spans="2:69" x14ac:dyDescent="0.25">
      <c r="B56" s="7" t="s">
        <v>59</v>
      </c>
      <c r="C56" s="6">
        <v>-32</v>
      </c>
      <c r="D56" s="6">
        <v>-41</v>
      </c>
      <c r="E56" s="6">
        <v>-54</v>
      </c>
      <c r="F56" s="6">
        <f t="shared" si="176"/>
        <v>-48</v>
      </c>
      <c r="G56" s="6">
        <v>-35</v>
      </c>
      <c r="H56" s="6">
        <v>-39</v>
      </c>
      <c r="I56" s="6">
        <v>-36</v>
      </c>
      <c r="J56" s="6">
        <f t="shared" si="177"/>
        <v>-46</v>
      </c>
      <c r="K56" s="6">
        <v>-34</v>
      </c>
      <c r="L56" s="6">
        <v>-29</v>
      </c>
      <c r="M56" s="6">
        <v>-34</v>
      </c>
      <c r="N56" s="6">
        <f t="shared" si="178"/>
        <v>-39</v>
      </c>
      <c r="O56" s="6">
        <v>-29</v>
      </c>
      <c r="P56" s="6">
        <v>-21</v>
      </c>
      <c r="Q56" s="6">
        <v>-26</v>
      </c>
      <c r="R56" s="6"/>
      <c r="S56" s="6"/>
      <c r="T56" s="6"/>
      <c r="U56" s="6"/>
      <c r="V56" s="6">
        <v>114</v>
      </c>
      <c r="W56" s="6">
        <v>-73</v>
      </c>
      <c r="X56" s="6">
        <v>-11</v>
      </c>
      <c r="Y56" s="6">
        <v>-13</v>
      </c>
      <c r="Z56" s="6">
        <v>-52</v>
      </c>
      <c r="AA56" s="6">
        <v>-49</v>
      </c>
      <c r="AB56" s="6">
        <v>-175</v>
      </c>
      <c r="AC56" s="6">
        <v>-156</v>
      </c>
      <c r="AD56" s="6">
        <v>-136</v>
      </c>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row>
    <row r="57" spans="2:69" x14ac:dyDescent="0.25">
      <c r="B57" s="7" t="s">
        <v>60</v>
      </c>
      <c r="C57" s="6">
        <v>59</v>
      </c>
      <c r="D57" s="6">
        <v>-11</v>
      </c>
      <c r="E57" s="6">
        <v>56</v>
      </c>
      <c r="F57" s="6">
        <f t="shared" si="176"/>
        <v>66</v>
      </c>
      <c r="G57" s="6">
        <v>16</v>
      </c>
      <c r="H57" s="6">
        <v>65</v>
      </c>
      <c r="I57" s="6">
        <v>60</v>
      </c>
      <c r="J57" s="6">
        <f t="shared" si="177"/>
        <v>58</v>
      </c>
      <c r="K57" s="6">
        <v>143</v>
      </c>
      <c r="L57" s="6">
        <v>33</v>
      </c>
      <c r="M57" s="6">
        <v>34</v>
      </c>
      <c r="N57" s="6">
        <f t="shared" si="178"/>
        <v>77</v>
      </c>
      <c r="O57" s="6">
        <v>58</v>
      </c>
      <c r="P57" s="6">
        <v>74</v>
      </c>
      <c r="Q57" s="6">
        <v>66</v>
      </c>
      <c r="R57" s="6"/>
      <c r="S57" s="6"/>
      <c r="T57" s="6"/>
      <c r="U57" s="6"/>
      <c r="V57" s="6">
        <v>201</v>
      </c>
      <c r="W57" s="6">
        <v>120</v>
      </c>
      <c r="X57" s="6">
        <v>-20</v>
      </c>
      <c r="Y57" s="6">
        <v>79</v>
      </c>
      <c r="Z57" s="6">
        <v>411</v>
      </c>
      <c r="AA57" s="6">
        <v>763</v>
      </c>
      <c r="AB57" s="6">
        <v>170</v>
      </c>
      <c r="AC57" s="6">
        <v>199</v>
      </c>
      <c r="AD57" s="6">
        <v>287</v>
      </c>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row>
    <row r="58" spans="2:69" x14ac:dyDescent="0.25">
      <c r="B58" s="7" t="s">
        <v>61</v>
      </c>
      <c r="C58" s="6">
        <f t="shared" ref="C58:N58" si="179">+SUM(C36:C57)</f>
        <v>3040</v>
      </c>
      <c r="D58" s="6">
        <f t="shared" si="179"/>
        <v>-361</v>
      </c>
      <c r="E58" s="6">
        <f t="shared" si="179"/>
        <v>3063</v>
      </c>
      <c r="F58" s="6">
        <f t="shared" si="179"/>
        <v>2663</v>
      </c>
      <c r="G58" s="6">
        <f t="shared" si="179"/>
        <v>3075</v>
      </c>
      <c r="H58" s="6">
        <f t="shared" si="179"/>
        <v>-514</v>
      </c>
      <c r="I58" s="6">
        <f t="shared" si="179"/>
        <v>3076</v>
      </c>
      <c r="J58" s="6">
        <f t="shared" si="179"/>
        <v>2619</v>
      </c>
      <c r="K58" s="6">
        <f t="shared" si="179"/>
        <v>2984</v>
      </c>
      <c r="L58" s="6">
        <f t="shared" si="179"/>
        <v>124</v>
      </c>
      <c r="M58" s="6">
        <f t="shared" si="179"/>
        <v>2952</v>
      </c>
      <c r="N58" s="6">
        <f t="shared" si="179"/>
        <v>3227</v>
      </c>
      <c r="O58" s="6">
        <f>+SUM(O36:O57)</f>
        <v>2877</v>
      </c>
      <c r="P58" s="6">
        <f>+SUM(P36:P57)</f>
        <v>-75</v>
      </c>
      <c r="Q58" s="6">
        <f>+SUM(Q36:Q57)</f>
        <v>2611</v>
      </c>
      <c r="R58" s="6"/>
      <c r="S58" s="6"/>
      <c r="T58" s="6"/>
      <c r="U58" s="6"/>
      <c r="V58" s="6">
        <f t="shared" ref="V58:AD58" si="180">+SUM(V36:V57)</f>
        <v>5843</v>
      </c>
      <c r="W58" s="6">
        <f t="shared" si="180"/>
        <v>3821</v>
      </c>
      <c r="X58" s="6">
        <f t="shared" si="180"/>
        <v>4922</v>
      </c>
      <c r="Y58" s="6">
        <f t="shared" si="180"/>
        <v>8391</v>
      </c>
      <c r="Z58" s="6">
        <f t="shared" si="180"/>
        <v>7837</v>
      </c>
      <c r="AA58" s="6">
        <f t="shared" si="180"/>
        <v>8385</v>
      </c>
      <c r="AB58" s="6">
        <f t="shared" si="180"/>
        <v>8405</v>
      </c>
      <c r="AC58" s="6">
        <f t="shared" si="180"/>
        <v>8256</v>
      </c>
      <c r="AD58" s="6">
        <f t="shared" si="180"/>
        <v>9287</v>
      </c>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row>
    <row r="59" spans="2:69" x14ac:dyDescent="0.25">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row>
    <row r="60" spans="2:69" x14ac:dyDescent="0.25">
      <c r="B60" s="7" t="s">
        <v>62</v>
      </c>
      <c r="C60" s="6">
        <v>-26</v>
      </c>
      <c r="D60" s="6">
        <v>-27</v>
      </c>
      <c r="E60" s="6">
        <v>-49</v>
      </c>
      <c r="F60" s="6">
        <f t="shared" ref="F60:F70" si="181">+AB60-SUM(C60:E60)</f>
        <v>-67</v>
      </c>
      <c r="G60" s="6">
        <v>-45</v>
      </c>
      <c r="H60" s="6">
        <v>-38</v>
      </c>
      <c r="I60" s="6">
        <v>-64</v>
      </c>
      <c r="J60" s="6">
        <f t="shared" ref="J60:J70" si="182">+AC60-SUM(G60:I60)</f>
        <v>-58</v>
      </c>
      <c r="K60" s="6">
        <v>-55</v>
      </c>
      <c r="L60" s="6">
        <v>-48</v>
      </c>
      <c r="M60" s="6">
        <v>-40</v>
      </c>
      <c r="N60" s="6">
        <f t="shared" ref="N60:N70" si="183">+AD60-SUM(K60:M60)</f>
        <v>-53</v>
      </c>
      <c r="O60" s="6">
        <v>-35</v>
      </c>
      <c r="P60" s="6">
        <v>-29</v>
      </c>
      <c r="Q60" s="6">
        <v>-31</v>
      </c>
      <c r="R60" s="6"/>
      <c r="S60" s="6"/>
      <c r="T60" s="6"/>
      <c r="U60" s="6"/>
      <c r="V60" s="6">
        <v>-229</v>
      </c>
      <c r="W60" s="6">
        <v>-189</v>
      </c>
      <c r="X60" s="6">
        <v>-199</v>
      </c>
      <c r="Y60" s="6">
        <v>-238</v>
      </c>
      <c r="Z60" s="6">
        <v>-246</v>
      </c>
      <c r="AA60" s="6">
        <v>-231</v>
      </c>
      <c r="AB60" s="6">
        <v>-169</v>
      </c>
      <c r="AC60" s="6">
        <v>-205</v>
      </c>
      <c r="AD60" s="6">
        <v>-196</v>
      </c>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row>
    <row r="61" spans="2:69" x14ac:dyDescent="0.25">
      <c r="B61" s="7" t="s">
        <v>95</v>
      </c>
      <c r="C61" s="6" t="s">
        <v>45</v>
      </c>
      <c r="D61" s="6" t="s">
        <v>45</v>
      </c>
      <c r="E61" s="6" t="s">
        <v>45</v>
      </c>
      <c r="F61" s="6">
        <f t="shared" si="181"/>
        <v>0</v>
      </c>
      <c r="G61" s="6" t="s">
        <v>45</v>
      </c>
      <c r="H61" s="6" t="s">
        <v>45</v>
      </c>
      <c r="I61" s="6" t="s">
        <v>45</v>
      </c>
      <c r="J61" s="6">
        <f t="shared" si="182"/>
        <v>0</v>
      </c>
      <c r="K61" s="6" t="s">
        <v>45</v>
      </c>
      <c r="L61" s="6" t="s">
        <v>45</v>
      </c>
      <c r="M61" s="6">
        <v>0</v>
      </c>
      <c r="N61" s="6">
        <f t="shared" si="183"/>
        <v>0</v>
      </c>
      <c r="O61" s="6"/>
      <c r="P61" s="6" t="s">
        <v>45</v>
      </c>
      <c r="Q61" s="6">
        <v>0</v>
      </c>
      <c r="R61" s="6"/>
      <c r="S61" s="6"/>
      <c r="T61" s="6"/>
      <c r="U61" s="6"/>
      <c r="V61" s="6" t="s">
        <v>45</v>
      </c>
      <c r="W61" s="6">
        <v>-45</v>
      </c>
      <c r="X61" s="6">
        <v>-415</v>
      </c>
      <c r="Y61" s="6">
        <v>-15</v>
      </c>
      <c r="Z61" s="6">
        <v>-421</v>
      </c>
      <c r="AA61" s="6" t="s">
        <v>45</v>
      </c>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row>
    <row r="62" spans="2:69" x14ac:dyDescent="0.25">
      <c r="B62" s="7" t="s">
        <v>96</v>
      </c>
      <c r="C62" s="6" t="s">
        <v>45</v>
      </c>
      <c r="D62" s="6" t="s">
        <v>45</v>
      </c>
      <c r="E62" s="6" t="s">
        <v>45</v>
      </c>
      <c r="F62" s="6">
        <f t="shared" si="181"/>
        <v>0</v>
      </c>
      <c r="G62" s="6" t="s">
        <v>45</v>
      </c>
      <c r="H62" s="6" t="s">
        <v>45</v>
      </c>
      <c r="I62" s="6" t="s">
        <v>45</v>
      </c>
      <c r="J62" s="6">
        <f t="shared" si="182"/>
        <v>0</v>
      </c>
      <c r="K62" s="6" t="s">
        <v>45</v>
      </c>
      <c r="L62" s="6" t="s">
        <v>45</v>
      </c>
      <c r="M62" s="6">
        <v>0</v>
      </c>
      <c r="N62" s="6">
        <f t="shared" si="183"/>
        <v>0</v>
      </c>
      <c r="O62" s="6"/>
      <c r="P62" s="6" t="s">
        <v>45</v>
      </c>
      <c r="Q62" s="6">
        <v>0</v>
      </c>
      <c r="R62" s="6"/>
      <c r="S62" s="6"/>
      <c r="T62" s="6"/>
      <c r="U62" s="6"/>
      <c r="V62" s="6" t="s">
        <v>45</v>
      </c>
      <c r="W62" s="6" t="s">
        <v>45</v>
      </c>
      <c r="X62" s="6" t="s">
        <v>45</v>
      </c>
      <c r="Y62" s="6">
        <v>-12800</v>
      </c>
      <c r="Z62" s="6">
        <v>-5</v>
      </c>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row>
    <row r="63" spans="2:69" x14ac:dyDescent="0.25">
      <c r="B63" s="7" t="s">
        <v>97</v>
      </c>
      <c r="C63" s="6" t="s">
        <v>45</v>
      </c>
      <c r="D63" s="6" t="s">
        <v>45</v>
      </c>
      <c r="E63" s="6" t="s">
        <v>45</v>
      </c>
      <c r="F63" s="6">
        <f t="shared" si="181"/>
        <v>0</v>
      </c>
      <c r="G63" s="6" t="s">
        <v>45</v>
      </c>
      <c r="H63" s="6" t="s">
        <v>45</v>
      </c>
      <c r="I63" s="6" t="s">
        <v>45</v>
      </c>
      <c r="J63" s="6">
        <f t="shared" si="182"/>
        <v>0</v>
      </c>
      <c r="K63" s="6" t="s">
        <v>45</v>
      </c>
      <c r="L63" s="6" t="s">
        <v>45</v>
      </c>
      <c r="M63" s="6">
        <v>0</v>
      </c>
      <c r="N63" s="6">
        <f t="shared" si="183"/>
        <v>0</v>
      </c>
      <c r="O63" s="6"/>
      <c r="P63" s="6" t="s">
        <v>45</v>
      </c>
      <c r="Q63" s="6">
        <v>0</v>
      </c>
      <c r="R63" s="6"/>
      <c r="S63" s="6"/>
      <c r="T63" s="6"/>
      <c r="U63" s="6"/>
      <c r="V63" s="6" t="s">
        <v>45</v>
      </c>
      <c r="W63" s="6" t="s">
        <v>45</v>
      </c>
      <c r="X63" s="6" t="s">
        <v>45</v>
      </c>
      <c r="Y63" s="6" t="s">
        <v>45</v>
      </c>
      <c r="Z63" s="6">
        <v>-1899</v>
      </c>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row>
    <row r="64" spans="2:69" x14ac:dyDescent="0.25">
      <c r="B64" s="7" t="s">
        <v>102</v>
      </c>
      <c r="C64" s="6" t="s">
        <v>45</v>
      </c>
      <c r="D64" s="6" t="s">
        <v>45</v>
      </c>
      <c r="E64" s="6" t="s">
        <v>45</v>
      </c>
      <c r="F64" s="6">
        <f t="shared" si="181"/>
        <v>0</v>
      </c>
      <c r="G64" s="6" t="s">
        <v>45</v>
      </c>
      <c r="H64" s="6" t="s">
        <v>45</v>
      </c>
      <c r="I64" s="6" t="s">
        <v>45</v>
      </c>
      <c r="J64" s="6">
        <f t="shared" si="182"/>
        <v>0</v>
      </c>
      <c r="K64" s="6" t="s">
        <v>45</v>
      </c>
      <c r="L64" s="6" t="s">
        <v>45</v>
      </c>
      <c r="M64" s="6">
        <v>0</v>
      </c>
      <c r="N64" s="6">
        <f t="shared" si="183"/>
        <v>0</v>
      </c>
      <c r="O64" s="6"/>
      <c r="P64" s="6" t="s">
        <v>45</v>
      </c>
      <c r="Q64" s="6">
        <v>0</v>
      </c>
      <c r="R64" s="6"/>
      <c r="S64" s="6"/>
      <c r="T64" s="6"/>
      <c r="U64" s="6"/>
      <c r="V64" s="6">
        <v>354</v>
      </c>
      <c r="W64" s="6">
        <v>231</v>
      </c>
      <c r="X64" s="6">
        <v>133</v>
      </c>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row>
    <row r="65" spans="2:69" x14ac:dyDescent="0.25">
      <c r="B65" s="7" t="s">
        <v>87</v>
      </c>
      <c r="C65" s="6" t="s">
        <v>45</v>
      </c>
      <c r="D65" s="6" t="s">
        <v>45</v>
      </c>
      <c r="E65" s="6" t="s">
        <v>45</v>
      </c>
      <c r="F65" s="6">
        <v>0</v>
      </c>
      <c r="G65" s="6" t="s">
        <v>45</v>
      </c>
      <c r="H65" s="6" t="s">
        <v>45</v>
      </c>
      <c r="I65" s="6" t="s">
        <v>45</v>
      </c>
      <c r="J65" s="6">
        <f t="shared" si="182"/>
        <v>0</v>
      </c>
      <c r="K65" s="6" t="s">
        <v>45</v>
      </c>
      <c r="L65" s="6">
        <v>0</v>
      </c>
      <c r="M65" s="6">
        <v>0</v>
      </c>
      <c r="N65" s="6">
        <f t="shared" si="183"/>
        <v>0</v>
      </c>
      <c r="O65" s="6">
        <v>2353</v>
      </c>
      <c r="P65" s="6">
        <v>0</v>
      </c>
      <c r="Q65" s="6">
        <v>0</v>
      </c>
      <c r="R65" s="6"/>
      <c r="S65" s="6"/>
      <c r="T65" s="6"/>
      <c r="U65" s="6"/>
      <c r="V65" s="6" t="s">
        <v>45</v>
      </c>
      <c r="W65" s="6">
        <f>4773-1578</f>
        <v>3195</v>
      </c>
      <c r="X65" s="6" t="s">
        <v>45</v>
      </c>
      <c r="Y65" s="6" t="s">
        <v>45</v>
      </c>
      <c r="Z65" s="6" t="s">
        <v>45</v>
      </c>
      <c r="AA65" s="6" t="s">
        <v>45</v>
      </c>
      <c r="AB65" s="6" t="s">
        <v>45</v>
      </c>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row>
    <row r="66" spans="2:69" x14ac:dyDescent="0.25">
      <c r="B66" s="7" t="s">
        <v>63</v>
      </c>
      <c r="C66" s="6" t="s">
        <v>45</v>
      </c>
      <c r="D66" s="6" t="s">
        <v>45</v>
      </c>
      <c r="E66" s="6" t="s">
        <v>45</v>
      </c>
      <c r="F66" s="6">
        <v>0</v>
      </c>
      <c r="G66" s="6" t="s">
        <v>45</v>
      </c>
      <c r="H66" s="6" t="s">
        <v>45</v>
      </c>
      <c r="I66" s="6" t="s">
        <v>45</v>
      </c>
      <c r="J66" s="6">
        <f t="shared" si="182"/>
        <v>1000</v>
      </c>
      <c r="K66" s="6" t="s">
        <v>45</v>
      </c>
      <c r="L66" s="6">
        <v>0</v>
      </c>
      <c r="M66" s="6">
        <v>1700</v>
      </c>
      <c r="N66" s="6">
        <f t="shared" si="183"/>
        <v>0</v>
      </c>
      <c r="O66" s="6" t="s">
        <v>45</v>
      </c>
      <c r="P66" s="6">
        <v>0</v>
      </c>
      <c r="Q66" s="6">
        <v>0</v>
      </c>
      <c r="R66" s="6"/>
      <c r="S66" s="6"/>
      <c r="T66" s="6"/>
      <c r="U66" s="6"/>
      <c r="V66" s="6" t="s">
        <v>45</v>
      </c>
      <c r="W66" s="6" t="s">
        <v>45</v>
      </c>
      <c r="X66" s="6" t="s">
        <v>45</v>
      </c>
      <c r="Y66" s="6" t="s">
        <v>45</v>
      </c>
      <c r="Z66" s="6" t="s">
        <v>45</v>
      </c>
      <c r="AA66" s="6" t="s">
        <v>45</v>
      </c>
      <c r="AB66" s="6" t="s">
        <v>45</v>
      </c>
      <c r="AC66" s="6">
        <v>1000</v>
      </c>
      <c r="AD66" s="6">
        <v>1700</v>
      </c>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row>
    <row r="67" spans="2:69" x14ac:dyDescent="0.25">
      <c r="B67" s="7" t="s">
        <v>64</v>
      </c>
      <c r="C67" s="6" t="s">
        <v>45</v>
      </c>
      <c r="D67" s="6" t="s">
        <v>45</v>
      </c>
      <c r="E67" s="6" t="s">
        <v>45</v>
      </c>
      <c r="F67" s="6">
        <f t="shared" si="181"/>
        <v>1176</v>
      </c>
      <c r="G67" s="6" t="s">
        <v>45</v>
      </c>
      <c r="H67" s="6" t="s">
        <v>45</v>
      </c>
      <c r="I67" s="6" t="s">
        <v>45</v>
      </c>
      <c r="J67" s="6" t="s">
        <v>45</v>
      </c>
      <c r="K67" s="6" t="s">
        <v>45</v>
      </c>
      <c r="L67" s="6">
        <v>0</v>
      </c>
      <c r="M67" s="6">
        <v>0</v>
      </c>
      <c r="N67" s="6" t="s">
        <v>45</v>
      </c>
      <c r="O67" s="6" t="s">
        <v>45</v>
      </c>
      <c r="P67" s="6">
        <v>0</v>
      </c>
      <c r="Q67" s="6">
        <v>0</v>
      </c>
      <c r="R67" s="6"/>
      <c r="S67" s="6"/>
      <c r="T67" s="6"/>
      <c r="U67" s="6"/>
      <c r="V67" s="6" t="s">
        <v>45</v>
      </c>
      <c r="W67" s="6" t="s">
        <v>45</v>
      </c>
      <c r="X67" s="6" t="s">
        <v>45</v>
      </c>
      <c r="Y67" s="6" t="s">
        <v>45</v>
      </c>
      <c r="Z67" s="6" t="s">
        <v>45</v>
      </c>
      <c r="AA67" s="6" t="s">
        <v>45</v>
      </c>
      <c r="AB67" s="6">
        <v>1176</v>
      </c>
      <c r="AC67" s="6" t="s">
        <v>45</v>
      </c>
      <c r="AD67" s="6" t="s">
        <v>45</v>
      </c>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row>
    <row r="68" spans="2:69" x14ac:dyDescent="0.25">
      <c r="B68" s="7" t="s">
        <v>103</v>
      </c>
      <c r="C68" s="6" t="s">
        <v>45</v>
      </c>
      <c r="D68" s="6" t="s">
        <v>45</v>
      </c>
      <c r="E68" s="6" t="s">
        <v>45</v>
      </c>
      <c r="F68" s="6">
        <f t="shared" si="181"/>
        <v>0</v>
      </c>
      <c r="G68" s="6" t="s">
        <v>45</v>
      </c>
      <c r="H68" s="6" t="s">
        <v>45</v>
      </c>
      <c r="I68" s="6" t="s">
        <v>45</v>
      </c>
      <c r="J68" s="6">
        <f t="shared" si="182"/>
        <v>0</v>
      </c>
      <c r="K68" s="6" t="s">
        <v>45</v>
      </c>
      <c r="L68" s="6" t="s">
        <v>45</v>
      </c>
      <c r="M68" s="6">
        <v>0</v>
      </c>
      <c r="N68" s="6">
        <f t="shared" si="183"/>
        <v>0</v>
      </c>
      <c r="O68" s="6"/>
      <c r="P68" s="6" t="s">
        <v>45</v>
      </c>
      <c r="Q68" s="6">
        <v>0</v>
      </c>
      <c r="R68" s="6"/>
      <c r="S68" s="6"/>
      <c r="T68" s="6"/>
      <c r="U68" s="6"/>
      <c r="V68" s="6">
        <v>-132</v>
      </c>
      <c r="W68" s="6">
        <v>-3</v>
      </c>
      <c r="X68" s="6">
        <v>-5</v>
      </c>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row>
    <row r="69" spans="2:69" x14ac:dyDescent="0.25">
      <c r="B69" s="7" t="s">
        <v>65</v>
      </c>
      <c r="C69" s="6" t="s">
        <v>45</v>
      </c>
      <c r="D69" s="6" t="s">
        <v>45</v>
      </c>
      <c r="E69" s="6" t="s">
        <v>45</v>
      </c>
      <c r="F69" s="6">
        <v>0</v>
      </c>
      <c r="G69" s="6" t="s">
        <v>45</v>
      </c>
      <c r="H69" s="6" t="s">
        <v>45</v>
      </c>
      <c r="I69" s="6" t="s">
        <v>45</v>
      </c>
      <c r="J69" s="6" t="s">
        <v>45</v>
      </c>
      <c r="K69" s="6" t="s">
        <v>45</v>
      </c>
      <c r="L69" s="6">
        <v>-2750</v>
      </c>
      <c r="M69" s="6">
        <v>-1</v>
      </c>
      <c r="N69" s="6">
        <f t="shared" si="183"/>
        <v>0</v>
      </c>
      <c r="O69" s="6" t="s">
        <v>45</v>
      </c>
      <c r="P69" s="6">
        <v>0</v>
      </c>
      <c r="Q69" s="6">
        <v>0</v>
      </c>
      <c r="R69" s="6"/>
      <c r="S69" s="6"/>
      <c r="T69" s="6"/>
      <c r="U69" s="6"/>
      <c r="V69" s="6" t="s">
        <v>45</v>
      </c>
      <c r="W69" s="6" t="s">
        <v>45</v>
      </c>
      <c r="X69" s="6" t="s">
        <v>45</v>
      </c>
      <c r="Y69" s="6" t="s">
        <v>45</v>
      </c>
      <c r="Z69" s="6" t="s">
        <v>45</v>
      </c>
      <c r="AA69" s="6" t="s">
        <v>45</v>
      </c>
      <c r="AB69" s="6" t="s">
        <v>45</v>
      </c>
      <c r="AC69" s="6" t="s">
        <v>45</v>
      </c>
      <c r="AD69" s="6">
        <v>-2751</v>
      </c>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row>
    <row r="70" spans="2:69" x14ac:dyDescent="0.25">
      <c r="B70" s="7" t="s">
        <v>60</v>
      </c>
      <c r="C70" s="6">
        <v>-3</v>
      </c>
      <c r="D70" s="6">
        <v>47</v>
      </c>
      <c r="E70" s="6">
        <v>16</v>
      </c>
      <c r="F70" s="6">
        <f t="shared" si="181"/>
        <v>145</v>
      </c>
      <c r="G70" s="6">
        <v>11</v>
      </c>
      <c r="H70" s="6">
        <v>-78</v>
      </c>
      <c r="I70" s="6">
        <v>-1</v>
      </c>
      <c r="J70" s="6">
        <f t="shared" si="182"/>
        <v>55</v>
      </c>
      <c r="K70" s="6">
        <v>-1</v>
      </c>
      <c r="L70" s="6">
        <v>-4</v>
      </c>
      <c r="M70" s="6">
        <v>-18</v>
      </c>
      <c r="N70" s="6">
        <f t="shared" si="183"/>
        <v>-13</v>
      </c>
      <c r="O70" s="6">
        <v>-2</v>
      </c>
      <c r="P70" s="6">
        <v>-8</v>
      </c>
      <c r="Q70" s="6">
        <v>-10</v>
      </c>
      <c r="R70" s="6"/>
      <c r="S70" s="6"/>
      <c r="T70" s="6"/>
      <c r="U70" s="6"/>
      <c r="V70" s="6">
        <v>-8</v>
      </c>
      <c r="W70" s="6">
        <f>9+510</f>
        <v>519</v>
      </c>
      <c r="X70" s="6">
        <v>19</v>
      </c>
      <c r="Y70" s="6">
        <v>65</v>
      </c>
      <c r="Z70" s="6">
        <v>173</v>
      </c>
      <c r="AA70" s="6">
        <v>88</v>
      </c>
      <c r="AB70" s="6">
        <v>205</v>
      </c>
      <c r="AC70" s="6">
        <v>-13</v>
      </c>
      <c r="AD70" s="6">
        <v>-36</v>
      </c>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row>
    <row r="71" spans="2:69" x14ac:dyDescent="0.25">
      <c r="B71" s="7" t="s">
        <v>66</v>
      </c>
      <c r="C71" s="6">
        <f t="shared" ref="C71:N71" si="184">+SUM(C60:C70)</f>
        <v>-29</v>
      </c>
      <c r="D71" s="6">
        <f t="shared" si="184"/>
        <v>20</v>
      </c>
      <c r="E71" s="6">
        <f t="shared" si="184"/>
        <v>-33</v>
      </c>
      <c r="F71" s="6">
        <f t="shared" si="184"/>
        <v>1254</v>
      </c>
      <c r="G71" s="6">
        <f t="shared" si="184"/>
        <v>-34</v>
      </c>
      <c r="H71" s="6">
        <f t="shared" si="184"/>
        <v>-116</v>
      </c>
      <c r="I71" s="6">
        <f t="shared" si="184"/>
        <v>-65</v>
      </c>
      <c r="J71" s="6">
        <f t="shared" si="184"/>
        <v>997</v>
      </c>
      <c r="K71" s="6">
        <f t="shared" si="184"/>
        <v>-56</v>
      </c>
      <c r="L71" s="6">
        <f t="shared" si="184"/>
        <v>-2802</v>
      </c>
      <c r="M71" s="6">
        <f t="shared" si="184"/>
        <v>1641</v>
      </c>
      <c r="N71" s="6">
        <f t="shared" si="184"/>
        <v>-66</v>
      </c>
      <c r="O71" s="6">
        <f>+SUM(O60:O70)</f>
        <v>2316</v>
      </c>
      <c r="P71" s="6">
        <f>+SUM(P60:P70)</f>
        <v>-37</v>
      </c>
      <c r="Q71" s="6">
        <f>+SUM(Q60:Q70)</f>
        <v>-41</v>
      </c>
      <c r="R71" s="6"/>
      <c r="S71" s="6"/>
      <c r="T71" s="6"/>
      <c r="U71" s="6"/>
      <c r="V71" s="6">
        <f t="shared" ref="V71:AD71" si="185">+SUM(V60:V70)</f>
        <v>-15</v>
      </c>
      <c r="W71" s="6">
        <f t="shared" si="185"/>
        <v>3708</v>
      </c>
      <c r="X71" s="6">
        <f t="shared" si="185"/>
        <v>-467</v>
      </c>
      <c r="Y71" s="6">
        <f t="shared" si="185"/>
        <v>-12988</v>
      </c>
      <c r="Z71" s="6">
        <f t="shared" si="185"/>
        <v>-2398</v>
      </c>
      <c r="AA71" s="6">
        <f t="shared" si="185"/>
        <v>-143</v>
      </c>
      <c r="AB71" s="6">
        <f t="shared" si="185"/>
        <v>1212</v>
      </c>
      <c r="AC71" s="6">
        <f t="shared" si="185"/>
        <v>782</v>
      </c>
      <c r="AD71" s="6">
        <f t="shared" si="185"/>
        <v>-1283</v>
      </c>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row>
    <row r="72" spans="2:69" x14ac:dyDescent="0.25">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row>
    <row r="73" spans="2:69" x14ac:dyDescent="0.25">
      <c r="B73" s="7" t="s">
        <v>67</v>
      </c>
      <c r="C73" s="6" t="s">
        <v>45</v>
      </c>
      <c r="D73" s="6">
        <v>0</v>
      </c>
      <c r="E73" s="6">
        <v>0</v>
      </c>
      <c r="F73" s="6">
        <v>0</v>
      </c>
      <c r="G73" s="6" t="s">
        <v>45</v>
      </c>
      <c r="H73" s="6">
        <v>0</v>
      </c>
      <c r="I73" s="6">
        <v>0</v>
      </c>
      <c r="J73" s="6">
        <v>0</v>
      </c>
      <c r="K73" s="6" t="s">
        <v>45</v>
      </c>
      <c r="L73" s="6">
        <v>2000</v>
      </c>
      <c r="M73" s="6">
        <v>0</v>
      </c>
      <c r="N73" s="6">
        <f t="shared" ref="N73:N80" si="186">+AD73-SUM(K73:M73)</f>
        <v>0</v>
      </c>
      <c r="O73" s="6" t="s">
        <v>45</v>
      </c>
      <c r="P73" s="6">
        <v>0</v>
      </c>
      <c r="Q73" s="6">
        <v>0</v>
      </c>
      <c r="R73" s="6"/>
      <c r="S73" s="6"/>
      <c r="T73" s="6"/>
      <c r="U73" s="6"/>
      <c r="V73" s="6" t="s">
        <v>45</v>
      </c>
      <c r="W73" s="6" t="s">
        <v>45</v>
      </c>
      <c r="X73" s="6" t="s">
        <v>45</v>
      </c>
      <c r="Y73" s="6">
        <v>12800</v>
      </c>
      <c r="Z73" s="6" t="s">
        <v>45</v>
      </c>
      <c r="AA73" s="6">
        <v>3000</v>
      </c>
      <c r="AB73" s="6" t="s">
        <v>45</v>
      </c>
      <c r="AC73" s="6" t="s">
        <v>45</v>
      </c>
      <c r="AD73" s="6">
        <v>2000</v>
      </c>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row>
    <row r="74" spans="2:69" x14ac:dyDescent="0.25">
      <c r="B74" s="7" t="s">
        <v>68</v>
      </c>
      <c r="C74" s="6" t="s">
        <v>45</v>
      </c>
      <c r="D74" s="6">
        <v>0</v>
      </c>
      <c r="E74" s="6">
        <v>0</v>
      </c>
      <c r="F74" s="6">
        <v>0</v>
      </c>
      <c r="G74" s="6" t="s">
        <v>45</v>
      </c>
      <c r="H74" s="6">
        <v>0</v>
      </c>
      <c r="I74" s="6">
        <v>0</v>
      </c>
      <c r="J74" s="6">
        <v>0</v>
      </c>
      <c r="K74" s="6" t="s">
        <v>45</v>
      </c>
      <c r="L74" s="6">
        <v>0</v>
      </c>
      <c r="M74" s="6">
        <v>-2000</v>
      </c>
      <c r="N74" s="6">
        <f t="shared" si="186"/>
        <v>0</v>
      </c>
      <c r="O74" s="6" t="s">
        <v>45</v>
      </c>
      <c r="P74" s="6">
        <v>0</v>
      </c>
      <c r="Q74" s="6">
        <v>0</v>
      </c>
      <c r="R74" s="6"/>
      <c r="S74" s="6"/>
      <c r="T74" s="6"/>
      <c r="U74" s="6"/>
      <c r="V74" s="6" t="s">
        <v>45</v>
      </c>
      <c r="W74" s="6" t="s">
        <v>45</v>
      </c>
      <c r="X74" s="6" t="s">
        <v>45</v>
      </c>
      <c r="Y74" s="6" t="s">
        <v>45</v>
      </c>
      <c r="Z74" s="6">
        <v>-12800</v>
      </c>
      <c r="AA74" s="6">
        <v>-3000</v>
      </c>
      <c r="AB74" s="6" t="s">
        <v>45</v>
      </c>
      <c r="AC74" s="6" t="s">
        <v>45</v>
      </c>
      <c r="AD74" s="6">
        <v>-2000</v>
      </c>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row>
    <row r="75" spans="2:69" x14ac:dyDescent="0.25">
      <c r="B75" s="7" t="s">
        <v>69</v>
      </c>
      <c r="C75" s="6">
        <v>5472</v>
      </c>
      <c r="D75" s="6">
        <v>0</v>
      </c>
      <c r="E75" s="6">
        <v>0</v>
      </c>
      <c r="F75" s="6">
        <f t="shared" ref="F75:F80" si="187">+AB75-SUM(C75:E75)</f>
        <v>0</v>
      </c>
      <c r="G75" s="6" t="s">
        <v>45</v>
      </c>
      <c r="H75" s="6">
        <v>0</v>
      </c>
      <c r="I75" s="6">
        <v>0</v>
      </c>
      <c r="J75" s="6">
        <v>0</v>
      </c>
      <c r="K75" s="6" t="s">
        <v>45</v>
      </c>
      <c r="L75" s="6">
        <v>0</v>
      </c>
      <c r="M75" s="6">
        <v>0</v>
      </c>
      <c r="N75" s="6">
        <f t="shared" si="186"/>
        <v>998</v>
      </c>
      <c r="O75" s="6" t="s">
        <v>45</v>
      </c>
      <c r="P75" s="6">
        <v>0</v>
      </c>
      <c r="Q75" s="6">
        <v>0</v>
      </c>
      <c r="R75" s="6"/>
      <c r="S75" s="6"/>
      <c r="T75" s="6"/>
      <c r="U75" s="6"/>
      <c r="V75" s="6" t="s">
        <v>45</v>
      </c>
      <c r="W75" s="6">
        <v>1976</v>
      </c>
      <c r="X75" s="2" t="s">
        <v>45</v>
      </c>
      <c r="Y75" s="2" t="s">
        <v>45</v>
      </c>
      <c r="Z75" s="6">
        <v>16265</v>
      </c>
      <c r="AA75" s="6">
        <v>1993</v>
      </c>
      <c r="AB75" s="6">
        <v>5472</v>
      </c>
      <c r="AC75" s="6" t="s">
        <v>45</v>
      </c>
      <c r="AD75" s="6">
        <v>998</v>
      </c>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row>
    <row r="76" spans="2:69" x14ac:dyDescent="0.25">
      <c r="B76" s="7" t="s">
        <v>70</v>
      </c>
      <c r="C76" s="6">
        <v>-5042</v>
      </c>
      <c r="D76" s="6">
        <v>-1500</v>
      </c>
      <c r="E76" s="6">
        <v>0</v>
      </c>
      <c r="F76" s="6">
        <f t="shared" si="187"/>
        <v>0</v>
      </c>
      <c r="G76" s="6" t="s">
        <v>45</v>
      </c>
      <c r="H76" s="6">
        <v>0</v>
      </c>
      <c r="I76" s="6">
        <v>-1105</v>
      </c>
      <c r="J76" s="6">
        <f t="shared" ref="J76:J80" si="188">+AC76-SUM(G76:I76)</f>
        <v>0</v>
      </c>
      <c r="K76" s="6">
        <v>-1348</v>
      </c>
      <c r="L76" s="6">
        <v>-218</v>
      </c>
      <c r="M76" s="6">
        <v>0</v>
      </c>
      <c r="N76" s="6">
        <f t="shared" si="186"/>
        <v>0</v>
      </c>
      <c r="O76" s="6">
        <v>-1121</v>
      </c>
      <c r="P76" s="6">
        <v>0</v>
      </c>
      <c r="Q76" s="6">
        <v>0</v>
      </c>
      <c r="R76" s="6"/>
      <c r="S76" s="6"/>
      <c r="T76" s="6"/>
      <c r="U76" s="6"/>
      <c r="V76" s="6">
        <v>-1793</v>
      </c>
      <c r="W76" s="6">
        <v>-933</v>
      </c>
      <c r="X76" s="6" t="s">
        <v>45</v>
      </c>
      <c r="Y76" s="6">
        <v>-864</v>
      </c>
      <c r="Z76" s="6">
        <v>-1144</v>
      </c>
      <c r="AA76" s="6">
        <v>-1000</v>
      </c>
      <c r="AB76" s="6">
        <v>-6542</v>
      </c>
      <c r="AC76" s="6">
        <v>-1105</v>
      </c>
      <c r="AD76" s="6">
        <v>-1566</v>
      </c>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row>
    <row r="77" spans="2:69" x14ac:dyDescent="0.25">
      <c r="B77" s="7" t="s">
        <v>71</v>
      </c>
      <c r="C77" s="6">
        <v>-325</v>
      </c>
      <c r="D77" s="6">
        <v>-325</v>
      </c>
      <c r="E77" s="6">
        <v>-322</v>
      </c>
      <c r="F77" s="6">
        <f t="shared" si="187"/>
        <v>-703</v>
      </c>
      <c r="G77" s="6">
        <v>-576</v>
      </c>
      <c r="H77" s="6">
        <v>-507</v>
      </c>
      <c r="I77" s="6">
        <v>-368</v>
      </c>
      <c r="J77" s="6">
        <f t="shared" si="188"/>
        <v>-374</v>
      </c>
      <c r="K77" s="6" t="s">
        <v>45</v>
      </c>
      <c r="L77" s="6">
        <v>-472</v>
      </c>
      <c r="M77" s="6">
        <v>-260</v>
      </c>
      <c r="N77" s="6">
        <f t="shared" si="186"/>
        <v>-268</v>
      </c>
      <c r="O77" s="6">
        <v>-2400</v>
      </c>
      <c r="P77" s="6">
        <v>-10</v>
      </c>
      <c r="Q77" s="6">
        <v>-680</v>
      </c>
      <c r="R77" s="6"/>
      <c r="S77" s="6"/>
      <c r="T77" s="6"/>
      <c r="U77" s="6"/>
      <c r="V77" s="6">
        <v>-554</v>
      </c>
      <c r="W77" s="6">
        <v>-1030</v>
      </c>
      <c r="X77" s="6">
        <v>-2917</v>
      </c>
      <c r="Y77" s="6">
        <v>-1673</v>
      </c>
      <c r="Z77" s="6">
        <v>-845</v>
      </c>
      <c r="AA77" s="6" t="s">
        <v>45</v>
      </c>
      <c r="AB77" s="6">
        <v>-1675</v>
      </c>
      <c r="AC77" s="6">
        <v>-1825</v>
      </c>
      <c r="AD77" s="6">
        <v>-1000</v>
      </c>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row>
    <row r="78" spans="2:69" x14ac:dyDescent="0.25">
      <c r="B78" s="7" t="s">
        <v>72</v>
      </c>
      <c r="C78" s="6">
        <v>-1601</v>
      </c>
      <c r="D78" s="6">
        <v>-1595</v>
      </c>
      <c r="E78" s="6">
        <v>-1591</v>
      </c>
      <c r="F78" s="6">
        <f t="shared" si="187"/>
        <v>-1659</v>
      </c>
      <c r="G78" s="6">
        <v>-1645</v>
      </c>
      <c r="H78" s="6">
        <v>-1634</v>
      </c>
      <c r="I78" s="6">
        <v>-1629</v>
      </c>
      <c r="J78" s="6">
        <f t="shared" si="188"/>
        <v>-1691</v>
      </c>
      <c r="K78" s="6">
        <v>-1683</v>
      </c>
      <c r="L78" s="6">
        <v>-1682</v>
      </c>
      <c r="M78" s="6">
        <v>-1675</v>
      </c>
      <c r="N78" s="6">
        <f t="shared" si="186"/>
        <v>-1739</v>
      </c>
      <c r="O78" s="6">
        <v>-1733</v>
      </c>
      <c r="P78" s="6">
        <v>-1687</v>
      </c>
      <c r="Q78" s="6">
        <v>-1688</v>
      </c>
      <c r="R78" s="6"/>
      <c r="S78" s="6"/>
      <c r="T78" s="6"/>
      <c r="U78" s="6"/>
      <c r="V78" s="6">
        <v>-4179</v>
      </c>
      <c r="W78" s="6">
        <v>-4512</v>
      </c>
      <c r="X78" s="6">
        <v>-4807</v>
      </c>
      <c r="Y78" s="6">
        <v>-5415</v>
      </c>
      <c r="Z78" s="6">
        <v>-6069</v>
      </c>
      <c r="AA78" s="6">
        <v>-6290</v>
      </c>
      <c r="AB78" s="6">
        <v>-6446</v>
      </c>
      <c r="AC78" s="6">
        <v>-6599</v>
      </c>
      <c r="AD78" s="6">
        <v>-6779</v>
      </c>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row>
    <row r="79" spans="2:69" x14ac:dyDescent="0.25">
      <c r="B79" s="7" t="s">
        <v>73</v>
      </c>
      <c r="C79" s="6">
        <v>-623</v>
      </c>
      <c r="D79" s="6">
        <v>0</v>
      </c>
      <c r="E79" s="6">
        <v>0</v>
      </c>
      <c r="F79" s="6">
        <f t="shared" si="187"/>
        <v>0</v>
      </c>
      <c r="G79" s="6" t="s">
        <v>45</v>
      </c>
      <c r="H79" s="6">
        <v>0</v>
      </c>
      <c r="I79" s="6">
        <v>0</v>
      </c>
      <c r="J79" s="6">
        <v>0</v>
      </c>
      <c r="K79" s="6" t="s">
        <v>45</v>
      </c>
      <c r="L79" s="6">
        <v>0</v>
      </c>
      <c r="M79" s="6">
        <v>0</v>
      </c>
      <c r="N79" s="6" t="s">
        <v>45</v>
      </c>
      <c r="O79" s="6" t="s">
        <v>45</v>
      </c>
      <c r="P79" s="6">
        <v>0</v>
      </c>
      <c r="Q79" s="6">
        <v>0</v>
      </c>
      <c r="R79" s="6"/>
      <c r="S79" s="6"/>
      <c r="T79" s="6"/>
      <c r="U79" s="6"/>
      <c r="V79" s="6">
        <v>-226</v>
      </c>
      <c r="W79" s="6">
        <v>-809</v>
      </c>
      <c r="X79" s="6" t="s">
        <v>45</v>
      </c>
      <c r="Y79" s="6" t="s">
        <v>45</v>
      </c>
      <c r="Z79" s="6" t="s">
        <v>45</v>
      </c>
      <c r="AA79" s="6" t="s">
        <v>45</v>
      </c>
      <c r="AB79" s="6">
        <v>-623</v>
      </c>
      <c r="AC79" s="6" t="s">
        <v>45</v>
      </c>
      <c r="AD79" s="6" t="s">
        <v>45</v>
      </c>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row>
    <row r="80" spans="2:69" x14ac:dyDescent="0.25">
      <c r="B80" s="7" t="s">
        <v>60</v>
      </c>
      <c r="C80" s="6">
        <v>-53</v>
      </c>
      <c r="D80" s="6">
        <v>-157</v>
      </c>
      <c r="E80" s="6">
        <v>-6</v>
      </c>
      <c r="F80" s="6">
        <f t="shared" si="187"/>
        <v>1</v>
      </c>
      <c r="G80" s="6">
        <v>-11</v>
      </c>
      <c r="H80" s="6">
        <v>0</v>
      </c>
      <c r="I80" s="6">
        <v>-1</v>
      </c>
      <c r="J80" s="6">
        <f t="shared" si="188"/>
        <v>0</v>
      </c>
      <c r="K80" s="6">
        <v>-14</v>
      </c>
      <c r="L80" s="6">
        <v>-1</v>
      </c>
      <c r="M80" s="6">
        <v>0</v>
      </c>
      <c r="N80" s="6">
        <f t="shared" si="186"/>
        <v>-12</v>
      </c>
      <c r="O80" s="6">
        <v>-14</v>
      </c>
      <c r="P80" s="6">
        <v>-1</v>
      </c>
      <c r="Q80" s="6">
        <v>-110</v>
      </c>
      <c r="R80" s="6"/>
      <c r="S80" s="6"/>
      <c r="T80" s="6"/>
      <c r="U80" s="6"/>
      <c r="V80" s="6">
        <v>-28</v>
      </c>
      <c r="W80" s="6">
        <v>-21</v>
      </c>
      <c r="X80" s="6">
        <v>-47</v>
      </c>
      <c r="Y80" s="6">
        <v>-132</v>
      </c>
      <c r="Z80" s="6">
        <v>-119</v>
      </c>
      <c r="AA80" s="6">
        <v>-99</v>
      </c>
      <c r="AB80" s="6">
        <v>-215</v>
      </c>
      <c r="AC80" s="6">
        <v>-12</v>
      </c>
      <c r="AD80" s="6">
        <v>-27</v>
      </c>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row>
    <row r="81" spans="1:69" x14ac:dyDescent="0.25">
      <c r="B81" s="7" t="s">
        <v>74</v>
      </c>
      <c r="C81" s="6">
        <f t="shared" ref="C81:N81" si="189">+SUM(C73:C80)</f>
        <v>-2172</v>
      </c>
      <c r="D81" s="6">
        <f t="shared" si="189"/>
        <v>-3577</v>
      </c>
      <c r="E81" s="6">
        <f t="shared" si="189"/>
        <v>-1919</v>
      </c>
      <c r="F81" s="6">
        <f t="shared" si="189"/>
        <v>-2361</v>
      </c>
      <c r="G81" s="6">
        <f t="shared" si="189"/>
        <v>-2232</v>
      </c>
      <c r="H81" s="6">
        <f t="shared" si="189"/>
        <v>-2141</v>
      </c>
      <c r="I81" s="6">
        <f t="shared" si="189"/>
        <v>-3103</v>
      </c>
      <c r="J81" s="6">
        <f t="shared" si="189"/>
        <v>-2065</v>
      </c>
      <c r="K81" s="6">
        <f t="shared" si="189"/>
        <v>-3045</v>
      </c>
      <c r="L81" s="6">
        <f t="shared" si="189"/>
        <v>-373</v>
      </c>
      <c r="M81" s="6">
        <f t="shared" si="189"/>
        <v>-3935</v>
      </c>
      <c r="N81" s="6">
        <f t="shared" si="189"/>
        <v>-1021</v>
      </c>
      <c r="O81" s="6">
        <f>+SUM(O73:O80)</f>
        <v>-5268</v>
      </c>
      <c r="P81" s="6">
        <f>+SUM(P73:P80)</f>
        <v>-1698</v>
      </c>
      <c r="Q81" s="6">
        <f>+SUM(Q73:Q80)</f>
        <v>-2478</v>
      </c>
      <c r="R81" s="6"/>
      <c r="S81" s="6"/>
      <c r="T81" s="6"/>
      <c r="U81" s="6"/>
      <c r="V81" s="6">
        <f t="shared" ref="V81:AD81" si="190">+SUM(V73:V80)</f>
        <v>-6780</v>
      </c>
      <c r="W81" s="6">
        <f t="shared" si="190"/>
        <v>-5329</v>
      </c>
      <c r="X81" s="6">
        <f t="shared" si="190"/>
        <v>-7771</v>
      </c>
      <c r="Y81" s="6">
        <f t="shared" si="190"/>
        <v>4716</v>
      </c>
      <c r="Z81" s="6">
        <f t="shared" si="190"/>
        <v>-4712</v>
      </c>
      <c r="AA81" s="6">
        <f t="shared" si="190"/>
        <v>-5396</v>
      </c>
      <c r="AB81" s="6">
        <f t="shared" si="190"/>
        <v>-10029</v>
      </c>
      <c r="AC81" s="6">
        <f t="shared" si="190"/>
        <v>-9541</v>
      </c>
      <c r="AD81" s="6">
        <f t="shared" si="190"/>
        <v>-8374</v>
      </c>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row>
    <row r="82" spans="1:69" x14ac:dyDescent="0.25">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row>
    <row r="83" spans="1:69" x14ac:dyDescent="0.25">
      <c r="B83" s="7" t="s">
        <v>75</v>
      </c>
      <c r="C83" s="6">
        <f t="shared" ref="C83:N83" si="191">+C81+C71+C58</f>
        <v>839</v>
      </c>
      <c r="D83" s="6">
        <f t="shared" si="191"/>
        <v>-3918</v>
      </c>
      <c r="E83" s="6">
        <f t="shared" si="191"/>
        <v>1111</v>
      </c>
      <c r="F83" s="6">
        <f t="shared" si="191"/>
        <v>1556</v>
      </c>
      <c r="G83" s="6">
        <f t="shared" si="191"/>
        <v>809</v>
      </c>
      <c r="H83" s="6">
        <f t="shared" si="191"/>
        <v>-2771</v>
      </c>
      <c r="I83" s="6">
        <f t="shared" si="191"/>
        <v>-92</v>
      </c>
      <c r="J83" s="6">
        <f t="shared" si="191"/>
        <v>1551</v>
      </c>
      <c r="K83" s="6">
        <f t="shared" si="191"/>
        <v>-117</v>
      </c>
      <c r="L83" s="6">
        <f t="shared" si="191"/>
        <v>-3051</v>
      </c>
      <c r="M83" s="6">
        <f t="shared" si="191"/>
        <v>658</v>
      </c>
      <c r="N83" s="6">
        <f t="shared" si="191"/>
        <v>2140</v>
      </c>
      <c r="O83" s="6">
        <f>+O81+O71+O58</f>
        <v>-75</v>
      </c>
      <c r="P83" s="6">
        <f>+P81+P71+P58</f>
        <v>-1810</v>
      </c>
      <c r="Q83" s="6">
        <f>+Q81+Q71+Q58</f>
        <v>92</v>
      </c>
      <c r="R83" s="6"/>
      <c r="S83" s="6"/>
      <c r="T83" s="6"/>
      <c r="U83" s="6"/>
      <c r="V83" s="6">
        <f t="shared" ref="V83:AD83" si="192">+V81+V71+V58</f>
        <v>-952</v>
      </c>
      <c r="W83" s="6">
        <f t="shared" si="192"/>
        <v>2200</v>
      </c>
      <c r="X83" s="6">
        <f t="shared" si="192"/>
        <v>-3316</v>
      </c>
      <c r="Y83" s="6">
        <f t="shared" si="192"/>
        <v>119</v>
      </c>
      <c r="Z83" s="6">
        <f t="shared" si="192"/>
        <v>727</v>
      </c>
      <c r="AA83" s="6">
        <f t="shared" si="192"/>
        <v>2846</v>
      </c>
      <c r="AB83" s="6">
        <f t="shared" si="192"/>
        <v>-412</v>
      </c>
      <c r="AC83" s="6">
        <f t="shared" si="192"/>
        <v>-503</v>
      </c>
      <c r="AD83" s="6">
        <f t="shared" si="192"/>
        <v>-370</v>
      </c>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row>
    <row r="84" spans="1:69" x14ac:dyDescent="0.25">
      <c r="B84" s="2" t="s">
        <v>76</v>
      </c>
      <c r="C84" s="6">
        <v>5006</v>
      </c>
      <c r="D84" s="6">
        <v>5845</v>
      </c>
      <c r="E84" s="6">
        <v>1927</v>
      </c>
      <c r="F84" s="6">
        <v>3038</v>
      </c>
      <c r="G84" s="6">
        <v>4594</v>
      </c>
      <c r="H84" s="6">
        <v>5403</v>
      </c>
      <c r="I84" s="6">
        <v>2632</v>
      </c>
      <c r="J84" s="6">
        <v>2540</v>
      </c>
      <c r="K84" s="6">
        <v>4091</v>
      </c>
      <c r="L84" s="6">
        <v>3974</v>
      </c>
      <c r="M84" s="6">
        <v>923</v>
      </c>
      <c r="N84" s="6">
        <v>1581</v>
      </c>
      <c r="O84" s="6">
        <v>3721</v>
      </c>
      <c r="P84" s="6">
        <v>3646</v>
      </c>
      <c r="Q84" s="6">
        <v>1836</v>
      </c>
      <c r="R84" s="6"/>
      <c r="S84" s="6"/>
      <c r="T84" s="6"/>
      <c r="U84" s="6"/>
      <c r="V84" s="6">
        <v>3321</v>
      </c>
      <c r="W84" s="6">
        <v>2369</v>
      </c>
      <c r="X84" s="6">
        <v>4569</v>
      </c>
      <c r="Y84" s="6">
        <v>1314</v>
      </c>
      <c r="Z84" s="6">
        <v>1433</v>
      </c>
      <c r="AA84" s="6">
        <v>2160</v>
      </c>
      <c r="AB84" s="6">
        <v>5006</v>
      </c>
      <c r="AC84" s="6">
        <v>4594</v>
      </c>
      <c r="AD84" s="6">
        <v>4091</v>
      </c>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row>
    <row r="85" spans="1:69" x14ac:dyDescent="0.25">
      <c r="B85" s="2" t="s">
        <v>77</v>
      </c>
      <c r="C85" s="6">
        <f t="shared" ref="C85:N85" si="193">+SUM(C83:C84)</f>
        <v>5845</v>
      </c>
      <c r="D85" s="6">
        <f t="shared" si="193"/>
        <v>1927</v>
      </c>
      <c r="E85" s="6">
        <f t="shared" si="193"/>
        <v>3038</v>
      </c>
      <c r="F85" s="6">
        <f t="shared" si="193"/>
        <v>4594</v>
      </c>
      <c r="G85" s="6">
        <f t="shared" si="193"/>
        <v>5403</v>
      </c>
      <c r="H85" s="6">
        <f t="shared" si="193"/>
        <v>2632</v>
      </c>
      <c r="I85" s="6">
        <f t="shared" si="193"/>
        <v>2540</v>
      </c>
      <c r="J85" s="6">
        <f t="shared" si="193"/>
        <v>4091</v>
      </c>
      <c r="K85" s="6">
        <f t="shared" si="193"/>
        <v>3974</v>
      </c>
      <c r="L85" s="6">
        <f t="shared" si="193"/>
        <v>923</v>
      </c>
      <c r="M85" s="6">
        <f t="shared" si="193"/>
        <v>1581</v>
      </c>
      <c r="N85" s="6">
        <f t="shared" si="193"/>
        <v>3721</v>
      </c>
      <c r="O85" s="6">
        <f>+SUM(O83:O84)</f>
        <v>3646</v>
      </c>
      <c r="P85" s="6">
        <f>+SUM(P83:P84)</f>
        <v>1836</v>
      </c>
      <c r="Q85" s="6">
        <f>+SUM(Q83:Q84)</f>
        <v>1928</v>
      </c>
      <c r="R85" s="6"/>
      <c r="S85" s="6"/>
      <c r="T85" s="6"/>
      <c r="U85" s="6"/>
      <c r="V85" s="6">
        <f t="shared" ref="V85:AD85" si="194">+SUM(V83:V84)</f>
        <v>2369</v>
      </c>
      <c r="W85" s="6">
        <f t="shared" si="194"/>
        <v>4569</v>
      </c>
      <c r="X85" s="6">
        <f t="shared" si="194"/>
        <v>1253</v>
      </c>
      <c r="Y85" s="6">
        <f t="shared" si="194"/>
        <v>1433</v>
      </c>
      <c r="Z85" s="6">
        <f t="shared" si="194"/>
        <v>2160</v>
      </c>
      <c r="AA85" s="6">
        <f t="shared" si="194"/>
        <v>5006</v>
      </c>
      <c r="AB85" s="6">
        <f t="shared" si="194"/>
        <v>4594</v>
      </c>
      <c r="AC85" s="6">
        <f t="shared" si="194"/>
        <v>4091</v>
      </c>
      <c r="AD85" s="6">
        <f t="shared" si="194"/>
        <v>3721</v>
      </c>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row>
    <row r="86" spans="1:69" x14ac:dyDescent="0.25">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row>
    <row r="87" spans="1:69" x14ac:dyDescent="0.25">
      <c r="B87" s="2" t="s">
        <v>78</v>
      </c>
      <c r="C87" s="6"/>
      <c r="D87" s="6"/>
      <c r="E87" s="6"/>
      <c r="F87" s="6"/>
      <c r="G87" s="6"/>
      <c r="H87" s="6"/>
      <c r="I87" s="6"/>
      <c r="J87" s="6"/>
      <c r="K87" s="6"/>
      <c r="L87" s="6"/>
      <c r="M87" s="6"/>
      <c r="N87" s="6"/>
      <c r="O87" s="6"/>
      <c r="P87" s="6"/>
      <c r="Q87" s="6"/>
      <c r="R87" s="6"/>
      <c r="S87" s="6"/>
      <c r="T87" s="6"/>
      <c r="U87" s="6"/>
      <c r="V87" s="6">
        <v>776</v>
      </c>
      <c r="W87" s="6">
        <v>775</v>
      </c>
      <c r="X87" s="6">
        <v>696</v>
      </c>
      <c r="Y87" s="6">
        <v>991</v>
      </c>
      <c r="Z87" s="6">
        <v>704</v>
      </c>
      <c r="AA87" s="6">
        <v>1246</v>
      </c>
      <c r="AB87" s="6">
        <v>1189</v>
      </c>
      <c r="AC87" s="6">
        <v>119</v>
      </c>
      <c r="AD87" s="6">
        <v>1116</v>
      </c>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row>
    <row r="88" spans="1:69" x14ac:dyDescent="0.25">
      <c r="B88" s="2" t="s">
        <v>79</v>
      </c>
      <c r="C88" s="6"/>
      <c r="D88" s="6"/>
      <c r="E88" s="6"/>
      <c r="F88" s="6"/>
      <c r="G88" s="6"/>
      <c r="H88" s="6"/>
      <c r="I88" s="6"/>
      <c r="J88" s="6"/>
      <c r="K88" s="6"/>
      <c r="L88" s="6"/>
      <c r="M88" s="6"/>
      <c r="N88" s="6"/>
      <c r="O88" s="6"/>
      <c r="P88" s="6"/>
      <c r="Q88" s="6"/>
      <c r="R88" s="6"/>
      <c r="S88" s="6"/>
      <c r="T88" s="6"/>
      <c r="U88" s="6"/>
      <c r="V88" s="6">
        <v>3029</v>
      </c>
      <c r="W88" s="6">
        <v>4664</v>
      </c>
      <c r="X88" s="6">
        <v>3036</v>
      </c>
      <c r="Y88" s="6">
        <v>1977</v>
      </c>
      <c r="Z88" s="6">
        <v>2307</v>
      </c>
      <c r="AA88" s="6">
        <v>2616</v>
      </c>
      <c r="AB88" s="6">
        <v>2673</v>
      </c>
      <c r="AC88" s="6">
        <v>2657</v>
      </c>
      <c r="AD88" s="6">
        <v>1890</v>
      </c>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row>
    <row r="89" spans="1:69" x14ac:dyDescent="0.25">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row>
    <row r="90" spans="1:69" x14ac:dyDescent="0.25">
      <c r="B90" s="2" t="s">
        <v>80</v>
      </c>
      <c r="C90" s="6">
        <f t="shared" ref="C90:L90" si="195">+C58+C60</f>
        <v>3014</v>
      </c>
      <c r="D90" s="6">
        <f t="shared" si="195"/>
        <v>-388</v>
      </c>
      <c r="E90" s="6">
        <f t="shared" si="195"/>
        <v>3014</v>
      </c>
      <c r="F90" s="6">
        <f t="shared" si="195"/>
        <v>2596</v>
      </c>
      <c r="G90" s="6">
        <f t="shared" si="195"/>
        <v>3030</v>
      </c>
      <c r="H90" s="6">
        <f t="shared" si="195"/>
        <v>-552</v>
      </c>
      <c r="I90" s="6">
        <f t="shared" si="195"/>
        <v>3012</v>
      </c>
      <c r="J90" s="6">
        <f t="shared" si="195"/>
        <v>2561</v>
      </c>
      <c r="K90" s="6">
        <f t="shared" si="195"/>
        <v>2929</v>
      </c>
      <c r="L90" s="6">
        <f t="shared" si="195"/>
        <v>76</v>
      </c>
      <c r="M90" s="6">
        <f t="shared" ref="M90:N90" si="196">+M58+M60</f>
        <v>2912</v>
      </c>
      <c r="N90" s="6">
        <f t="shared" si="196"/>
        <v>3174</v>
      </c>
      <c r="O90" s="6">
        <f>+O58+O60</f>
        <v>2842</v>
      </c>
      <c r="P90" s="6">
        <f>+P58+P60</f>
        <v>-104</v>
      </c>
      <c r="Q90" s="6">
        <f>+Q58+Q60</f>
        <v>2580</v>
      </c>
      <c r="R90" s="6"/>
      <c r="S90" s="6"/>
      <c r="T90" s="6"/>
      <c r="U90" s="6"/>
      <c r="V90" s="6">
        <f t="shared" ref="V90:AD90" si="197">+V58+V60</f>
        <v>5614</v>
      </c>
      <c r="W90" s="6">
        <f t="shared" si="197"/>
        <v>3632</v>
      </c>
      <c r="X90" s="6">
        <f t="shared" si="197"/>
        <v>4723</v>
      </c>
      <c r="Y90" s="6">
        <f t="shared" si="197"/>
        <v>8153</v>
      </c>
      <c r="Z90" s="6">
        <f t="shared" si="197"/>
        <v>7591</v>
      </c>
      <c r="AA90" s="6">
        <f t="shared" si="197"/>
        <v>8154</v>
      </c>
      <c r="AB90" s="6">
        <f t="shared" si="197"/>
        <v>8236</v>
      </c>
      <c r="AC90" s="6">
        <f t="shared" si="197"/>
        <v>8051</v>
      </c>
      <c r="AD90" s="6">
        <f t="shared" si="197"/>
        <v>9091</v>
      </c>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row>
    <row r="91" spans="1:69" s="7" customFormat="1" x14ac:dyDescent="0.25">
      <c r="A91" s="8"/>
      <c r="B91" s="7" t="s">
        <v>88</v>
      </c>
      <c r="C91" s="7">
        <f t="shared" ref="C91:N91" si="198">+C78*(-1)/C90</f>
        <v>0.53118779031187791</v>
      </c>
      <c r="D91" s="7">
        <f t="shared" si="198"/>
        <v>-4.1108247422680408</v>
      </c>
      <c r="E91" s="7">
        <f t="shared" si="198"/>
        <v>0.52786994027869938</v>
      </c>
      <c r="F91" s="7">
        <f t="shared" si="198"/>
        <v>0.63906009244992301</v>
      </c>
      <c r="G91" s="7">
        <f t="shared" si="198"/>
        <v>0.54290429042904287</v>
      </c>
      <c r="H91" s="7">
        <f t="shared" si="198"/>
        <v>-2.9601449275362319</v>
      </c>
      <c r="I91" s="7">
        <f t="shared" si="198"/>
        <v>0.54083665338645415</v>
      </c>
      <c r="J91" s="7">
        <f t="shared" si="198"/>
        <v>0.66028894962905116</v>
      </c>
      <c r="K91" s="7">
        <f t="shared" si="198"/>
        <v>0.57459883919426424</v>
      </c>
      <c r="L91" s="7">
        <f t="shared" si="198"/>
        <v>22.131578947368421</v>
      </c>
      <c r="M91" s="7">
        <f t="shared" si="198"/>
        <v>0.57520604395604391</v>
      </c>
      <c r="N91" s="7">
        <f t="shared" si="198"/>
        <v>0.54788909892879645</v>
      </c>
      <c r="O91" s="7">
        <f>+O78*(-1)/O90</f>
        <v>0.60978184377199152</v>
      </c>
      <c r="P91" s="7">
        <f>+P78*(-1)/P90</f>
        <v>-16.221153846153847</v>
      </c>
      <c r="Q91" s="7">
        <f>+Q78*(-1)/Q90</f>
        <v>0.65426356589147283</v>
      </c>
      <c r="V91" s="7">
        <f t="shared" ref="V91:AD91" si="199">+V78*(-1)/V90</f>
        <v>0.74438902743142144</v>
      </c>
      <c r="W91" s="7">
        <f t="shared" si="199"/>
        <v>1.2422907488986785</v>
      </c>
      <c r="X91" s="7">
        <f t="shared" si="199"/>
        <v>1.0177853059496083</v>
      </c>
      <c r="Y91" s="7">
        <f t="shared" si="199"/>
        <v>0.66417269716668714</v>
      </c>
      <c r="Z91" s="7">
        <f t="shared" si="199"/>
        <v>0.79949940719272827</v>
      </c>
      <c r="AA91" s="7">
        <f t="shared" si="199"/>
        <v>0.77140053961246013</v>
      </c>
      <c r="AB91" s="7">
        <f t="shared" si="199"/>
        <v>0.78266148615832931</v>
      </c>
      <c r="AC91" s="7">
        <f t="shared" si="199"/>
        <v>0.81964973295242827</v>
      </c>
      <c r="AD91" s="7">
        <f t="shared" si="199"/>
        <v>0.74568254317456828</v>
      </c>
    </row>
    <row r="92" spans="1:69" x14ac:dyDescent="0.25">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row>
    <row r="93" spans="1:69" x14ac:dyDescent="0.25">
      <c r="B93" s="2" t="s">
        <v>99</v>
      </c>
      <c r="C93" s="6"/>
      <c r="D93" s="6"/>
      <c r="E93" s="6"/>
      <c r="F93" s="6"/>
      <c r="G93" s="6">
        <v>40235</v>
      </c>
      <c r="H93" s="6">
        <v>36746</v>
      </c>
      <c r="I93" s="6">
        <v>33953</v>
      </c>
      <c r="J93" s="6">
        <v>36954</v>
      </c>
      <c r="K93" s="6"/>
      <c r="L93" s="6"/>
      <c r="M93" s="6">
        <v>36469</v>
      </c>
      <c r="N93" s="6"/>
      <c r="O93" s="6"/>
      <c r="P93" s="6"/>
      <c r="Q93" s="6"/>
      <c r="R93" s="6"/>
      <c r="S93" s="6"/>
      <c r="T93" s="6"/>
      <c r="U93" s="6"/>
      <c r="V93" s="6"/>
      <c r="W93" s="6">
        <v>45932</v>
      </c>
      <c r="X93" s="6">
        <v>43202</v>
      </c>
      <c r="Y93" s="6"/>
      <c r="Z93" s="6">
        <v>49271</v>
      </c>
      <c r="AA93" s="6">
        <v>47414</v>
      </c>
      <c r="AB93" s="6"/>
      <c r="AC93" s="6">
        <v>36954</v>
      </c>
      <c r="AD93" s="6">
        <v>38570</v>
      </c>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row>
    <row r="94" spans="1:69" s="10" customFormat="1" x14ac:dyDescent="0.25">
      <c r="A94" s="9"/>
      <c r="B94" s="10" t="s">
        <v>98</v>
      </c>
      <c r="G94" s="10">
        <f t="shared" ref="G94:J94" si="200">+G20/G93</f>
        <v>4.8688952404622843E-2</v>
      </c>
      <c r="H94" s="10">
        <f t="shared" si="200"/>
        <v>2.4247537146900342E-2</v>
      </c>
      <c r="I94" s="10">
        <f t="shared" si="200"/>
        <v>6.5973551674373401E-3</v>
      </c>
      <c r="J94" s="10">
        <f t="shared" si="200"/>
        <v>7.2793202359690432E-2</v>
      </c>
      <c r="M94" s="10">
        <f t="shared" ref="M94" si="201">+M20/M93</f>
        <v>5.9392909046039104E-2</v>
      </c>
      <c r="W94" s="10">
        <f t="shared" ref="W94:X94" si="202">+W20/W93</f>
        <v>0.31011059827571191</v>
      </c>
      <c r="X94" s="10">
        <f t="shared" si="202"/>
        <v>0.23672515161335123</v>
      </c>
      <c r="Z94" s="10">
        <f>+Z20/Z93</f>
        <v>-2.634409693328733E-2</v>
      </c>
      <c r="AA94" s="10">
        <f>+AA20/AA93</f>
        <v>9.393849917745814E-2</v>
      </c>
      <c r="AC94" s="10">
        <f>+AC20/AC93</f>
        <v>0.1559777020079017</v>
      </c>
      <c r="AD94" s="10">
        <f>+AD20/AD93</f>
        <v>0.21078558465128339</v>
      </c>
    </row>
    <row r="95" spans="1:69" s="10" customFormat="1" x14ac:dyDescent="0.25">
      <c r="A95" s="9"/>
    </row>
    <row r="96" spans="1:69" x14ac:dyDescent="0.25">
      <c r="B96" s="2" t="s">
        <v>100</v>
      </c>
      <c r="C96" s="6"/>
      <c r="D96" s="6"/>
      <c r="E96" s="6"/>
      <c r="F96" s="6"/>
      <c r="G96" s="6">
        <f>2517+25405-1760</f>
        <v>26162</v>
      </c>
      <c r="H96" s="6">
        <f>2634+25046-2403</f>
        <v>25277</v>
      </c>
      <c r="I96" s="6">
        <f>1443+24848-4232</f>
        <v>22059</v>
      </c>
      <c r="J96" s="6">
        <f>-3923+25124+1556</f>
        <v>22757</v>
      </c>
      <c r="K96" s="6"/>
      <c r="L96" s="6"/>
      <c r="M96" s="6">
        <f>1121+23977-3357</f>
        <v>21741</v>
      </c>
      <c r="N96" s="6"/>
      <c r="O96" s="6"/>
      <c r="P96" s="6"/>
      <c r="Q96" s="6"/>
      <c r="R96" s="6"/>
      <c r="S96" s="6"/>
      <c r="T96" s="6"/>
      <c r="U96" s="6"/>
      <c r="V96" s="6"/>
      <c r="W96" s="6">
        <f>12773+13881</f>
        <v>26654</v>
      </c>
      <c r="X96" s="6">
        <f>864+13030+15380</f>
        <v>29274</v>
      </c>
      <c r="Y96" s="6"/>
      <c r="Z96" s="6">
        <f>1000+27042+6319</f>
        <v>34361</v>
      </c>
      <c r="AA96" s="6">
        <f>1500+27971+2925</f>
        <v>32396</v>
      </c>
      <c r="AB96" s="6"/>
      <c r="AC96" s="6">
        <f>-3923+25124+1556</f>
        <v>22757</v>
      </c>
      <c r="AD96" s="6">
        <f>1121+25112-3490</f>
        <v>22743</v>
      </c>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row>
    <row r="97" spans="1:69" s="10" customFormat="1" x14ac:dyDescent="0.25">
      <c r="A97" s="9"/>
      <c r="B97" s="10" t="s">
        <v>101</v>
      </c>
      <c r="G97" s="10">
        <f t="shared" ref="G97:J97" si="203">+G20/G96</f>
        <v>7.4879596361134476E-2</v>
      </c>
      <c r="H97" s="10">
        <f t="shared" si="203"/>
        <v>3.5249436246390001E-2</v>
      </c>
      <c r="I97" s="10">
        <f t="shared" si="203"/>
        <v>1.0154585429983227E-2</v>
      </c>
      <c r="J97" s="10">
        <f t="shared" si="203"/>
        <v>0.11820538735334182</v>
      </c>
      <c r="M97" s="10">
        <f t="shared" ref="M97" si="204">+M20/M96</f>
        <v>9.9627432040844482E-2</v>
      </c>
      <c r="W97" s="10">
        <f t="shared" ref="W97:X97" si="205">+W20/W96</f>
        <v>0.53440384182486678</v>
      </c>
      <c r="X97" s="10">
        <f t="shared" si="205"/>
        <v>0.34935437589670015</v>
      </c>
      <c r="Z97" s="10">
        <f>+Z20/Z96</f>
        <v>-3.7775384884025494E-2</v>
      </c>
      <c r="AA97" s="10">
        <f>+AA20/AA96</f>
        <v>0.13748610939622175</v>
      </c>
      <c r="AC97" s="10">
        <f>+AC20/AC96</f>
        <v>0.25328470360768113</v>
      </c>
      <c r="AD97" s="10">
        <f>+AD20/AD96</f>
        <v>0.35747262894077297</v>
      </c>
    </row>
    <row r="98" spans="1:69" x14ac:dyDescent="0.25">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row>
    <row r="99" spans="1:69" x14ac:dyDescent="0.25">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row>
    <row r="100" spans="1:69" x14ac:dyDescent="0.25">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row>
    <row r="101" spans="1:69" x14ac:dyDescent="0.25">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row>
    <row r="102" spans="1:69" x14ac:dyDescent="0.25">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row>
    <row r="103" spans="1:69" x14ac:dyDescent="0.25">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row>
    <row r="104" spans="1:69" x14ac:dyDescent="0.25">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row>
    <row r="105" spans="1:69" x14ac:dyDescent="0.2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row>
    <row r="106" spans="1:69" x14ac:dyDescent="0.2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row>
    <row r="107" spans="1:69" x14ac:dyDescent="0.25">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row>
    <row r="108" spans="1:69" x14ac:dyDescent="0.25">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row>
    <row r="109" spans="1:69" x14ac:dyDescent="0.25">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row>
    <row r="110" spans="1:69" x14ac:dyDescent="0.25">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row>
    <row r="111" spans="1:69" x14ac:dyDescent="0.25">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row>
    <row r="112" spans="1:69" x14ac:dyDescent="0.25">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row>
    <row r="113" spans="3:69" x14ac:dyDescent="0.25">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row>
    <row r="114" spans="3:69" x14ac:dyDescent="0.25">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row>
    <row r="115" spans="3:69" x14ac:dyDescent="0.25">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row>
    <row r="116" spans="3:69" x14ac:dyDescent="0.25">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row>
    <row r="117" spans="3:69" x14ac:dyDescent="0.25">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row>
    <row r="118" spans="3:69" x14ac:dyDescent="0.25">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row>
    <row r="119" spans="3:69" x14ac:dyDescent="0.25">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row>
  </sheetData>
  <phoneticPr fontId="2" type="noConversion"/>
  <hyperlinks>
    <hyperlink ref="A1" location="Main!A1" display="Main" xr:uid="{C5C2B1DA-F49B-4E5A-8639-A91D2CD4D974}"/>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Franciszek Kessler</dc:creator>
  <cp:lastModifiedBy>Franciszek Kessler</cp:lastModifiedBy>
  <dcterms:created xsi:type="dcterms:W3CDTF">2024-01-06T21:29:40Z</dcterms:created>
  <dcterms:modified xsi:type="dcterms:W3CDTF">2025-01-16T20:35:01Z</dcterms:modified>
</cp:coreProperties>
</file>