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a81685cd5063f9d2/Dokumenty/Models stocks/"/>
    </mc:Choice>
  </mc:AlternateContent>
  <xr:revisionPtr revIDLastSave="2061" documentId="8_{A22DFA23-EC2C-4CBB-84D8-FD734CC55139}" xr6:coauthVersionLast="47" xr6:coauthVersionMax="47" xr10:uidLastSave="{7B894A46-15BD-4045-BF75-DCD9FF116ED4}"/>
  <bookViews>
    <workbookView xWindow="-108" yWindow="-108" windowWidth="23256" windowHeight="13896" activeTab="1" xr2:uid="{C2A537D2-81CC-41DE-90E3-F8EDF7DA01A3}"/>
  </bookViews>
  <sheets>
    <sheet name="Main" sheetId="1" r:id="rId1"/>
    <sheet name="Model" sheetId="2" r:id="rId2"/>
    <sheet name="Sales data" sheetId="3" r:id="rId3"/>
    <sheet name="Market prediction" sheetId="5" r:id="rId4"/>
    <sheet name="Competitors" sheetId="4" r:id="rId5"/>
    <sheet name="XD"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5" i="2" l="1"/>
  <c r="J34" i="2"/>
  <c r="J33" i="2"/>
  <c r="J32" i="2"/>
  <c r="J28" i="2"/>
  <c r="J26" i="2"/>
  <c r="J25" i="2"/>
  <c r="J22" i="2"/>
  <c r="J21" i="2"/>
  <c r="J17" i="2"/>
  <c r="J15" i="2"/>
  <c r="J18" i="2"/>
  <c r="J19" i="2"/>
  <c r="J20" i="2"/>
  <c r="J23" i="2"/>
  <c r="J24" i="2"/>
  <c r="J27" i="2"/>
  <c r="J29" i="2"/>
  <c r="J16" i="2"/>
  <c r="M65" i="2"/>
  <c r="M58" i="2"/>
  <c r="M52" i="2"/>
  <c r="M78" i="2" s="1"/>
  <c r="M37" i="2"/>
  <c r="M35" i="2"/>
  <c r="M34" i="2"/>
  <c r="M33" i="2"/>
  <c r="M32" i="2"/>
  <c r="M25" i="2"/>
  <c r="M21" i="2"/>
  <c r="M17" i="2"/>
  <c r="M22" i="2" s="1"/>
  <c r="H6" i="2"/>
  <c r="I6" i="2"/>
  <c r="J6" i="2"/>
  <c r="K6" i="2"/>
  <c r="L6" i="2"/>
  <c r="M6" i="2"/>
  <c r="M12" i="2"/>
  <c r="M10" i="2"/>
  <c r="L10" i="2"/>
  <c r="K10" i="2"/>
  <c r="J10" i="2"/>
  <c r="I10" i="2"/>
  <c r="M8" i="2"/>
  <c r="M4" i="2"/>
  <c r="I11" i="2"/>
  <c r="I11" i="1"/>
  <c r="I10" i="1"/>
  <c r="H10" i="2"/>
  <c r="H8" i="2"/>
  <c r="L8" i="2"/>
  <c r="K12" i="2"/>
  <c r="L12" i="2"/>
  <c r="H67" i="2"/>
  <c r="L67" i="2"/>
  <c r="H58" i="2"/>
  <c r="L32" i="2"/>
  <c r="L25" i="2"/>
  <c r="L21" i="2"/>
  <c r="L17" i="2"/>
  <c r="L34" i="2" s="1"/>
  <c r="K4" i="2"/>
  <c r="J4" i="2"/>
  <c r="I4" i="2"/>
  <c r="H4" i="2"/>
  <c r="G4" i="2"/>
  <c r="F4" i="2"/>
  <c r="E4" i="2"/>
  <c r="D4" i="2"/>
  <c r="C4" i="2"/>
  <c r="L4" i="2"/>
  <c r="H11" i="1"/>
  <c r="H10" i="1"/>
  <c r="H8" i="1" a="1"/>
  <c r="H8" i="1" s="1"/>
  <c r="K10" i="1" s="1"/>
  <c r="H7" i="1" a="1"/>
  <c r="H7" i="1" s="1"/>
  <c r="G11" i="1"/>
  <c r="G10" i="1"/>
  <c r="G8" i="1" a="1"/>
  <c r="G8" i="1" s="1"/>
  <c r="G7" i="1" a="1"/>
  <c r="G7" i="1" s="1"/>
  <c r="G10" i="2"/>
  <c r="G8" i="2"/>
  <c r="G6" i="2"/>
  <c r="K8" i="2"/>
  <c r="G65" i="2"/>
  <c r="K65" i="2"/>
  <c r="G58" i="2"/>
  <c r="K58" i="2"/>
  <c r="K25" i="2"/>
  <c r="K21" i="2"/>
  <c r="K32" i="2"/>
  <c r="K17" i="2"/>
  <c r="K34" i="2" s="1"/>
  <c r="V10" i="2"/>
  <c r="W10" i="2"/>
  <c r="X10" i="2"/>
  <c r="V8" i="2"/>
  <c r="W8" i="2"/>
  <c r="X8" i="2"/>
  <c r="V6" i="2"/>
  <c r="W6" i="2"/>
  <c r="X6" i="2"/>
  <c r="V4" i="2"/>
  <c r="W4" i="2"/>
  <c r="X4" i="2"/>
  <c r="W32" i="2"/>
  <c r="W25" i="2"/>
  <c r="W21" i="2"/>
  <c r="W17" i="2"/>
  <c r="X32" i="2"/>
  <c r="X25" i="2"/>
  <c r="X21" i="2"/>
  <c r="X17" i="2"/>
  <c r="Q32" i="2"/>
  <c r="Q25" i="2"/>
  <c r="Q21" i="2"/>
  <c r="Q17" i="2"/>
  <c r="R32" i="2"/>
  <c r="R25" i="2"/>
  <c r="R21" i="2"/>
  <c r="R17" i="2"/>
  <c r="S32" i="2"/>
  <c r="S25" i="2"/>
  <c r="S21" i="2"/>
  <c r="S17" i="2"/>
  <c r="T32" i="2"/>
  <c r="T25" i="2"/>
  <c r="T21" i="2"/>
  <c r="T17" i="2"/>
  <c r="T34" i="2" s="1"/>
  <c r="U32" i="2"/>
  <c r="U25" i="2"/>
  <c r="U21" i="2"/>
  <c r="U17" i="2"/>
  <c r="V32" i="2"/>
  <c r="V25" i="2"/>
  <c r="V21" i="2"/>
  <c r="V17" i="2"/>
  <c r="V34" i="2" s="1"/>
  <c r="J2" i="5"/>
  <c r="K2" i="5" s="1"/>
  <c r="L2" i="5" s="1"/>
  <c r="M2" i="5" s="1"/>
  <c r="N2" i="5" s="1"/>
  <c r="O2" i="5" s="1"/>
  <c r="P2" i="5" s="1"/>
  <c r="Q2" i="5" s="1"/>
  <c r="R2" i="5" s="1"/>
  <c r="S2" i="5" s="1"/>
  <c r="T2" i="5" s="1"/>
  <c r="U2" i="5" s="1"/>
  <c r="V2" i="5" s="1"/>
  <c r="W2" i="5" s="1"/>
  <c r="X2" i="5" s="1"/>
  <c r="L19" i="5"/>
  <c r="W19" i="5"/>
  <c r="X19" i="5"/>
  <c r="J19" i="5"/>
  <c r="T18" i="5"/>
  <c r="U18" i="5"/>
  <c r="V18" i="5"/>
  <c r="W18" i="5"/>
  <c r="X18" i="5"/>
  <c r="J18" i="5"/>
  <c r="L7" i="5"/>
  <c r="M7" i="5" s="1"/>
  <c r="N5" i="5"/>
  <c r="N19" i="5" s="1"/>
  <c r="O5" i="5"/>
  <c r="O19" i="5" s="1"/>
  <c r="P5" i="5"/>
  <c r="P19" i="5" s="1"/>
  <c r="Q5" i="5"/>
  <c r="Q19" i="5" s="1"/>
  <c r="R5" i="5"/>
  <c r="R19" i="5" s="1"/>
  <c r="S5" i="5"/>
  <c r="S19" i="5" s="1"/>
  <c r="T5" i="5"/>
  <c r="T19" i="5" s="1"/>
  <c r="U5" i="5"/>
  <c r="U19" i="5" s="1"/>
  <c r="V5" i="5"/>
  <c r="V19" i="5" s="1"/>
  <c r="M5" i="5"/>
  <c r="M19" i="5" s="1"/>
  <c r="N14" i="5"/>
  <c r="O14" i="5" s="1"/>
  <c r="P14" i="5" s="1"/>
  <c r="Q14" i="5" s="1"/>
  <c r="Y10" i="2"/>
  <c r="Z10" i="2"/>
  <c r="AA10" i="2"/>
  <c r="Z8" i="2"/>
  <c r="Y8" i="2"/>
  <c r="AA8" i="2"/>
  <c r="AA6" i="2"/>
  <c r="Z6" i="2"/>
  <c r="Y6" i="2"/>
  <c r="Y4" i="2"/>
  <c r="Z4" i="2"/>
  <c r="AA4" i="2"/>
  <c r="M68" i="2" l="1"/>
  <c r="M70" i="2" s="1"/>
  <c r="M26" i="2"/>
  <c r="M28" i="2" s="1"/>
  <c r="H65" i="2"/>
  <c r="L65" i="2"/>
  <c r="L58" i="2"/>
  <c r="L22" i="2"/>
  <c r="L26" i="2" s="1"/>
  <c r="H9" i="1"/>
  <c r="G9" i="1"/>
  <c r="G12" i="1" s="1"/>
  <c r="K22" i="2"/>
  <c r="K26" i="2" s="1"/>
  <c r="W22" i="2"/>
  <c r="W26" i="2" s="1"/>
  <c r="W34" i="2"/>
  <c r="X22" i="2"/>
  <c r="X26" i="2" s="1"/>
  <c r="X34" i="2"/>
  <c r="Q22" i="2"/>
  <c r="Q26" i="2" s="1"/>
  <c r="Q34" i="2"/>
  <c r="R22" i="2"/>
  <c r="R26" i="2" s="1"/>
  <c r="R28" i="2" s="1"/>
  <c r="R35" i="2" s="1"/>
  <c r="S22" i="2"/>
  <c r="S26" i="2" s="1"/>
  <c r="R34" i="2"/>
  <c r="S34" i="2"/>
  <c r="T22" i="2"/>
  <c r="T26" i="2" s="1"/>
  <c r="T33" i="2" s="1"/>
  <c r="U22" i="2"/>
  <c r="U26" i="2" s="1"/>
  <c r="U34" i="2"/>
  <c r="V22" i="2"/>
  <c r="V26" i="2" s="1"/>
  <c r="V28" i="2" s="1"/>
  <c r="V35" i="2" s="1"/>
  <c r="N7" i="5"/>
  <c r="D33" i="2"/>
  <c r="D32" i="2"/>
  <c r="D28" i="2"/>
  <c r="D35" i="2" s="1"/>
  <c r="D25" i="2"/>
  <c r="D21" i="2"/>
  <c r="D17" i="2"/>
  <c r="D34" i="2" s="1"/>
  <c r="H32" i="2"/>
  <c r="H25" i="2"/>
  <c r="H21" i="2"/>
  <c r="H17" i="2"/>
  <c r="C32" i="2"/>
  <c r="C25" i="2"/>
  <c r="C21" i="2"/>
  <c r="C17" i="2"/>
  <c r="G32" i="2"/>
  <c r="G25" i="2"/>
  <c r="G21" i="2"/>
  <c r="G17" i="2"/>
  <c r="E33" i="2"/>
  <c r="E32" i="2"/>
  <c r="E28" i="2"/>
  <c r="E35" i="2" s="1"/>
  <c r="E25" i="2"/>
  <c r="E21" i="2"/>
  <c r="E17" i="2"/>
  <c r="E34" i="2" s="1"/>
  <c r="I32" i="2"/>
  <c r="I25" i="2"/>
  <c r="I21" i="2"/>
  <c r="I17" i="2"/>
  <c r="I34" i="2" s="1"/>
  <c r="Y65" i="2"/>
  <c r="Y58" i="2"/>
  <c r="Z65" i="2"/>
  <c r="Z58" i="2"/>
  <c r="AA65" i="2"/>
  <c r="AA58" i="2"/>
  <c r="Y32" i="2"/>
  <c r="Y25" i="2"/>
  <c r="Y21" i="2"/>
  <c r="Y17" i="2"/>
  <c r="Y22" i="2" s="1"/>
  <c r="Z32" i="2"/>
  <c r="Z25" i="2"/>
  <c r="Z21" i="2"/>
  <c r="Z17" i="2"/>
  <c r="AA32" i="2"/>
  <c r="AA21" i="2"/>
  <c r="AA25" i="2"/>
  <c r="AA17" i="2"/>
  <c r="AA34" i="2" s="1"/>
  <c r="F11" i="1"/>
  <c r="F10" i="1"/>
  <c r="F8" i="1" a="1"/>
  <c r="F8" i="1" s="1"/>
  <c r="F7" i="1" a="1"/>
  <c r="F7" i="1" s="1"/>
  <c r="W2" i="2"/>
  <c r="X2" i="2" s="1"/>
  <c r="Y2" i="2" s="1"/>
  <c r="Z2" i="2" s="1"/>
  <c r="AA2" i="2" s="1"/>
  <c r="AB2" i="2" s="1"/>
  <c r="H12" i="1" l="1"/>
  <c r="I12" i="1"/>
  <c r="R33" i="2"/>
  <c r="L28" i="2"/>
  <c r="L33" i="2"/>
  <c r="K28" i="2"/>
  <c r="K33" i="2"/>
  <c r="I26" i="2"/>
  <c r="AC2" i="2"/>
  <c r="AB3" i="2"/>
  <c r="AB5" i="2"/>
  <c r="W33" i="2"/>
  <c r="W28" i="2"/>
  <c r="W35" i="2" s="1"/>
  <c r="X28" i="2"/>
  <c r="X35" i="2" s="1"/>
  <c r="X33" i="2"/>
  <c r="Q33" i="2"/>
  <c r="Q28" i="2"/>
  <c r="Q35" i="2" s="1"/>
  <c r="S28" i="2"/>
  <c r="S35" i="2" s="1"/>
  <c r="S33" i="2"/>
  <c r="Y26" i="2"/>
  <c r="G22" i="2"/>
  <c r="G26" i="2" s="1"/>
  <c r="V33" i="2"/>
  <c r="T28" i="2"/>
  <c r="T35" i="2" s="1"/>
  <c r="U33" i="2"/>
  <c r="U28" i="2"/>
  <c r="U35" i="2" s="1"/>
  <c r="O7" i="5"/>
  <c r="AA22" i="2"/>
  <c r="AA26" i="2" s="1"/>
  <c r="AA33" i="2" s="1"/>
  <c r="I22" i="2"/>
  <c r="G34" i="2"/>
  <c r="D22" i="2"/>
  <c r="H22" i="2"/>
  <c r="H26" i="2" s="1"/>
  <c r="H34" i="2"/>
  <c r="C22" i="2"/>
  <c r="C26" i="2" s="1"/>
  <c r="C34" i="2"/>
  <c r="E22" i="2"/>
  <c r="F9" i="1"/>
  <c r="Z22" i="2"/>
  <c r="Z26" i="2" s="1"/>
  <c r="Y34" i="2"/>
  <c r="Z34" i="2"/>
  <c r="AB15" i="2" l="1"/>
  <c r="L35" i="2"/>
  <c r="L37" i="2"/>
  <c r="L52" i="2" s="1"/>
  <c r="F12" i="1"/>
  <c r="H33" i="2"/>
  <c r="H28" i="2"/>
  <c r="K35" i="2"/>
  <c r="K37" i="2"/>
  <c r="K52" i="2" s="1"/>
  <c r="G28" i="2"/>
  <c r="G33" i="2"/>
  <c r="I28" i="2"/>
  <c r="I35" i="2" s="1"/>
  <c r="I33" i="2"/>
  <c r="AD2" i="2"/>
  <c r="AC3" i="2"/>
  <c r="AC5" i="2"/>
  <c r="P7" i="5"/>
  <c r="AA28" i="2"/>
  <c r="AA35" i="2" s="1"/>
  <c r="C28" i="2"/>
  <c r="C35" i="2" s="1"/>
  <c r="C33" i="2"/>
  <c r="Y28" i="2"/>
  <c r="Y33" i="2"/>
  <c r="Z28" i="2"/>
  <c r="Z33" i="2"/>
  <c r="H35" i="2" l="1"/>
  <c r="H37" i="2"/>
  <c r="H52" i="2" s="1"/>
  <c r="L78" i="2"/>
  <c r="L68" i="2"/>
  <c r="L70" i="2" s="1"/>
  <c r="K78" i="2"/>
  <c r="K68" i="2"/>
  <c r="K70" i="2" s="1"/>
  <c r="G35" i="2"/>
  <c r="G37" i="2"/>
  <c r="G52" i="2" s="1"/>
  <c r="AC15" i="2"/>
  <c r="AE2" i="2"/>
  <c r="AD3" i="2"/>
  <c r="AD5" i="2"/>
  <c r="Q7" i="5"/>
  <c r="AA37" i="2"/>
  <c r="AA52" i="2" s="1"/>
  <c r="Y35" i="2"/>
  <c r="Y37" i="2"/>
  <c r="Y52" i="2" s="1"/>
  <c r="Z35" i="2"/>
  <c r="Z37" i="2"/>
  <c r="Z52" i="2" s="1"/>
  <c r="H78" i="2" l="1"/>
  <c r="H68" i="2"/>
  <c r="H70" i="2" s="1"/>
  <c r="Y68" i="2"/>
  <c r="Y70" i="2" s="1"/>
  <c r="Y78" i="2"/>
  <c r="G78" i="2"/>
  <c r="G68" i="2"/>
  <c r="G70" i="2" s="1"/>
  <c r="Z68" i="2"/>
  <c r="Z70" i="2" s="1"/>
  <c r="Z78" i="2"/>
  <c r="AA68" i="2"/>
  <c r="AA70" i="2" s="1"/>
  <c r="AA78" i="2"/>
  <c r="AD15" i="2"/>
  <c r="AF2" i="2"/>
  <c r="AE5" i="2"/>
  <c r="AE3" i="2"/>
  <c r="R7" i="5"/>
  <c r="AC28" i="2"/>
  <c r="AD28" i="2" s="1"/>
  <c r="AE28" i="2" s="1"/>
  <c r="AF28" i="2" s="1"/>
  <c r="AG28" i="2" s="1"/>
  <c r="AH28" i="2" s="1"/>
  <c r="AI28" i="2" s="1"/>
  <c r="AJ28" i="2" s="1"/>
  <c r="AK28" i="2" s="1"/>
  <c r="AL28" i="2" s="1"/>
  <c r="AM28" i="2" s="1"/>
  <c r="AN28" i="2" s="1"/>
  <c r="AO28" i="2" s="1"/>
  <c r="AP28" i="2" s="1"/>
  <c r="AQ28" i="2" s="1"/>
  <c r="AR28" i="2" s="1"/>
  <c r="AS28" i="2" s="1"/>
  <c r="AT28" i="2" s="1"/>
  <c r="AU28" i="2" s="1"/>
  <c r="AV28" i="2" s="1"/>
  <c r="AW28" i="2" s="1"/>
  <c r="AX28" i="2" s="1"/>
  <c r="AY28" i="2" s="1"/>
  <c r="AZ28" i="2" s="1"/>
  <c r="BA28" i="2" s="1"/>
  <c r="BB28" i="2" s="1"/>
  <c r="BC28" i="2" s="1"/>
  <c r="BD28" i="2" s="1"/>
  <c r="BE28" i="2" s="1"/>
  <c r="BF28" i="2" s="1"/>
  <c r="BG28" i="2" s="1"/>
  <c r="BH28" i="2" s="1"/>
  <c r="BI28" i="2" s="1"/>
  <c r="BJ28" i="2" s="1"/>
  <c r="BK28" i="2" s="1"/>
  <c r="BL28" i="2" s="1"/>
  <c r="BM28" i="2" s="1"/>
  <c r="BN28" i="2" s="1"/>
  <c r="BO28" i="2" s="1"/>
  <c r="BP28" i="2" s="1"/>
  <c r="BQ28" i="2" s="1"/>
  <c r="BR28" i="2" s="1"/>
  <c r="BS28" i="2" s="1"/>
  <c r="BT28" i="2" s="1"/>
  <c r="BU28" i="2" s="1"/>
  <c r="BV28" i="2" s="1"/>
  <c r="BW28" i="2" s="1"/>
  <c r="BX28" i="2" s="1"/>
  <c r="BY28" i="2" s="1"/>
  <c r="BZ28" i="2" s="1"/>
  <c r="CA28" i="2" s="1"/>
  <c r="CB28" i="2" s="1"/>
  <c r="CC28" i="2" s="1"/>
  <c r="CD28" i="2" s="1"/>
  <c r="CE28" i="2" s="1"/>
  <c r="CF28" i="2" s="1"/>
  <c r="CG28" i="2" s="1"/>
  <c r="CH28" i="2" s="1"/>
  <c r="CI28" i="2" s="1"/>
  <c r="CJ28" i="2" s="1"/>
  <c r="CK28" i="2" s="1"/>
  <c r="CL28" i="2" s="1"/>
  <c r="CM28" i="2" s="1"/>
  <c r="CN28" i="2" s="1"/>
  <c r="CO28" i="2" s="1"/>
  <c r="CP28" i="2" s="1"/>
  <c r="CQ28" i="2" s="1"/>
  <c r="CR28" i="2" s="1"/>
  <c r="CS28" i="2" s="1"/>
  <c r="CT28" i="2" s="1"/>
  <c r="CU28" i="2" s="1"/>
  <c r="CV28" i="2" s="1"/>
  <c r="CW28" i="2" s="1"/>
  <c r="CX28" i="2" s="1"/>
  <c r="CY28" i="2" s="1"/>
  <c r="CZ28" i="2" s="1"/>
  <c r="DA28" i="2" s="1"/>
  <c r="DB28" i="2" s="1"/>
  <c r="DC28" i="2" s="1"/>
  <c r="DD28" i="2" s="1"/>
  <c r="DE28" i="2" s="1"/>
  <c r="DF28" i="2" s="1"/>
  <c r="DG28" i="2" s="1"/>
  <c r="DH28" i="2" s="1"/>
  <c r="DI28" i="2" s="1"/>
  <c r="DJ28" i="2" s="1"/>
  <c r="DK28" i="2" s="1"/>
  <c r="DL28" i="2" s="1"/>
  <c r="DM28" i="2" s="1"/>
  <c r="DN28" i="2" s="1"/>
  <c r="DO28" i="2" s="1"/>
  <c r="DP28" i="2" s="1"/>
  <c r="DQ28" i="2" s="1"/>
  <c r="DR28" i="2" s="1"/>
  <c r="DS28" i="2" s="1"/>
  <c r="DT28" i="2" s="1"/>
  <c r="DU28" i="2" s="1"/>
  <c r="DV28" i="2" s="1"/>
  <c r="DW28" i="2" s="1"/>
  <c r="DX28" i="2" s="1"/>
  <c r="DY28" i="2" s="1"/>
  <c r="DZ28" i="2" s="1"/>
  <c r="EA28" i="2" s="1"/>
  <c r="EB28" i="2" s="1"/>
  <c r="EC28" i="2" s="1"/>
  <c r="ED28" i="2" s="1"/>
  <c r="EE28" i="2" s="1"/>
  <c r="EF28" i="2" s="1"/>
  <c r="EG28" i="2" s="1"/>
  <c r="EH28" i="2" s="1"/>
  <c r="EI28" i="2" s="1"/>
  <c r="EJ28" i="2" s="1"/>
  <c r="EK28" i="2" s="1"/>
  <c r="EL28" i="2" s="1"/>
  <c r="EM28" i="2" s="1"/>
  <c r="EN28" i="2" s="1"/>
  <c r="EO28" i="2" s="1"/>
  <c r="EP28" i="2" s="1"/>
  <c r="EQ28" i="2" s="1"/>
  <c r="ER28" i="2" s="1"/>
  <c r="AE15" i="2" l="1"/>
  <c r="AG2" i="2"/>
  <c r="AF5" i="2"/>
  <c r="AF3" i="2"/>
  <c r="S7" i="5"/>
  <c r="S18" i="5" s="1"/>
  <c r="AF40" i="2"/>
  <c r="AF41" i="2" s="1"/>
  <c r="AF43" i="2" s="1"/>
  <c r="AF15" i="2" l="1"/>
  <c r="AH2" i="2"/>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EF2" i="2" s="1"/>
  <c r="EG2" i="2" s="1"/>
  <c r="EH2" i="2" s="1"/>
  <c r="EI2" i="2" s="1"/>
  <c r="EJ2" i="2" s="1"/>
  <c r="EK2" i="2" s="1"/>
  <c r="EL2" i="2" s="1"/>
  <c r="EM2" i="2" s="1"/>
  <c r="EN2" i="2" s="1"/>
  <c r="EO2" i="2" s="1"/>
  <c r="EP2" i="2" s="1"/>
  <c r="EQ2" i="2" s="1"/>
  <c r="ER2" i="2" s="1"/>
  <c r="AG3" i="2"/>
  <c r="AG5" i="2"/>
  <c r="AH5" i="2" s="1"/>
  <c r="K11" i="5"/>
  <c r="AH3" i="2" l="1"/>
  <c r="AH15" i="2" s="1"/>
  <c r="AG15" i="2"/>
  <c r="K10" i="5"/>
  <c r="K19" i="5"/>
  <c r="L10" i="5" l="1"/>
  <c r="K18" i="5"/>
  <c r="M10" i="5" l="1"/>
  <c r="L18" i="5"/>
  <c r="N10" i="5" l="1"/>
  <c r="M18" i="5"/>
  <c r="O10" i="5" l="1"/>
  <c r="N18" i="5"/>
  <c r="P10" i="5" l="1"/>
  <c r="O18" i="5"/>
  <c r="Q10" i="5" l="1"/>
  <c r="P18" i="5"/>
  <c r="R10" i="5" l="1"/>
  <c r="R18" i="5" s="1"/>
  <c r="Q18"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<sst xmlns="http://schemas.openxmlformats.org/spreadsheetml/2006/main" count="250" uniqueCount="122">
  <si>
    <t>in USDk</t>
  </si>
  <si>
    <t>Price</t>
  </si>
  <si>
    <t>Shares</t>
  </si>
  <si>
    <t>MC</t>
  </si>
  <si>
    <t>Cash</t>
  </si>
  <si>
    <t>Debt</t>
  </si>
  <si>
    <t>EV</t>
  </si>
  <si>
    <t>Main</t>
  </si>
  <si>
    <t>Q122</t>
  </si>
  <si>
    <t>Q222</t>
  </si>
  <si>
    <t>Q322</t>
  </si>
  <si>
    <t>Q422</t>
  </si>
  <si>
    <t>Q123</t>
  </si>
  <si>
    <t>Q223</t>
  </si>
  <si>
    <t>Q323</t>
  </si>
  <si>
    <t>Q423</t>
  </si>
  <si>
    <t>Q124</t>
  </si>
  <si>
    <t>Camera units shipped (in thousands)</t>
  </si>
  <si>
    <t>Cameras shipped y/y</t>
  </si>
  <si>
    <t>Average selling price (in USD)</t>
  </si>
  <si>
    <t>Average selling price (in USD) y/y</t>
  </si>
  <si>
    <t>Retail</t>
  </si>
  <si>
    <t>retail % of revenue</t>
  </si>
  <si>
    <t>GoPro.com</t>
  </si>
  <si>
    <t>gopro.com % of revenue</t>
  </si>
  <si>
    <t>GoPro subscriber count</t>
  </si>
  <si>
    <t>Revenue</t>
  </si>
  <si>
    <t>sucks</t>
  </si>
  <si>
    <t>f</t>
  </si>
  <si>
    <t>Cost of revenue</t>
  </si>
  <si>
    <t>Gross profit</t>
  </si>
  <si>
    <t>R&amp;D</t>
  </si>
  <si>
    <t>S&amp;M</t>
  </si>
  <si>
    <t>G&amp;A</t>
  </si>
  <si>
    <t>Total operating expenses</t>
  </si>
  <si>
    <t>Operating income (loss)</t>
  </si>
  <si>
    <t>Interest expense</t>
  </si>
  <si>
    <t>-</t>
  </si>
  <si>
    <t>Other income (expense), net</t>
  </si>
  <si>
    <t>Total other income (expense), Inet</t>
  </si>
  <si>
    <t>Income (loss) before income taxes</t>
  </si>
  <si>
    <t>Income tax expense (benefit)</t>
  </si>
  <si>
    <t xml:space="preserve">Net income (loss) </t>
  </si>
  <si>
    <t xml:space="preserve">EPS </t>
  </si>
  <si>
    <t>numb. Of shares used for EPS</t>
  </si>
  <si>
    <t>Revenue y/y</t>
  </si>
  <si>
    <t>Tax rate</t>
  </si>
  <si>
    <t>GM</t>
  </si>
  <si>
    <t>PM</t>
  </si>
  <si>
    <t>CFS</t>
  </si>
  <si>
    <t>CFO</t>
  </si>
  <si>
    <t>Net income</t>
  </si>
  <si>
    <t>Depreciation and amortization</t>
  </si>
  <si>
    <t>growth</t>
  </si>
  <si>
    <t>Non-cash operating lease cost</t>
  </si>
  <si>
    <t>discount</t>
  </si>
  <si>
    <t>Stock-based compensation</t>
  </si>
  <si>
    <t>npv</t>
  </si>
  <si>
    <t>Deferred income taxes</t>
  </si>
  <si>
    <t>npv share</t>
  </si>
  <si>
    <t>Non-cash restructuring charges</t>
  </si>
  <si>
    <t>upside</t>
  </si>
  <si>
    <t>Non-cash interest expense</t>
  </si>
  <si>
    <t>Gain on extinguishment of debt</t>
  </si>
  <si>
    <t>Other</t>
  </si>
  <si>
    <t>Accounts receivable, net</t>
  </si>
  <si>
    <t>Inventory</t>
  </si>
  <si>
    <t>Prepaid expenses and other assets</t>
  </si>
  <si>
    <t>Accounts payable and other liabilities</t>
  </si>
  <si>
    <t>Deferred revenue</t>
  </si>
  <si>
    <t>CFI</t>
  </si>
  <si>
    <t>Purchases of property and equipment, net</t>
  </si>
  <si>
    <t>Purchases of marketable securities</t>
  </si>
  <si>
    <t>Maturities of marketable securities</t>
  </si>
  <si>
    <t>CFA</t>
  </si>
  <si>
    <t>Taxes paid related to net share settlement of equity awards</t>
  </si>
  <si>
    <t>Repurchase of outstanding common stock</t>
  </si>
  <si>
    <t>Payment to partially repurchase 2025 convertible senior notes</t>
  </si>
  <si>
    <t>Repayment of debt</t>
  </si>
  <si>
    <t>Effect of exchange rate changes on cash and cash equivalents</t>
  </si>
  <si>
    <t>Net change in cash and cash equivalents</t>
  </si>
  <si>
    <t>Cash and cash equivalents at beg. Of period</t>
  </si>
  <si>
    <t>Cash and cash equivalents at end Of period</t>
  </si>
  <si>
    <t>Cash paid for interest</t>
  </si>
  <si>
    <t>Cash paid (refunded) for income taxes, net</t>
  </si>
  <si>
    <t>Other KPI's</t>
  </si>
  <si>
    <t>Shares repurchased</t>
  </si>
  <si>
    <t>Value of shares repurchased</t>
  </si>
  <si>
    <t>Action Camera Market in USD M</t>
  </si>
  <si>
    <t>Precedence research</t>
  </si>
  <si>
    <t>CAGR</t>
  </si>
  <si>
    <t>Zion market research</t>
  </si>
  <si>
    <t>Statista</t>
  </si>
  <si>
    <t>Unit sales of action cameras in M</t>
  </si>
  <si>
    <t>Mordor intelligence</t>
  </si>
  <si>
    <t xml:space="preserve"> </t>
  </si>
  <si>
    <t>Average</t>
  </si>
  <si>
    <t>Average CAGR</t>
  </si>
  <si>
    <t>https://www.precedenceresearch.com/action-camera-market</t>
  </si>
  <si>
    <t>https://www.zionmarketresearch.com/report/action-camera-market</t>
  </si>
  <si>
    <t>https://www.statista.com/statistics/1059920/worldwide-sales-action-cams/</t>
  </si>
  <si>
    <t>https://www.mordorintelligence.com/industry-reports/action-camera-market</t>
  </si>
  <si>
    <t>GoPro</t>
  </si>
  <si>
    <t>Nikon corp</t>
  </si>
  <si>
    <t>Garmin limited</t>
  </si>
  <si>
    <t>Olympus corp</t>
  </si>
  <si>
    <t>insta 360</t>
  </si>
  <si>
    <t>Q224</t>
  </si>
  <si>
    <t>Acquisition, net of cash acquired</t>
  </si>
  <si>
    <t>FCF</t>
  </si>
  <si>
    <t>cash per share</t>
  </si>
  <si>
    <t>Q324</t>
  </si>
  <si>
    <t>Impairment of right-ofuse assets</t>
  </si>
  <si>
    <t>Proceeds from issuance of common stock</t>
  </si>
  <si>
    <t>subs growth q/q</t>
  </si>
  <si>
    <t>talk about low bar</t>
  </si>
  <si>
    <t>super low expectations; still like 1bln of revenue per year, and they need 20M profit at 10dr to be at fair value</t>
  </si>
  <si>
    <t>in K</t>
  </si>
  <si>
    <t>in K usd</t>
  </si>
  <si>
    <t>Q424</t>
  </si>
  <si>
    <t>CFFO</t>
  </si>
  <si>
    <t>CFFA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</si>
</sst>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10" x14ac:knownFonts="1">
    <font>
      <sz val="11"/>
      <color theme="1"/>
      <name val="Calibri"/>
      <family val="2"/>
      <charset val="238"/>
      <scheme val="minor"/>
    </font>
    <font>
      <sz val="10"/>
      <color theme="1"/>
      <name val="Arial"/>
      <family val="2"/>
      <charset val="238"/>
    </font>
    <font>
      <sz val="8"/>
      <name val="Calibri"/>
      <family val="2"/>
      <charset val="238"/>
      <scheme val="minor"/>
    </font>
    <font>
      <u/>
      <sz val="11"/>
      <color theme="10"/>
      <name val="Calibri"/>
      <family val="2"/>
      <charset val="238"/>
      <scheme val="minor"/>
    </font>
    <font>
      <b/>
      <sz val="11"/>
      <color theme="1"/>
      <name val="Calibri"/>
      <family val="2"/>
      <scheme val="minor"/>
    </font>
    <font>
      <sz val="11"/>
      <color theme="1"/>
      <name val="Calibri"/>
      <family val="2"/>
      <scheme val="minor"/>
    </font>
    <font>
      <b/>
      <sz val="10"/>
      <color theme="1"/>
      <name val="Arial"/>
      <family val="2"/>
      <charset val="238"/>
    </font>
    <font>
      <u/>
      <sz val="10"/>
      <color theme="10"/>
      <name val="Arial"/>
      <family val="2"/>
      <charset val="238"/>
    </font>
    <font>
      <sz val="10"/>
      <name val="Arial"/>
      <family val="2"/>
      <charset val="238"/>
    </font>
    <font>
      <b/>
      <sz val="10"/>
      <color indexed="8"/>
      <name val="Arial"/>
      <family val="2"/>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3" fontId="0" fillId="0" borderId="0" xfId="0" applyNumberFormat="1"/>
    <xf numFmtId="3" fontId="4" fillId="0" borderId="0" xfId="0" applyNumberFormat="1" applyFont="1"/>
    <xf numFmtId="165" fontId="0" fillId="0" borderId="0" xfId="0" applyNumberFormat="1"/>
    <xf numFmtId="10" fontId="5" fillId="0" borderId="0" xfId="0" applyNumberFormat="1" applyFont="1"/>
    <xf numFmtId="0" fontId="7" fillId="0" borderId="0" xfId="1" applyFont="1" applyAlignment="1">
      <alignment horizontal="center"/>
    </xf>
    <xf numFmtId="0" fontId="1" fillId="0" borderId="0" xfId="0" applyFont="1"/>
    <xf numFmtId="16" fontId="1" fillId="0" borderId="0" xfId="0" applyNumberFormat="1" applyFont="1"/>
    <xf numFmtId="3" fontId="6" fillId="0" borderId="0" xfId="0" applyNumberFormat="1" applyFont="1"/>
    <xf numFmtId="9" fontId="1" fillId="0" borderId="0" xfId="0" applyNumberFormat="1" applyFont="1"/>
    <xf numFmtId="3" fontId="1" fillId="0" borderId="0" xfId="0" applyNumberFormat="1" applyFont="1"/>
    <xf numFmtId="0" fontId="6" fillId="0" borderId="0" xfId="0" applyFont="1"/>
    <xf numFmtId="4" fontId="1" fillId="0" borderId="0" xfId="0" applyNumberFormat="1" applyFont="1"/>
    <xf numFmtId="164" fontId="1" fillId="0" borderId="0" xfId="0" applyNumberFormat="1" applyFont="1"/>
    <xf numFmtId="3" fontId="8" fillId="2" borderId="0" xfId="0" applyNumberFormat="1" applyFont="1" applyFill="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31071</xdr:colOff>
      <xdr:row>1</xdr:row>
      <xdr:rowOff>0</xdr:rowOff>
    </xdr:from>
    <xdr:to>
      <xdr:col>24</xdr:col>
      <xdr:colOff>372683</xdr:colOff>
      <xdr:row>26</xdr:row>
      <xdr:rowOff>130311</xdr:rowOff>
    </xdr:to>
    <xdr:pic>
      <xdr:nvPicPr>
        <xdr:cNvPr id="2" name="Picture 1">
          <a:extLst>
            <a:ext uri="{FF2B5EF4-FFF2-40B4-BE49-F238E27FC236}">
              <a16:creationId xmlns:a16="http://schemas.microsoft.com/office/drawing/2014/main" id="{C628CCE0-0453-7E52-325D-321E16A5E270}"/>
            </a:ext>
          </a:extLst>
        </xdr:cNvPr>
        <xdr:cNvPicPr>
          <a:picLocks noChangeAspect="1"/>
        </xdr:cNvPicPr>
      </xdr:nvPicPr>
      <xdr:blipFill>
        <a:blip xmlns:r="http://schemas.openxmlformats.org/officeDocument/2006/relationships" r:embed="rId1"/>
        <a:stretch>
          <a:fillRect/>
        </a:stretch>
      </xdr:blipFill>
      <xdr:spPr>
        <a:xfrm>
          <a:off x="8089221" y="190500"/>
          <a:ext cx="7047212" cy="449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63429</xdr:colOff>
      <xdr:row>2</xdr:row>
      <xdr:rowOff>68003</xdr:rowOff>
    </xdr:from>
    <xdr:to>
      <xdr:col>13</xdr:col>
      <xdr:colOff>63429</xdr:colOff>
      <xdr:row>147</xdr:row>
      <xdr:rowOff>76893</xdr:rowOff>
    </xdr:to>
    <xdr:cxnSp macro="">
      <xdr:nvCxnSpPr>
        <xdr:cNvPr id="3" name="Straight Connector 2">
          <a:extLst>
            <a:ext uri="{FF2B5EF4-FFF2-40B4-BE49-F238E27FC236}">
              <a16:creationId xmlns:a16="http://schemas.microsoft.com/office/drawing/2014/main" id="{AB974397-2621-224F-51AE-B64322E22395}"/>
            </a:ext>
          </a:extLst>
        </xdr:cNvPr>
        <xdr:cNvCxnSpPr/>
      </xdr:nvCxnSpPr>
      <xdr:spPr>
        <a:xfrm>
          <a:off x="8787901" y="410475"/>
          <a:ext cx="0" cy="2483810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27711</xdr:colOff>
      <xdr:row>0</xdr:row>
      <xdr:rowOff>164523</xdr:rowOff>
    </xdr:from>
    <xdr:to>
      <xdr:col>27</xdr:col>
      <xdr:colOff>27711</xdr:colOff>
      <xdr:row>145</xdr:row>
      <xdr:rowOff>173413</xdr:rowOff>
    </xdr:to>
    <xdr:cxnSp macro="">
      <xdr:nvCxnSpPr>
        <xdr:cNvPr id="5" name="Straight Connector 4">
          <a:extLst>
            <a:ext uri="{FF2B5EF4-FFF2-40B4-BE49-F238E27FC236}">
              <a16:creationId xmlns:a16="http://schemas.microsoft.com/office/drawing/2014/main" id="{B0EE9528-761F-4EF3-BEE3-E462C1297277}"/>
            </a:ext>
          </a:extLst>
        </xdr:cNvPr>
        <xdr:cNvCxnSpPr/>
      </xdr:nvCxnSpPr>
      <xdr:spPr>
        <a:xfrm>
          <a:off x="12860484" y="164523"/>
          <a:ext cx="0" cy="249643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609599</xdr:colOff>
      <xdr:row>0</xdr:row>
      <xdr:rowOff>190499</xdr:rowOff>
    </xdr:from>
    <xdr:to>
      <xdr:col>13</xdr:col>
      <xdr:colOff>158442</xdr:colOff>
      <xdr:row>24</xdr:row>
      <xdr:rowOff>47624</xdr:rowOff>
    </xdr:to>
    <xdr:pic>
      <xdr:nvPicPr>
        <xdr:cNvPr id="2" name="Picture 1">
          <a:extLst>
            <a:ext uri="{FF2B5EF4-FFF2-40B4-BE49-F238E27FC236}">
              <a16:creationId xmlns:a16="http://schemas.microsoft.com/office/drawing/2014/main" id="{BCB9B935-FBD7-F929-001C-873329B26ECD}"/>
            </a:ext>
          </a:extLst>
        </xdr:cNvPr>
        <xdr:cNvPicPr>
          <a:picLocks noChangeAspect="1"/>
        </xdr:cNvPicPr>
      </xdr:nvPicPr>
      <xdr:blipFill>
        <a:blip xmlns:r="http://schemas.openxmlformats.org/officeDocument/2006/relationships" r:embed="rId1"/>
        <a:stretch>
          <a:fillRect/>
        </a:stretch>
      </xdr:blipFill>
      <xdr:spPr>
        <a:xfrm>
          <a:off x="609599" y="190499"/>
          <a:ext cx="7473643" cy="4429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305487</xdr:colOff>
      <xdr:row>13</xdr:row>
      <xdr:rowOff>114300</xdr:rowOff>
    </xdr:to>
    <xdr:pic>
      <xdr:nvPicPr>
        <xdr:cNvPr id="2" name="Picture 1">
          <a:extLst>
            <a:ext uri="{FF2B5EF4-FFF2-40B4-BE49-F238E27FC236}">
              <a16:creationId xmlns:a16="http://schemas.microsoft.com/office/drawing/2014/main" id="{4E7A2210-3237-8DD4-8EFB-F988CE101497}"/>
            </a:ext>
          </a:extLst>
        </xdr:cNvPr>
        <xdr:cNvPicPr>
          <a:picLocks noChangeAspect="1"/>
        </xdr:cNvPicPr>
      </xdr:nvPicPr>
      <xdr:blipFill>
        <a:blip xmlns:r="http://schemas.openxmlformats.org/officeDocument/2006/relationships" r:embed="rId1"/>
        <a:stretch>
          <a:fillRect/>
        </a:stretch>
      </xdr:blipFill>
      <xdr:spPr>
        <a:xfrm>
          <a:off x="609600" y="190500"/>
          <a:ext cx="2134287" cy="2400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14475</xdr:rowOff>
    </xdr:from>
    <xdr:to>
      <xdr:col>12</xdr:col>
      <xdr:colOff>366550</xdr:colOff>
      <xdr:row>18</xdr:row>
      <xdr:rowOff>122279</xdr:rowOff>
    </xdr:to>
    <xdr:pic>
      <xdr:nvPicPr>
        <xdr:cNvPr id="2" name="Picture 1">
          <a:extLst>
            <a:ext uri="{FF2B5EF4-FFF2-40B4-BE49-F238E27FC236}">
              <a16:creationId xmlns:a16="http://schemas.microsoft.com/office/drawing/2014/main" id="{A0E7C8BB-8175-4D59-8854-DC2148171A1A}"/>
            </a:ext>
          </a:extLst>
        </xdr:cNvPr>
        <xdr:cNvPicPr>
          <a:picLocks noChangeAspect="1"/>
        </xdr:cNvPicPr>
      </xdr:nvPicPr>
      <xdr:blipFill>
        <a:blip xmlns:r="http://schemas.openxmlformats.org/officeDocument/2006/relationships" r:embed="rId1"/>
        <a:stretch>
          <a:fillRect/>
        </a:stretch>
      </xdr:blipFill>
      <xdr:spPr>
        <a:xfrm>
          <a:off x="609600" y="197355"/>
          <a:ext cx="7072150" cy="32167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https://www.bing.com/financeapi/forcetrigger?t=a1u5f2&amp;q=XNAS%3aGPRO&amp;form=skydnc</v>
    <v>Learn more on Bing</v>
  </rv>
  <rv s="1">
    <v>en-GB</v>
    <v>a1u5f2</v>
    <v>268435456</v>
    <v>1</v>
    <v>Powered by Refinitiv</v>
    <v>0</v>
    <v>GOPRO, INC (XNAS:GPRO)</v>
    <v>2</v>
    <v>3</v>
    <v>Finance</v>
    <v>4</v>
    <v>3.395</v>
    <v>1.03</v>
    <v>1.5226999999999999</v>
    <v>5.0000000000000001E-3</v>
    <v>4.7169999999999998E-3</v>
    <v>USD</v>
    <v>GoPro, Inc. produces cameras, and mountable and wearable accessories. The Company offers a family of flagship cameras, including its cloud connected HERO12 Black, HERO11 Black, HERO11 Black Mini, HERO10 Black, HERO10 Black Bones, HERO9 Black, and MAX cameras. HERO12 Black is a waterproof camera, featuring a GP2 processor and HyperSmooth 6.0 image stabilization. MAX is a 360-degree waterproof camera featuring MAX HyperSmooth image stabilization, 360-degree MAX TimeWarp Video, MAX SuperView, PowerPano, audio, live streaming, voice control and a front facing touch display. Its subscription service offers full access to the video and photo editing features in the new Quik desktop app and Quik mobile app. It offers mobile, desktop and Web applications that provide a media workflow for archiving, editing, multi-clip story creation, and sharing content on the fly. It also offers a lifestyle gear lineup that melds its signature design and versatility across a line of bags, backpacks and cases.</v>
    <v>930</v>
    <v>Nasdaq Stock Market</v>
    <v>XNAS</v>
    <v>XNAS</v>
    <v>3000 CLEARVIEW WAY, SAN MATEO, CA, 94402 US</v>
    <v>1.08</v>
    <v>Computers, Phones &amp; Household Electronics</v>
    <v>Stock</v>
    <v>45673.854164178127</v>
    <v>0</v>
    <v>1.05</v>
    <v>164046700</v>
    <v>GOPRO, INC</v>
    <v>GOPRO, INC</v>
    <v>1.06</v>
    <v>0</v>
    <v>1.06</v>
    <v>1.0649999999999999</v>
    <v>154761100</v>
    <v>GPRO</v>
    <v>GOPRO, INC (XNAS:GPRO)</v>
    <v>896088</v>
    <v>1561872</v>
    <v>2011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F600-D258-4A06-817C-411221231C5A}">
  <dimension ref="B4:L17"/>
  <sheetViews>
    <sheetView topLeftCell="D1" workbookViewId="0">
      <selection activeCell="F32" sqref="F32"/>
    </sheetView>
  </sheetViews>
  <sheetFormatPr defaultRowHeight="13.2" x14ac:dyDescent="0.25"/>
  <cols>
    <col min="1" max="1" width="8.88671875" style="6"/>
    <col min="2" max="2" width="22.44140625" style="6" customWidth="1"/>
    <col min="3" max="5" width="8.88671875" style="6"/>
    <col min="6" max="6" width="10.88671875" style="6" bestFit="1" customWidth="1"/>
    <col min="7" max="7" width="8.88671875" style="6"/>
    <col min="8" max="8" width="9.44140625" style="6" customWidth="1"/>
    <col min="9" max="16384" width="8.88671875" style="6"/>
  </cols>
  <sheetData>
    <row r="4" spans="5:12" x14ac:dyDescent="0.25">
      <c r="F4" s="6" t="e" vm="1">
        <v>#VALUE!</v>
      </c>
    </row>
    <row r="6" spans="5:12" x14ac:dyDescent="0.25">
      <c r="F6" s="6" t="s">
        <v>0</v>
      </c>
      <c r="G6" s="6" t="s">
        <v>16</v>
      </c>
      <c r="H6" s="6" t="s">
        <v>107</v>
      </c>
      <c r="I6" s="6" t="s">
        <v>111</v>
      </c>
    </row>
    <row r="7" spans="5:12" x14ac:dyDescent="0.25">
      <c r="E7" s="6" t="s">
        <v>1</v>
      </c>
      <c r="F7" s="13" cm="1">
        <f t="array" aca="1" ref="F7" ca="1">_FV(F4,"Price")</f>
        <v>1.0649999999999999</v>
      </c>
      <c r="G7" s="13" cm="1">
        <f t="array" aca="1" ref="G7" ca="1">_FV(F4,"Price")</f>
        <v>1.0649999999999999</v>
      </c>
      <c r="H7" s="13" cm="1">
        <f t="array" aca="1" ref="H7" ca="1">_FV(F4,"Price")</f>
        <v>1.0649999999999999</v>
      </c>
    </row>
    <row r="8" spans="5:12" x14ac:dyDescent="0.25">
      <c r="E8" s="6" t="s">
        <v>2</v>
      </c>
      <c r="F8" s="10" cm="1">
        <f t="array" aca="1" ref="F8" ca="1">_FV(F4,"Shares outstanding",TRUE)/1000</f>
        <v>154761.1</v>
      </c>
      <c r="G8" s="10" cm="1">
        <f t="array" aca="1" ref="G8" ca="1">_FV(F4,"Shares outstanding",TRUE)/1000</f>
        <v>154761.1</v>
      </c>
      <c r="H8" s="10" cm="1">
        <f t="array" aca="1" ref="H8" ca="1">_FV(F4,"Shares outstanding",TRUE)/1000</f>
        <v>154761.1</v>
      </c>
      <c r="J8" s="6" t="s">
        <v>117</v>
      </c>
    </row>
    <row r="9" spans="5:12" x14ac:dyDescent="0.25">
      <c r="E9" s="6" t="s">
        <v>3</v>
      </c>
      <c r="F9" s="10">
        <f ca="1">F8*F7</f>
        <v>164820.57149999999</v>
      </c>
      <c r="G9" s="10">
        <f ca="1">G8*G7</f>
        <v>164820.57149999999</v>
      </c>
      <c r="H9" s="10">
        <f ca="1">H8*H7</f>
        <v>164820.57149999999</v>
      </c>
      <c r="J9" s="6" t="s">
        <v>118</v>
      </c>
    </row>
    <row r="10" spans="5:12" x14ac:dyDescent="0.25">
      <c r="E10" s="6" t="s">
        <v>4</v>
      </c>
      <c r="F10" s="14">
        <f>222708+23867+91452+106266</f>
        <v>444293</v>
      </c>
      <c r="G10" s="10">
        <f>133658+68895</f>
        <v>202553</v>
      </c>
      <c r="H10" s="10">
        <f>133036+86337</f>
        <v>219373</v>
      </c>
      <c r="I10" s="10">
        <f>130195+133161</f>
        <v>263356</v>
      </c>
      <c r="J10" s="6" t="s">
        <v>118</v>
      </c>
      <c r="K10" s="6">
        <f ca="1">130195/H8</f>
        <v>0.84126437457474779</v>
      </c>
      <c r="L10" s="6" t="s">
        <v>110</v>
      </c>
    </row>
    <row r="11" spans="5:12" x14ac:dyDescent="0.25">
      <c r="E11" s="6" t="s">
        <v>5</v>
      </c>
      <c r="F11" s="10">
        <f>110049+10520+92615</f>
        <v>213184</v>
      </c>
      <c r="G11" s="10">
        <f>64022+92743</f>
        <v>156765</v>
      </c>
      <c r="H11" s="10">
        <f>65901+32898</f>
        <v>98799</v>
      </c>
      <c r="I11" s="10">
        <f>155387+9353</f>
        <v>164740</v>
      </c>
      <c r="J11" s="6" t="s">
        <v>118</v>
      </c>
    </row>
    <row r="12" spans="5:12" x14ac:dyDescent="0.25">
      <c r="E12" s="6" t="s">
        <v>6</v>
      </c>
      <c r="F12" s="10">
        <f ca="1">F11+F9-F10</f>
        <v>-66288.428500000038</v>
      </c>
      <c r="G12" s="10">
        <f ca="1">G11+G9-G10</f>
        <v>119032.57149999996</v>
      </c>
      <c r="H12" s="10">
        <f ca="1">H11+H9-H10</f>
        <v>44246.571499999962</v>
      </c>
      <c r="I12" s="10">
        <f ca="1">+I11+H9-I10</f>
        <v>66204.571499999962</v>
      </c>
      <c r="J12" s="6" t="s">
        <v>118</v>
      </c>
    </row>
    <row r="15" spans="5:12" s="15" customFormat="1" x14ac:dyDescent="0.25"/>
    <row r="17" spans="2:2" x14ac:dyDescent="0.25">
      <c r="B17" s="6" t="s">
        <v>116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3057-3870-4DFD-8E06-88FDDED23778}">
  <dimension ref="A1:ES114"/>
  <sheetViews>
    <sheetView tabSelected="1" zoomScaleNormal="100" workbookViewId="0">
      <pane xSplit="2" ySplit="2" topLeftCell="J3" activePane="bottomRight" state="frozen"/>
      <selection activeCell="F32" sqref="F32"/>
      <selection pane="topRight" activeCell="F32" sqref="F32"/>
      <selection pane="bottomLeft" activeCell="F32" sqref="F32"/>
      <selection pane="bottomRight" activeCell="O7" sqref="O7"/>
    </sheetView>
  </sheetViews>
  <sheetFormatPr defaultRowHeight="13.2" x14ac:dyDescent="0.25"/>
  <cols>
    <col min="1" max="1" width="5.44140625" style="6" bestFit="1" customWidth="1"/>
    <col min="2" max="2" width="22.44140625" style="6" customWidth="1"/>
    <col min="3" max="5" width="9" style="6" bestFit="1" customWidth="1"/>
    <col min="6" max="6" width="9.44140625" style="6" bestFit="1" customWidth="1"/>
    <col min="7" max="8" width="9" style="6" bestFit="1" customWidth="1"/>
    <col min="9" max="9" width="9.21875" style="6" customWidth="1"/>
    <col min="10" max="12" width="9" style="6" bestFit="1" customWidth="1"/>
    <col min="13" max="16" width="8.88671875" style="6"/>
    <col min="17" max="17" width="9" style="6" bestFit="1" customWidth="1"/>
    <col min="18" max="23" width="10" style="6" bestFit="1" customWidth="1"/>
    <col min="24" max="24" width="9" style="6" bestFit="1" customWidth="1"/>
    <col min="25" max="25" width="10" style="6" bestFit="1" customWidth="1"/>
    <col min="26" max="27" width="10.109375" style="6" bestFit="1" customWidth="1"/>
    <col min="28" max="148" width="9" style="6" bestFit="1" customWidth="1"/>
    <col min="149" max="16384" width="8.88671875" style="6"/>
  </cols>
  <sheetData>
    <row r="1" spans="1:149" x14ac:dyDescent="0.25">
      <c r="A1" s="5" t="s">
        <v>7</v>
      </c>
      <c r="H1" s="7">
        <v>45107</v>
      </c>
      <c r="I1" s="7">
        <v>45565</v>
      </c>
      <c r="L1" s="7">
        <v>45473</v>
      </c>
      <c r="M1" s="7">
        <v>45565</v>
      </c>
    </row>
    <row r="2" spans="1:149" x14ac:dyDescent="0.25">
      <c r="B2" s="6" t="s">
        <v>0</v>
      </c>
      <c r="C2" s="6" t="s">
        <v>8</v>
      </c>
      <c r="D2" s="6" t="s">
        <v>9</v>
      </c>
      <c r="E2" s="6" t="s">
        <v>10</v>
      </c>
      <c r="F2" s="6" t="s">
        <v>11</v>
      </c>
      <c r="G2" s="6" t="s">
        <v>12</v>
      </c>
      <c r="H2" s="6" t="s">
        <v>13</v>
      </c>
      <c r="I2" s="6" t="s">
        <v>14</v>
      </c>
      <c r="J2" s="6" t="s">
        <v>15</v>
      </c>
      <c r="K2" s="6" t="s">
        <v>16</v>
      </c>
      <c r="L2" s="6" t="s">
        <v>107</v>
      </c>
      <c r="M2" s="6" t="s">
        <v>111</v>
      </c>
      <c r="N2" s="6" t="s">
        <v>119</v>
      </c>
      <c r="Q2" s="6">
        <v>2013</v>
      </c>
      <c r="R2" s="6">
        <v>2014</v>
      </c>
      <c r="S2" s="6">
        <v>2015</v>
      </c>
      <c r="T2" s="6">
        <v>2016</v>
      </c>
      <c r="U2" s="6">
        <v>2017</v>
      </c>
      <c r="V2" s="6">
        <v>2018</v>
      </c>
      <c r="W2" s="6">
        <f>V2+1</f>
        <v>2019</v>
      </c>
      <c r="X2" s="6">
        <f t="shared" ref="X2:AF2" si="0">W2+1</f>
        <v>2020</v>
      </c>
      <c r="Y2" s="6">
        <f t="shared" si="0"/>
        <v>2021</v>
      </c>
      <c r="Z2" s="6">
        <f t="shared" si="0"/>
        <v>2022</v>
      </c>
      <c r="AA2" s="6">
        <f t="shared" si="0"/>
        <v>2023</v>
      </c>
      <c r="AB2" s="6">
        <f t="shared" si="0"/>
        <v>2024</v>
      </c>
      <c r="AC2" s="6">
        <f t="shared" si="0"/>
        <v>2025</v>
      </c>
      <c r="AD2" s="6">
        <f t="shared" si="0"/>
        <v>2026</v>
      </c>
      <c r="AE2" s="6">
        <f t="shared" si="0"/>
        <v>2027</v>
      </c>
      <c r="AF2" s="6">
        <f t="shared" si="0"/>
        <v>2028</v>
      </c>
      <c r="AG2" s="6">
        <f t="shared" ref="AG2" si="1">AF2+1</f>
        <v>2029</v>
      </c>
      <c r="AH2" s="6">
        <f t="shared" ref="AH2" si="2">AG2+1</f>
        <v>2030</v>
      </c>
      <c r="AI2" s="6">
        <f t="shared" ref="AI2" si="3">AH2+1</f>
        <v>2031</v>
      </c>
      <c r="AJ2" s="6">
        <f t="shared" ref="AJ2" si="4">AI2+1</f>
        <v>2032</v>
      </c>
      <c r="AK2" s="6">
        <f t="shared" ref="AK2" si="5">AJ2+1</f>
        <v>2033</v>
      </c>
      <c r="AL2" s="6">
        <f t="shared" ref="AL2" si="6">AK2+1</f>
        <v>2034</v>
      </c>
      <c r="AM2" s="6">
        <f t="shared" ref="AM2" si="7">AL2+1</f>
        <v>2035</v>
      </c>
      <c r="AN2" s="6">
        <f t="shared" ref="AN2" si="8">AM2+1</f>
        <v>2036</v>
      </c>
      <c r="AO2" s="6">
        <f t="shared" ref="AO2" si="9">AN2+1</f>
        <v>2037</v>
      </c>
      <c r="AP2" s="6">
        <f t="shared" ref="AP2" si="10">AO2+1</f>
        <v>2038</v>
      </c>
      <c r="AQ2" s="6">
        <f t="shared" ref="AQ2" si="11">AP2+1</f>
        <v>2039</v>
      </c>
      <c r="AR2" s="6">
        <f t="shared" ref="AR2" si="12">AQ2+1</f>
        <v>2040</v>
      </c>
      <c r="AS2" s="6">
        <f t="shared" ref="AS2" si="13">AR2+1</f>
        <v>2041</v>
      </c>
      <c r="AT2" s="6">
        <f t="shared" ref="AT2" si="14">AS2+1</f>
        <v>2042</v>
      </c>
      <c r="AU2" s="6">
        <f t="shared" ref="AU2" si="15">AT2+1</f>
        <v>2043</v>
      </c>
      <c r="AV2" s="6">
        <f t="shared" ref="AV2" si="16">AU2+1</f>
        <v>2044</v>
      </c>
      <c r="AW2" s="6">
        <f t="shared" ref="AW2" si="17">AV2+1</f>
        <v>2045</v>
      </c>
      <c r="AX2" s="6">
        <f t="shared" ref="AX2" si="18">AW2+1</f>
        <v>2046</v>
      </c>
      <c r="AY2" s="6">
        <f t="shared" ref="AY2" si="19">AX2+1</f>
        <v>2047</v>
      </c>
      <c r="AZ2" s="6">
        <f t="shared" ref="AZ2" si="20">AY2+1</f>
        <v>2048</v>
      </c>
      <c r="BA2" s="6">
        <f t="shared" ref="BA2" si="21">AZ2+1</f>
        <v>2049</v>
      </c>
      <c r="BB2" s="6">
        <f t="shared" ref="BB2" si="22">BA2+1</f>
        <v>2050</v>
      </c>
      <c r="BC2" s="6">
        <f t="shared" ref="BC2" si="23">BB2+1</f>
        <v>2051</v>
      </c>
      <c r="BD2" s="6">
        <f t="shared" ref="BD2" si="24">BC2+1</f>
        <v>2052</v>
      </c>
      <c r="BE2" s="6">
        <f t="shared" ref="BE2" si="25">BD2+1</f>
        <v>2053</v>
      </c>
      <c r="BF2" s="6">
        <f t="shared" ref="BF2" si="26">BE2+1</f>
        <v>2054</v>
      </c>
      <c r="BG2" s="6">
        <f t="shared" ref="BG2" si="27">BF2+1</f>
        <v>2055</v>
      </c>
      <c r="BH2" s="6">
        <f t="shared" ref="BH2" si="28">BG2+1</f>
        <v>2056</v>
      </c>
      <c r="BI2" s="6">
        <f t="shared" ref="BI2" si="29">BH2+1</f>
        <v>2057</v>
      </c>
      <c r="BJ2" s="6">
        <f t="shared" ref="BJ2" si="30">BI2+1</f>
        <v>2058</v>
      </c>
      <c r="BK2" s="6">
        <f t="shared" ref="BK2" si="31">BJ2+1</f>
        <v>2059</v>
      </c>
      <c r="BL2" s="6">
        <f t="shared" ref="BL2" si="32">BK2+1</f>
        <v>2060</v>
      </c>
      <c r="BM2" s="6">
        <f t="shared" ref="BM2" si="33">BL2+1</f>
        <v>2061</v>
      </c>
      <c r="BN2" s="6">
        <f t="shared" ref="BN2" si="34">BM2+1</f>
        <v>2062</v>
      </c>
      <c r="BO2" s="6">
        <f t="shared" ref="BO2" si="35">BN2+1</f>
        <v>2063</v>
      </c>
      <c r="BP2" s="6">
        <f t="shared" ref="BP2" si="36">BO2+1</f>
        <v>2064</v>
      </c>
      <c r="BQ2" s="6">
        <f t="shared" ref="BQ2" si="37">BP2+1</f>
        <v>2065</v>
      </c>
      <c r="BR2" s="6">
        <f t="shared" ref="BR2" si="38">BQ2+1</f>
        <v>2066</v>
      </c>
      <c r="BS2" s="6">
        <f t="shared" ref="BS2" si="39">BR2+1</f>
        <v>2067</v>
      </c>
      <c r="BT2" s="6">
        <f t="shared" ref="BT2" si="40">BS2+1</f>
        <v>2068</v>
      </c>
      <c r="BU2" s="6">
        <f t="shared" ref="BU2" si="41">BT2+1</f>
        <v>2069</v>
      </c>
      <c r="BV2" s="6">
        <f t="shared" ref="BV2" si="42">BU2+1</f>
        <v>2070</v>
      </c>
      <c r="BW2" s="6">
        <f t="shared" ref="BW2" si="43">BV2+1</f>
        <v>2071</v>
      </c>
      <c r="BX2" s="6">
        <f t="shared" ref="BX2" si="44">BW2+1</f>
        <v>2072</v>
      </c>
      <c r="BY2" s="6">
        <f t="shared" ref="BY2" si="45">BX2+1</f>
        <v>2073</v>
      </c>
      <c r="BZ2" s="6">
        <f t="shared" ref="BZ2" si="46">BY2+1</f>
        <v>2074</v>
      </c>
      <c r="CA2" s="6">
        <f t="shared" ref="CA2" si="47">BZ2+1</f>
        <v>2075</v>
      </c>
      <c r="CB2" s="6">
        <f t="shared" ref="CB2" si="48">CA2+1</f>
        <v>2076</v>
      </c>
      <c r="CC2" s="6">
        <f t="shared" ref="CC2" si="49">CB2+1</f>
        <v>2077</v>
      </c>
      <c r="CD2" s="6">
        <f t="shared" ref="CD2" si="50">CC2+1</f>
        <v>2078</v>
      </c>
      <c r="CE2" s="6">
        <f t="shared" ref="CE2" si="51">CD2+1</f>
        <v>2079</v>
      </c>
      <c r="CF2" s="6">
        <f t="shared" ref="CF2" si="52">CE2+1</f>
        <v>2080</v>
      </c>
      <c r="CG2" s="6">
        <f t="shared" ref="CG2" si="53">CF2+1</f>
        <v>2081</v>
      </c>
      <c r="CH2" s="6">
        <f t="shared" ref="CH2" si="54">CG2+1</f>
        <v>2082</v>
      </c>
      <c r="CI2" s="6">
        <f t="shared" ref="CI2" si="55">CH2+1</f>
        <v>2083</v>
      </c>
      <c r="CJ2" s="6">
        <f t="shared" ref="CJ2" si="56">CI2+1</f>
        <v>2084</v>
      </c>
      <c r="CK2" s="6">
        <f t="shared" ref="CK2" si="57">CJ2+1</f>
        <v>2085</v>
      </c>
      <c r="CL2" s="6">
        <f t="shared" ref="CL2" si="58">CK2+1</f>
        <v>2086</v>
      </c>
      <c r="CM2" s="6">
        <f t="shared" ref="CM2" si="59">CL2+1</f>
        <v>2087</v>
      </c>
      <c r="CN2" s="6">
        <f t="shared" ref="CN2" si="60">CM2+1</f>
        <v>2088</v>
      </c>
      <c r="CO2" s="6">
        <f t="shared" ref="CO2" si="61">CN2+1</f>
        <v>2089</v>
      </c>
      <c r="CP2" s="6">
        <f t="shared" ref="CP2" si="62">CO2+1</f>
        <v>2090</v>
      </c>
      <c r="CQ2" s="6">
        <f t="shared" ref="CQ2" si="63">CP2+1</f>
        <v>2091</v>
      </c>
      <c r="CR2" s="6">
        <f t="shared" ref="CR2" si="64">CQ2+1</f>
        <v>2092</v>
      </c>
      <c r="CS2" s="6">
        <f t="shared" ref="CS2" si="65">CR2+1</f>
        <v>2093</v>
      </c>
      <c r="CT2" s="6">
        <f t="shared" ref="CT2" si="66">CS2+1</f>
        <v>2094</v>
      </c>
      <c r="CU2" s="6">
        <f t="shared" ref="CU2" si="67">CT2+1</f>
        <v>2095</v>
      </c>
      <c r="CV2" s="6">
        <f t="shared" ref="CV2" si="68">CU2+1</f>
        <v>2096</v>
      </c>
      <c r="CW2" s="6">
        <f t="shared" ref="CW2" si="69">CV2+1</f>
        <v>2097</v>
      </c>
      <c r="CX2" s="6">
        <f t="shared" ref="CX2" si="70">CW2+1</f>
        <v>2098</v>
      </c>
      <c r="CY2" s="6">
        <f t="shared" ref="CY2" si="71">CX2+1</f>
        <v>2099</v>
      </c>
      <c r="CZ2" s="6">
        <f t="shared" ref="CZ2" si="72">CY2+1</f>
        <v>2100</v>
      </c>
      <c r="DA2" s="6">
        <f t="shared" ref="DA2" si="73">CZ2+1</f>
        <v>2101</v>
      </c>
      <c r="DB2" s="6">
        <f t="shared" ref="DB2" si="74">DA2+1</f>
        <v>2102</v>
      </c>
      <c r="DC2" s="6">
        <f t="shared" ref="DC2" si="75">DB2+1</f>
        <v>2103</v>
      </c>
      <c r="DD2" s="6">
        <f t="shared" ref="DD2" si="76">DC2+1</f>
        <v>2104</v>
      </c>
      <c r="DE2" s="6">
        <f t="shared" ref="DE2" si="77">DD2+1</f>
        <v>2105</v>
      </c>
      <c r="DF2" s="6">
        <f t="shared" ref="DF2" si="78">DE2+1</f>
        <v>2106</v>
      </c>
      <c r="DG2" s="6">
        <f t="shared" ref="DG2" si="79">DF2+1</f>
        <v>2107</v>
      </c>
      <c r="DH2" s="6">
        <f t="shared" ref="DH2" si="80">DG2+1</f>
        <v>2108</v>
      </c>
      <c r="DI2" s="6">
        <f t="shared" ref="DI2" si="81">DH2+1</f>
        <v>2109</v>
      </c>
      <c r="DJ2" s="6">
        <f t="shared" ref="DJ2" si="82">DI2+1</f>
        <v>2110</v>
      </c>
      <c r="DK2" s="6">
        <f t="shared" ref="DK2" si="83">DJ2+1</f>
        <v>2111</v>
      </c>
      <c r="DL2" s="6">
        <f t="shared" ref="DL2" si="84">DK2+1</f>
        <v>2112</v>
      </c>
      <c r="DM2" s="6">
        <f t="shared" ref="DM2" si="85">DL2+1</f>
        <v>2113</v>
      </c>
      <c r="DN2" s="6">
        <f t="shared" ref="DN2" si="86">DM2+1</f>
        <v>2114</v>
      </c>
      <c r="DO2" s="6">
        <f t="shared" ref="DO2" si="87">DN2+1</f>
        <v>2115</v>
      </c>
      <c r="DP2" s="6">
        <f t="shared" ref="DP2" si="88">DO2+1</f>
        <v>2116</v>
      </c>
      <c r="DQ2" s="6">
        <f t="shared" ref="DQ2" si="89">DP2+1</f>
        <v>2117</v>
      </c>
      <c r="DR2" s="6">
        <f t="shared" ref="DR2" si="90">DQ2+1</f>
        <v>2118</v>
      </c>
      <c r="DS2" s="6">
        <f t="shared" ref="DS2" si="91">DR2+1</f>
        <v>2119</v>
      </c>
      <c r="DT2" s="6">
        <f t="shared" ref="DT2" si="92">DS2+1</f>
        <v>2120</v>
      </c>
      <c r="DU2" s="6">
        <f t="shared" ref="DU2" si="93">DT2+1</f>
        <v>2121</v>
      </c>
      <c r="DV2" s="6">
        <f t="shared" ref="DV2" si="94">DU2+1</f>
        <v>2122</v>
      </c>
      <c r="DW2" s="6">
        <f t="shared" ref="DW2" si="95">DV2+1</f>
        <v>2123</v>
      </c>
      <c r="DX2" s="6">
        <f t="shared" ref="DX2" si="96">DW2+1</f>
        <v>2124</v>
      </c>
      <c r="DY2" s="6">
        <f t="shared" ref="DY2" si="97">DX2+1</f>
        <v>2125</v>
      </c>
      <c r="DZ2" s="6">
        <f t="shared" ref="DZ2" si="98">DY2+1</f>
        <v>2126</v>
      </c>
      <c r="EA2" s="6">
        <f t="shared" ref="EA2" si="99">DZ2+1</f>
        <v>2127</v>
      </c>
      <c r="EB2" s="6">
        <f t="shared" ref="EB2" si="100">EA2+1</f>
        <v>2128</v>
      </c>
      <c r="EC2" s="6">
        <f t="shared" ref="EC2" si="101">EB2+1</f>
        <v>2129</v>
      </c>
      <c r="ED2" s="6">
        <f t="shared" ref="ED2" si="102">EC2+1</f>
        <v>2130</v>
      </c>
      <c r="EE2" s="6">
        <f t="shared" ref="EE2" si="103">ED2+1</f>
        <v>2131</v>
      </c>
      <c r="EF2" s="6">
        <f t="shared" ref="EF2" si="104">EE2+1</f>
        <v>2132</v>
      </c>
      <c r="EG2" s="6">
        <f t="shared" ref="EG2" si="105">EF2+1</f>
        <v>2133</v>
      </c>
      <c r="EH2" s="6">
        <f t="shared" ref="EH2" si="106">EG2+1</f>
        <v>2134</v>
      </c>
      <c r="EI2" s="6">
        <f t="shared" ref="EI2" si="107">EH2+1</f>
        <v>2135</v>
      </c>
      <c r="EJ2" s="6">
        <f t="shared" ref="EJ2" si="108">EI2+1</f>
        <v>2136</v>
      </c>
      <c r="EK2" s="6">
        <f t="shared" ref="EK2" si="109">EJ2+1</f>
        <v>2137</v>
      </c>
      <c r="EL2" s="6">
        <f t="shared" ref="EL2" si="110">EK2+1</f>
        <v>2138</v>
      </c>
      <c r="EM2" s="6">
        <f t="shared" ref="EM2" si="111">EL2+1</f>
        <v>2139</v>
      </c>
      <c r="EN2" s="6">
        <f t="shared" ref="EN2" si="112">EM2+1</f>
        <v>2140</v>
      </c>
      <c r="EO2" s="6">
        <f t="shared" ref="EO2" si="113">EN2+1</f>
        <v>2141</v>
      </c>
      <c r="EP2" s="6">
        <f t="shared" ref="EP2" si="114">EO2+1</f>
        <v>2142</v>
      </c>
      <c r="EQ2" s="6">
        <f t="shared" ref="EQ2" si="115">EP2+1</f>
        <v>2143</v>
      </c>
      <c r="ER2" s="6">
        <f t="shared" ref="ER2" si="116">EQ2+1</f>
        <v>2144</v>
      </c>
    </row>
    <row r="3" spans="1:149" s="10" customFormat="1" x14ac:dyDescent="0.25">
      <c r="B3" s="10" t="s">
        <v>17</v>
      </c>
      <c r="G3" s="10">
        <v>462</v>
      </c>
      <c r="H3" s="10">
        <v>704</v>
      </c>
      <c r="I3" s="10">
        <v>923</v>
      </c>
      <c r="J3" s="10">
        <v>895</v>
      </c>
      <c r="K3" s="10">
        <v>393</v>
      </c>
      <c r="L3" s="10">
        <v>576</v>
      </c>
      <c r="M3" s="10">
        <v>881</v>
      </c>
      <c r="V3" s="10">
        <v>4337</v>
      </c>
      <c r="W3" s="10">
        <v>4260</v>
      </c>
      <c r="X3" s="10">
        <v>2820</v>
      </c>
      <c r="Y3" s="10">
        <v>3145</v>
      </c>
      <c r="Z3" s="10">
        <v>2810</v>
      </c>
      <c r="AA3" s="10">
        <v>2984</v>
      </c>
      <c r="AB3" s="10">
        <f>FORECAST(AB2,Y3:AA3,Y2:AA2)</f>
        <v>2818.666666666657</v>
      </c>
      <c r="AC3" s="10">
        <f>FORECAST(AC2,Z3:AB3,Z2:AB2)</f>
        <v>2879.555555555542</v>
      </c>
      <c r="AD3" s="10">
        <f>FORECAST(AD2,AA3:AC3,AA2:AC2)</f>
        <v>2789.6296296296205</v>
      </c>
      <c r="AE3" s="10">
        <f>FORECAST(AE2,AB3:AD3,AB2:AD2)</f>
        <v>2800.2469135802385</v>
      </c>
      <c r="AF3" s="10">
        <f>FORECAST(AF2,AC3:AE3,AC2:AE2)</f>
        <v>2743.8353909464931</v>
      </c>
      <c r="AG3" s="10">
        <f t="shared" ref="AG3:AH3" si="117">FORECAST(AG2,AD3:AF3,AD2:AF2)</f>
        <v>2732.1097393689925</v>
      </c>
      <c r="AH3" s="10">
        <f t="shared" si="117"/>
        <v>2690.5935070873238</v>
      </c>
    </row>
    <row r="4" spans="1:149" s="9" customFormat="1" x14ac:dyDescent="0.25">
      <c r="B4" s="9" t="s">
        <v>18</v>
      </c>
      <c r="C4" s="9" t="e">
        <f>+C3/#REF!-1</f>
        <v>#REF!</v>
      </c>
      <c r="D4" s="9" t="e">
        <f>+D3/#REF!-1</f>
        <v>#REF!</v>
      </c>
      <c r="E4" s="9" t="e">
        <f t="shared" ref="E4:K4" si="118">+E3/A3-1</f>
        <v>#DIV/0!</v>
      </c>
      <c r="F4" s="9" t="e">
        <f t="shared" si="118"/>
        <v>#VALUE!</v>
      </c>
      <c r="G4" s="9" t="e">
        <f t="shared" si="118"/>
        <v>#DIV/0!</v>
      </c>
      <c r="H4" s="9" t="e">
        <f t="shared" si="118"/>
        <v>#DIV/0!</v>
      </c>
      <c r="I4" s="9" t="e">
        <f t="shared" si="118"/>
        <v>#DIV/0!</v>
      </c>
      <c r="J4" s="9" t="e">
        <f t="shared" si="118"/>
        <v>#DIV/0!</v>
      </c>
      <c r="K4" s="9">
        <f t="shared" si="118"/>
        <v>-0.14935064935064934</v>
      </c>
      <c r="L4" s="9">
        <f>+L3/H3-1</f>
        <v>-0.18181818181818177</v>
      </c>
      <c r="M4" s="9">
        <f>+M3/I3-1</f>
        <v>-4.5503791982665187E-2</v>
      </c>
      <c r="V4" s="9" t="e">
        <f t="shared" ref="V4:AA4" si="119">V3/U3-1</f>
        <v>#DIV/0!</v>
      </c>
      <c r="W4" s="9">
        <f t="shared" si="119"/>
        <v>-1.7754207977864866E-2</v>
      </c>
      <c r="X4" s="9">
        <f t="shared" si="119"/>
        <v>-0.3380281690140845</v>
      </c>
      <c r="Y4" s="9">
        <f t="shared" si="119"/>
        <v>0.11524822695035453</v>
      </c>
      <c r="Z4" s="9">
        <f t="shared" si="119"/>
        <v>-0.10651828298887123</v>
      </c>
      <c r="AA4" s="9">
        <f t="shared" si="119"/>
        <v>6.1921708185053381E-2</v>
      </c>
    </row>
    <row r="5" spans="1:149" s="10" customFormat="1" x14ac:dyDescent="0.25">
      <c r="B5" s="10" t="s">
        <v>19</v>
      </c>
      <c r="G5" s="10">
        <v>378</v>
      </c>
      <c r="I5" s="10">
        <v>319</v>
      </c>
      <c r="J5" s="10">
        <v>280</v>
      </c>
      <c r="K5" s="10">
        <v>395</v>
      </c>
      <c r="M5" s="10">
        <v>294</v>
      </c>
      <c r="V5" s="10">
        <v>265</v>
      </c>
      <c r="W5" s="10">
        <v>280</v>
      </c>
      <c r="X5" s="10">
        <v>316</v>
      </c>
      <c r="Y5" s="10">
        <v>369</v>
      </c>
      <c r="Z5" s="10">
        <v>389</v>
      </c>
      <c r="AA5" s="10">
        <v>337</v>
      </c>
      <c r="AB5" s="10">
        <f>FORECAST(AB2,Y5:AA5,Y2:AA2)</f>
        <v>333</v>
      </c>
      <c r="AC5" s="10">
        <f>FORECAST(AC2,Z5:AB5,Z2:AB2)</f>
        <v>297</v>
      </c>
      <c r="AD5" s="10">
        <f>FORECAST(AD2,AA5:AC5,AA2:AC2)</f>
        <v>282.33333333333576</v>
      </c>
      <c r="AE5" s="10">
        <f>FORECAST(AE2,AB5:AD5,AB2:AD2)</f>
        <v>253.44444444443798</v>
      </c>
      <c r="AF5" s="10">
        <f>FORECAST(AF2,AC5:AE5,AC2:AE2)</f>
        <v>234.03703703702922</v>
      </c>
      <c r="AG5" s="10">
        <f t="shared" ref="AG5:AH5" si="120">FORECAST(AG2,AD5:AF5,AD2:AF2)</f>
        <v>208.30864197529445</v>
      </c>
      <c r="AH5" s="10">
        <f t="shared" si="120"/>
        <v>186.79423868311278</v>
      </c>
    </row>
    <row r="6" spans="1:149" s="10" customFormat="1" x14ac:dyDescent="0.25">
      <c r="B6" s="10" t="s">
        <v>20</v>
      </c>
      <c r="G6" s="9" t="e">
        <f t="shared" ref="G6" si="121">G5/F5-1</f>
        <v>#DIV/0!</v>
      </c>
      <c r="H6" s="9">
        <f t="shared" ref="H6" si="122">H5/G5-1</f>
        <v>-1</v>
      </c>
      <c r="I6" s="9" t="e">
        <f t="shared" ref="I6" si="123">I5/H5-1</f>
        <v>#DIV/0!</v>
      </c>
      <c r="J6" s="9">
        <f t="shared" ref="J6" si="124">J5/I5-1</f>
        <v>-0.12225705329153602</v>
      </c>
      <c r="K6" s="9">
        <f t="shared" ref="K6" si="125">K5/J5-1</f>
        <v>0.41071428571428581</v>
      </c>
      <c r="L6" s="9">
        <f t="shared" ref="L6" si="126">L5/K5-1</f>
        <v>-1</v>
      </c>
      <c r="M6" s="9" t="e">
        <f t="shared" ref="M6" si="127">M5/L5-1</f>
        <v>#DIV/0!</v>
      </c>
      <c r="V6" s="9" t="e">
        <f t="shared" ref="V6:AA6" si="128">V5/U5-1</f>
        <v>#DIV/0!</v>
      </c>
      <c r="W6" s="9">
        <f t="shared" si="128"/>
        <v>5.6603773584905648E-2</v>
      </c>
      <c r="X6" s="9">
        <f t="shared" si="128"/>
        <v>0.12857142857142856</v>
      </c>
      <c r="Y6" s="9">
        <f t="shared" si="128"/>
        <v>0.16772151898734178</v>
      </c>
      <c r="Z6" s="9">
        <f t="shared" si="128"/>
        <v>5.4200542005420127E-2</v>
      </c>
      <c r="AA6" s="9">
        <f t="shared" si="128"/>
        <v>-0.13367609254498714</v>
      </c>
    </row>
    <row r="7" spans="1:149" s="10" customFormat="1" x14ac:dyDescent="0.25">
      <c r="B7" s="10" t="s">
        <v>21</v>
      </c>
      <c r="G7" s="10">
        <v>79809</v>
      </c>
      <c r="H7" s="10">
        <v>165375</v>
      </c>
      <c r="K7" s="10">
        <v>106314</v>
      </c>
      <c r="L7" s="10">
        <v>137104</v>
      </c>
      <c r="M7" s="10">
        <v>207934</v>
      </c>
      <c r="V7" s="10">
        <v>1047696</v>
      </c>
      <c r="W7" s="10">
        <v>1053502</v>
      </c>
      <c r="X7" s="10">
        <v>609368</v>
      </c>
      <c r="Y7" s="10">
        <v>769019</v>
      </c>
      <c r="Z7" s="10">
        <v>682799</v>
      </c>
      <c r="AA7" s="10">
        <v>704217</v>
      </c>
    </row>
    <row r="8" spans="1:149" s="10" customFormat="1" x14ac:dyDescent="0.25">
      <c r="B8" s="10" t="s">
        <v>22</v>
      </c>
      <c r="G8" s="9">
        <f t="shared" ref="G8:H8" si="129">G7/G15</f>
        <v>0.45678228021978023</v>
      </c>
      <c r="H8" s="9">
        <f t="shared" si="129"/>
        <v>0.68614637789395072</v>
      </c>
      <c r="K8" s="9">
        <f t="shared" ref="K8:M8" si="130">K7/K15</f>
        <v>0.68382764409625074</v>
      </c>
      <c r="L8" s="9">
        <f t="shared" si="130"/>
        <v>0.73623163502019073</v>
      </c>
      <c r="M8" s="9">
        <f t="shared" si="130"/>
        <v>0.80315027539803319</v>
      </c>
      <c r="V8" s="9">
        <f t="shared" ref="V8:AA8" si="131">V7/V15</f>
        <v>0.91235935095707965</v>
      </c>
      <c r="W8" s="9">
        <f t="shared" si="131"/>
        <v>0.88184917603551161</v>
      </c>
      <c r="X8" s="9">
        <f t="shared" si="131"/>
        <v>0.68320542646522975</v>
      </c>
      <c r="Y8" s="9">
        <f t="shared" si="131"/>
        <v>0.66232847924870208</v>
      </c>
      <c r="Z8" s="9">
        <f t="shared" si="131"/>
        <v>0.6243926839505789</v>
      </c>
      <c r="AA8" s="9">
        <f t="shared" si="131"/>
        <v>0.70039355160180572</v>
      </c>
    </row>
    <row r="9" spans="1:149" s="10" customFormat="1" x14ac:dyDescent="0.25">
      <c r="B9" s="10" t="s">
        <v>23</v>
      </c>
      <c r="G9" s="10">
        <v>94911</v>
      </c>
      <c r="H9" s="10">
        <v>75645</v>
      </c>
      <c r="K9" s="10">
        <v>49155</v>
      </c>
      <c r="L9" s="10">
        <v>49120</v>
      </c>
      <c r="M9" s="10">
        <v>50964</v>
      </c>
      <c r="V9" s="10">
        <v>10641</v>
      </c>
      <c r="W9" s="10">
        <v>141149</v>
      </c>
      <c r="X9" s="10">
        <v>282557</v>
      </c>
      <c r="Y9" s="10">
        <v>392065</v>
      </c>
      <c r="Z9" s="10">
        <v>410742</v>
      </c>
      <c r="AA9" s="10">
        <v>301242</v>
      </c>
    </row>
    <row r="10" spans="1:149" s="10" customFormat="1" x14ac:dyDescent="0.25">
      <c r="B10" s="10" t="s">
        <v>24</v>
      </c>
      <c r="G10" s="9">
        <f t="shared" ref="G10:M10" si="132">G9/G15</f>
        <v>0.54321771978021982</v>
      </c>
      <c r="H10" s="9">
        <f t="shared" si="132"/>
        <v>0.31385362210604928</v>
      </c>
      <c r="I10" s="9">
        <f t="shared" si="132"/>
        <v>0</v>
      </c>
      <c r="J10" s="9">
        <f t="shared" si="132"/>
        <v>0</v>
      </c>
      <c r="K10" s="9">
        <f t="shared" si="132"/>
        <v>0.31617235590374931</v>
      </c>
      <c r="L10" s="9">
        <f t="shared" si="132"/>
        <v>0.26376836497980927</v>
      </c>
      <c r="M10" s="9">
        <f t="shared" si="132"/>
        <v>0.19684972460196679</v>
      </c>
      <c r="V10" s="9">
        <f t="shared" ref="V10:AA10" si="133">V9/V15</f>
        <v>9.266443561428396E-3</v>
      </c>
      <c r="W10" s="9">
        <f t="shared" si="133"/>
        <v>0.11815082396448838</v>
      </c>
      <c r="X10" s="9">
        <f t="shared" si="133"/>
        <v>0.31679457353477031</v>
      </c>
      <c r="Y10" s="9">
        <f t="shared" si="133"/>
        <v>0.33767152075129792</v>
      </c>
      <c r="Z10" s="9">
        <f t="shared" si="133"/>
        <v>0.3756073160494211</v>
      </c>
      <c r="AA10" s="9">
        <f t="shared" si="133"/>
        <v>0.29960644839819428</v>
      </c>
    </row>
    <row r="11" spans="1:149" s="10" customFormat="1" x14ac:dyDescent="0.25">
      <c r="B11" s="10" t="s">
        <v>25</v>
      </c>
      <c r="I11" s="10">
        <f>155387+9353</f>
        <v>164740</v>
      </c>
      <c r="K11" s="10">
        <v>2500</v>
      </c>
      <c r="L11" s="10">
        <v>2530</v>
      </c>
      <c r="M11" s="10">
        <v>2560</v>
      </c>
      <c r="Y11" s="9"/>
      <c r="Z11" s="9"/>
      <c r="AA11" s="9"/>
    </row>
    <row r="12" spans="1:149" s="9" customFormat="1" x14ac:dyDescent="0.25">
      <c r="B12" s="9" t="s">
        <v>114</v>
      </c>
      <c r="J12" s="10"/>
      <c r="K12" s="9" t="e">
        <f>+K11/J11-1</f>
        <v>#DIV/0!</v>
      </c>
      <c r="L12" s="9">
        <f>+L11/K11-1</f>
        <v>1.2000000000000011E-2</v>
      </c>
      <c r="M12" s="9">
        <f>+M11/L11-1</f>
        <v>1.1857707509881354E-2</v>
      </c>
    </row>
    <row r="13" spans="1:149" s="10" customFormat="1" x14ac:dyDescent="0.25"/>
    <row r="14" spans="1:149" s="10" customFormat="1" x14ac:dyDescent="0.25"/>
    <row r="15" spans="1:149" s="11" customFormat="1" x14ac:dyDescent="0.25">
      <c r="B15" s="11" t="s">
        <v>26</v>
      </c>
      <c r="C15" s="8">
        <v>216705</v>
      </c>
      <c r="D15" s="8">
        <v>250685</v>
      </c>
      <c r="E15" s="8">
        <v>305130</v>
      </c>
      <c r="F15" s="8"/>
      <c r="G15" s="8">
        <v>174720</v>
      </c>
      <c r="H15" s="8">
        <v>241020</v>
      </c>
      <c r="I15" s="8">
        <v>294299</v>
      </c>
      <c r="J15" s="8">
        <f>+AA15-SUM(G15:I15)</f>
        <v>295420</v>
      </c>
      <c r="K15" s="8">
        <v>155469</v>
      </c>
      <c r="L15" s="8">
        <v>186224</v>
      </c>
      <c r="M15" s="8">
        <v>258898</v>
      </c>
      <c r="N15" s="8"/>
      <c r="O15" s="8"/>
      <c r="P15" s="8"/>
      <c r="Q15" s="8">
        <v>985737</v>
      </c>
      <c r="R15" s="8">
        <v>1394205</v>
      </c>
      <c r="S15" s="8">
        <v>1619971</v>
      </c>
      <c r="T15" s="8">
        <v>1185481</v>
      </c>
      <c r="U15" s="8">
        <v>1179741</v>
      </c>
      <c r="V15" s="8">
        <v>1148337</v>
      </c>
      <c r="W15" s="8">
        <v>1194651</v>
      </c>
      <c r="X15" s="8">
        <v>891925</v>
      </c>
      <c r="Y15" s="8">
        <v>1161084</v>
      </c>
      <c r="Z15" s="8">
        <v>1093541</v>
      </c>
      <c r="AA15" s="8">
        <v>1005459</v>
      </c>
      <c r="AB15" s="8">
        <f>AB3*AB5</f>
        <v>938615.99999999674</v>
      </c>
      <c r="AC15" s="8">
        <f t="shared" ref="AC15:AH15" si="134">AC3*AC5</f>
        <v>855227.99999999593</v>
      </c>
      <c r="AD15" s="8">
        <f t="shared" si="134"/>
        <v>787605.43209876958</v>
      </c>
      <c r="AE15" s="8">
        <f t="shared" si="134"/>
        <v>709707.02331959561</v>
      </c>
      <c r="AF15" s="8">
        <f t="shared" si="134"/>
        <v>642159.10501445597</v>
      </c>
      <c r="AG15" s="8">
        <f t="shared" si="134"/>
        <v>569122.06953543052</v>
      </c>
      <c r="AH15" s="8">
        <f t="shared" si="134"/>
        <v>502587.36576210306</v>
      </c>
      <c r="AI15" s="8" t="s">
        <v>27</v>
      </c>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ES15" s="11" t="s">
        <v>28</v>
      </c>
    </row>
    <row r="16" spans="1:149" x14ac:dyDescent="0.25">
      <c r="B16" s="6" t="s">
        <v>29</v>
      </c>
      <c r="C16" s="10">
        <v>126229</v>
      </c>
      <c r="D16" s="10">
        <v>154681</v>
      </c>
      <c r="E16" s="10">
        <v>189085</v>
      </c>
      <c r="F16" s="10"/>
      <c r="G16" s="10">
        <v>122218</v>
      </c>
      <c r="H16" s="10">
        <v>165248</v>
      </c>
      <c r="I16" s="10">
        <v>200095</v>
      </c>
      <c r="J16" s="10">
        <f>+AA16-SUM(G16:I16)</f>
        <v>194325</v>
      </c>
      <c r="K16" s="10">
        <v>102431</v>
      </c>
      <c r="L16" s="10">
        <v>129514</v>
      </c>
      <c r="M16" s="10">
        <v>167052</v>
      </c>
      <c r="N16" s="10"/>
      <c r="O16" s="10"/>
      <c r="P16" s="10"/>
      <c r="Q16" s="10">
        <v>623953</v>
      </c>
      <c r="R16" s="10">
        <v>766970</v>
      </c>
      <c r="S16" s="10">
        <v>946757</v>
      </c>
      <c r="T16" s="10">
        <v>723561</v>
      </c>
      <c r="U16" s="10">
        <v>795211</v>
      </c>
      <c r="V16" s="10">
        <v>786903</v>
      </c>
      <c r="W16" s="10">
        <v>781862</v>
      </c>
      <c r="X16" s="10">
        <v>577411</v>
      </c>
      <c r="Y16" s="10">
        <v>683979</v>
      </c>
      <c r="Z16" s="10">
        <v>686713</v>
      </c>
      <c r="AA16" s="10">
        <v>681886</v>
      </c>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ES16" s="6" t="s">
        <v>28</v>
      </c>
    </row>
    <row r="17" spans="2:149" x14ac:dyDescent="0.25">
      <c r="B17" s="6" t="s">
        <v>30</v>
      </c>
      <c r="C17" s="10">
        <f>C15-C16</f>
        <v>90476</v>
      </c>
      <c r="D17" s="10">
        <f>D15-D16</f>
        <v>96004</v>
      </c>
      <c r="E17" s="10">
        <f>E15-E16</f>
        <v>116045</v>
      </c>
      <c r="F17" s="10"/>
      <c r="G17" s="10">
        <f t="shared" ref="G17:M17" si="135">G15-G16</f>
        <v>52502</v>
      </c>
      <c r="H17" s="10">
        <f t="shared" si="135"/>
        <v>75772</v>
      </c>
      <c r="I17" s="10">
        <f t="shared" si="135"/>
        <v>94204</v>
      </c>
      <c r="J17" s="10">
        <f t="shared" si="135"/>
        <v>101095</v>
      </c>
      <c r="K17" s="10">
        <f t="shared" si="135"/>
        <v>53038</v>
      </c>
      <c r="L17" s="10">
        <f t="shared" si="135"/>
        <v>56710</v>
      </c>
      <c r="M17" s="10">
        <f t="shared" si="135"/>
        <v>91846</v>
      </c>
      <c r="N17" s="10"/>
      <c r="O17" s="10"/>
      <c r="P17" s="10"/>
      <c r="Q17" s="10">
        <f t="shared" ref="Q17:AA17" si="136">Q15-Q16</f>
        <v>361784</v>
      </c>
      <c r="R17" s="10">
        <f t="shared" si="136"/>
        <v>627235</v>
      </c>
      <c r="S17" s="10">
        <f t="shared" si="136"/>
        <v>673214</v>
      </c>
      <c r="T17" s="10">
        <f t="shared" si="136"/>
        <v>461920</v>
      </c>
      <c r="U17" s="10">
        <f t="shared" si="136"/>
        <v>384530</v>
      </c>
      <c r="V17" s="10">
        <f t="shared" si="136"/>
        <v>361434</v>
      </c>
      <c r="W17" s="10">
        <f t="shared" si="136"/>
        <v>412789</v>
      </c>
      <c r="X17" s="10">
        <f t="shared" si="136"/>
        <v>314514</v>
      </c>
      <c r="Y17" s="10">
        <f t="shared" si="136"/>
        <v>477105</v>
      </c>
      <c r="Z17" s="10">
        <f t="shared" si="136"/>
        <v>406828</v>
      </c>
      <c r="AA17" s="10">
        <f t="shared" si="136"/>
        <v>323573</v>
      </c>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ES17" s="6" t="s">
        <v>28</v>
      </c>
    </row>
    <row r="18" spans="2:149" x14ac:dyDescent="0.25">
      <c r="B18" s="6" t="s">
        <v>31</v>
      </c>
      <c r="C18" s="10">
        <v>31598</v>
      </c>
      <c r="D18" s="10">
        <v>36218</v>
      </c>
      <c r="E18" s="10">
        <v>36043</v>
      </c>
      <c r="F18" s="10"/>
      <c r="G18" s="10">
        <v>38185</v>
      </c>
      <c r="H18" s="10">
        <v>41903</v>
      </c>
      <c r="I18" s="10">
        <v>41708</v>
      </c>
      <c r="J18" s="10">
        <f t="shared" ref="J18:J29" si="137">+AA18-SUM(G18:I18)</f>
        <v>43892</v>
      </c>
      <c r="K18" s="10">
        <v>44612</v>
      </c>
      <c r="L18" s="10">
        <v>46932</v>
      </c>
      <c r="M18" s="10">
        <v>44328</v>
      </c>
      <c r="N18" s="10"/>
      <c r="O18" s="10"/>
      <c r="P18" s="10"/>
      <c r="Q18" s="10">
        <v>73737</v>
      </c>
      <c r="R18" s="10">
        <v>151852</v>
      </c>
      <c r="S18" s="10">
        <v>241694</v>
      </c>
      <c r="T18" s="10">
        <v>358902</v>
      </c>
      <c r="U18" s="10">
        <v>229265</v>
      </c>
      <c r="V18" s="10">
        <v>167296</v>
      </c>
      <c r="W18" s="10">
        <v>142894</v>
      </c>
      <c r="X18" s="10">
        <v>131589</v>
      </c>
      <c r="Y18" s="10">
        <v>141494</v>
      </c>
      <c r="Z18" s="10">
        <v>139885</v>
      </c>
      <c r="AA18" s="10">
        <v>165688</v>
      </c>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ES18" s="6" t="s">
        <v>28</v>
      </c>
    </row>
    <row r="19" spans="2:149" x14ac:dyDescent="0.25">
      <c r="B19" s="6" t="s">
        <v>32</v>
      </c>
      <c r="C19" s="10">
        <v>35373</v>
      </c>
      <c r="D19" s="10">
        <v>39439</v>
      </c>
      <c r="E19" s="10">
        <v>41076</v>
      </c>
      <c r="F19" s="10"/>
      <c r="G19" s="10">
        <v>38055</v>
      </c>
      <c r="H19" s="10">
        <v>39906</v>
      </c>
      <c r="I19" s="10">
        <v>41254</v>
      </c>
      <c r="J19" s="10">
        <f t="shared" si="137"/>
        <v>50363</v>
      </c>
      <c r="K19" s="10">
        <v>35146</v>
      </c>
      <c r="L19" s="10">
        <v>41353</v>
      </c>
      <c r="M19" s="10">
        <v>40686</v>
      </c>
      <c r="N19" s="10"/>
      <c r="O19" s="10"/>
      <c r="P19" s="10"/>
      <c r="Q19" s="10">
        <v>157771</v>
      </c>
      <c r="R19" s="10">
        <v>194377</v>
      </c>
      <c r="S19" s="10">
        <v>268939</v>
      </c>
      <c r="T19" s="10">
        <v>368620</v>
      </c>
      <c r="U19" s="10">
        <v>236581</v>
      </c>
      <c r="V19" s="10">
        <v>222096</v>
      </c>
      <c r="W19" s="10">
        <v>206431</v>
      </c>
      <c r="X19" s="10">
        <v>151380</v>
      </c>
      <c r="Y19" s="10">
        <v>156694</v>
      </c>
      <c r="Z19" s="10">
        <v>166967</v>
      </c>
      <c r="AA19" s="10">
        <v>169578</v>
      </c>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ES19" s="6" t="s">
        <v>28</v>
      </c>
    </row>
    <row r="20" spans="2:149" x14ac:dyDescent="0.25">
      <c r="B20" s="6" t="s">
        <v>33</v>
      </c>
      <c r="C20" s="10">
        <v>15343</v>
      </c>
      <c r="D20" s="10">
        <v>15692</v>
      </c>
      <c r="E20" s="10">
        <v>14495</v>
      </c>
      <c r="F20" s="10"/>
      <c r="G20" s="10">
        <v>16076</v>
      </c>
      <c r="H20" s="10">
        <v>16457</v>
      </c>
      <c r="I20" s="10">
        <v>15029</v>
      </c>
      <c r="J20" s="10">
        <f t="shared" si="137"/>
        <v>16208</v>
      </c>
      <c r="K20" s="10">
        <v>14693</v>
      </c>
      <c r="L20" s="10">
        <v>14934</v>
      </c>
      <c r="M20" s="10">
        <v>14843</v>
      </c>
      <c r="N20" s="10"/>
      <c r="O20" s="10"/>
      <c r="P20" s="10"/>
      <c r="Q20" s="10">
        <v>31573</v>
      </c>
      <c r="R20" s="10">
        <v>93971</v>
      </c>
      <c r="S20" s="10">
        <v>107833</v>
      </c>
      <c r="T20" s="10">
        <v>107367</v>
      </c>
      <c r="U20" s="10">
        <v>82144</v>
      </c>
      <c r="V20" s="10">
        <v>66004</v>
      </c>
      <c r="W20" s="10">
        <v>65797</v>
      </c>
      <c r="X20" s="10">
        <v>68364</v>
      </c>
      <c r="Y20" s="10">
        <v>65701</v>
      </c>
      <c r="Z20" s="10">
        <v>61021</v>
      </c>
      <c r="AA20" s="10">
        <v>63770</v>
      </c>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ES20" s="6" t="s">
        <v>28</v>
      </c>
    </row>
    <row r="21" spans="2:149" x14ac:dyDescent="0.25">
      <c r="B21" s="6" t="s">
        <v>34</v>
      </c>
      <c r="C21" s="10">
        <f>SUM(C18:C20)</f>
        <v>82314</v>
      </c>
      <c r="D21" s="10">
        <f>SUM(D18:D20)</f>
        <v>91349</v>
      </c>
      <c r="E21" s="10">
        <f>SUM(E18:E20)</f>
        <v>91614</v>
      </c>
      <c r="F21" s="10"/>
      <c r="G21" s="10">
        <f t="shared" ref="G21:M21" si="138">SUM(G18:G20)</f>
        <v>92316</v>
      </c>
      <c r="H21" s="10">
        <f t="shared" si="138"/>
        <v>98266</v>
      </c>
      <c r="I21" s="10">
        <f t="shared" si="138"/>
        <v>97991</v>
      </c>
      <c r="J21" s="10">
        <f t="shared" si="138"/>
        <v>110463</v>
      </c>
      <c r="K21" s="10">
        <f t="shared" si="138"/>
        <v>94451</v>
      </c>
      <c r="L21" s="10">
        <f t="shared" si="138"/>
        <v>103219</v>
      </c>
      <c r="M21" s="10">
        <f t="shared" si="138"/>
        <v>99857</v>
      </c>
      <c r="N21" s="10"/>
      <c r="O21" s="10"/>
      <c r="P21" s="10"/>
      <c r="Q21" s="10">
        <f t="shared" ref="Q21:AA21" si="139">SUM(Q18:Q20)</f>
        <v>263081</v>
      </c>
      <c r="R21" s="10">
        <f t="shared" si="139"/>
        <v>440200</v>
      </c>
      <c r="S21" s="10">
        <f t="shared" si="139"/>
        <v>618466</v>
      </c>
      <c r="T21" s="10">
        <f t="shared" si="139"/>
        <v>834889</v>
      </c>
      <c r="U21" s="10">
        <f t="shared" si="139"/>
        <v>547990</v>
      </c>
      <c r="V21" s="10">
        <f t="shared" si="139"/>
        <v>455396</v>
      </c>
      <c r="W21" s="10">
        <f t="shared" si="139"/>
        <v>415122</v>
      </c>
      <c r="X21" s="10">
        <f t="shared" si="139"/>
        <v>351333</v>
      </c>
      <c r="Y21" s="10">
        <f t="shared" si="139"/>
        <v>363889</v>
      </c>
      <c r="Z21" s="10">
        <f t="shared" si="139"/>
        <v>367873</v>
      </c>
      <c r="AA21" s="10">
        <f t="shared" si="139"/>
        <v>399036</v>
      </c>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ES21" s="6" t="s">
        <v>28</v>
      </c>
    </row>
    <row r="22" spans="2:149" x14ac:dyDescent="0.25">
      <c r="B22" s="6" t="s">
        <v>35</v>
      </c>
      <c r="C22" s="10">
        <f>C17-C21</f>
        <v>8162</v>
      </c>
      <c r="D22" s="10">
        <f>D17-D21</f>
        <v>4655</v>
      </c>
      <c r="E22" s="10">
        <f>E17-E21</f>
        <v>24431</v>
      </c>
      <c r="F22" s="10"/>
      <c r="G22" s="10">
        <f t="shared" ref="G22:M22" si="140">G17-G21</f>
        <v>-39814</v>
      </c>
      <c r="H22" s="10">
        <f t="shared" si="140"/>
        <v>-22494</v>
      </c>
      <c r="I22" s="10">
        <f t="shared" si="140"/>
        <v>-3787</v>
      </c>
      <c r="J22" s="10">
        <f t="shared" si="140"/>
        <v>-9368</v>
      </c>
      <c r="K22" s="10">
        <f t="shared" si="140"/>
        <v>-41413</v>
      </c>
      <c r="L22" s="10">
        <f t="shared" si="140"/>
        <v>-46509</v>
      </c>
      <c r="M22" s="10">
        <f t="shared" si="140"/>
        <v>-8011</v>
      </c>
      <c r="N22" s="10"/>
      <c r="O22" s="10"/>
      <c r="P22" s="10"/>
      <c r="Q22" s="10">
        <f t="shared" ref="Q22:AA22" si="141">Q17-Q21</f>
        <v>98703</v>
      </c>
      <c r="R22" s="10">
        <f t="shared" si="141"/>
        <v>187035</v>
      </c>
      <c r="S22" s="10">
        <f t="shared" si="141"/>
        <v>54748</v>
      </c>
      <c r="T22" s="10">
        <f t="shared" si="141"/>
        <v>-372969</v>
      </c>
      <c r="U22" s="10">
        <f t="shared" si="141"/>
        <v>-163460</v>
      </c>
      <c r="V22" s="10">
        <f t="shared" si="141"/>
        <v>-93962</v>
      </c>
      <c r="W22" s="10">
        <f t="shared" si="141"/>
        <v>-2333</v>
      </c>
      <c r="X22" s="10">
        <f t="shared" si="141"/>
        <v>-36819</v>
      </c>
      <c r="Y22" s="10">
        <f t="shared" si="141"/>
        <v>113216</v>
      </c>
      <c r="Z22" s="10">
        <f t="shared" si="141"/>
        <v>38955</v>
      </c>
      <c r="AA22" s="10">
        <f t="shared" si="141"/>
        <v>-75463</v>
      </c>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ES22" s="6" t="s">
        <v>28</v>
      </c>
    </row>
    <row r="23" spans="2:149" x14ac:dyDescent="0.25">
      <c r="B23" s="6" t="s">
        <v>36</v>
      </c>
      <c r="C23" s="10">
        <v>-2209</v>
      </c>
      <c r="D23" s="10">
        <v>-1538</v>
      </c>
      <c r="E23" s="10">
        <v>-1185</v>
      </c>
      <c r="F23" s="10"/>
      <c r="G23" s="10">
        <v>-1153</v>
      </c>
      <c r="H23" s="10">
        <v>-1139</v>
      </c>
      <c r="I23" s="10">
        <v>-1171</v>
      </c>
      <c r="J23" s="10">
        <f t="shared" si="137"/>
        <v>-1236</v>
      </c>
      <c r="K23" s="10">
        <v>-674</v>
      </c>
      <c r="L23" s="10">
        <v>-790</v>
      </c>
      <c r="M23" s="10">
        <v>-808</v>
      </c>
      <c r="N23" s="10"/>
      <c r="O23" s="10"/>
      <c r="P23" s="10"/>
      <c r="Q23" s="10" t="s">
        <v>37</v>
      </c>
      <c r="R23" s="10" t="s">
        <v>37</v>
      </c>
      <c r="S23" s="10" t="s">
        <v>37</v>
      </c>
      <c r="T23" s="10">
        <v>-2992</v>
      </c>
      <c r="U23" s="10">
        <v>-13660</v>
      </c>
      <c r="V23" s="10">
        <v>-18683</v>
      </c>
      <c r="W23" s="10">
        <v>-19229</v>
      </c>
      <c r="X23" s="10">
        <v>-20257</v>
      </c>
      <c r="Y23" s="10">
        <v>-22940</v>
      </c>
      <c r="Z23" s="10">
        <v>-6242</v>
      </c>
      <c r="AA23" s="10">
        <v>-4699</v>
      </c>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ES23" s="6" t="s">
        <v>28</v>
      </c>
    </row>
    <row r="24" spans="2:149" x14ac:dyDescent="0.25">
      <c r="B24" s="6" t="s">
        <v>38</v>
      </c>
      <c r="C24" s="10">
        <v>-319</v>
      </c>
      <c r="D24" s="10">
        <v>-488</v>
      </c>
      <c r="E24" s="10">
        <v>284</v>
      </c>
      <c r="F24" s="10"/>
      <c r="G24" s="10">
        <v>2845</v>
      </c>
      <c r="H24" s="10">
        <v>2423</v>
      </c>
      <c r="I24" s="10">
        <v>1963</v>
      </c>
      <c r="J24" s="10">
        <f t="shared" si="137"/>
        <v>5198</v>
      </c>
      <c r="K24" s="10">
        <v>1208</v>
      </c>
      <c r="L24" s="10">
        <v>811</v>
      </c>
      <c r="M24" s="10">
        <v>2691</v>
      </c>
      <c r="N24" s="10"/>
      <c r="O24" s="10"/>
      <c r="P24" s="10"/>
      <c r="Q24" s="10">
        <v>-7374</v>
      </c>
      <c r="R24" s="10">
        <v>-6060</v>
      </c>
      <c r="S24" s="10">
        <v>-2163</v>
      </c>
      <c r="T24" s="10">
        <v>787</v>
      </c>
      <c r="U24" s="10">
        <v>733</v>
      </c>
      <c r="V24" s="10">
        <v>4970</v>
      </c>
      <c r="W24" s="10">
        <v>2492</v>
      </c>
      <c r="X24" s="10">
        <v>-4881</v>
      </c>
      <c r="Y24" s="10">
        <v>-176</v>
      </c>
      <c r="Z24" s="10">
        <v>1740</v>
      </c>
      <c r="AA24" s="10">
        <v>12429</v>
      </c>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ES24" s="6" t="s">
        <v>28</v>
      </c>
    </row>
    <row r="25" spans="2:149" x14ac:dyDescent="0.25">
      <c r="B25" s="6" t="s">
        <v>39</v>
      </c>
      <c r="C25" s="10">
        <f>SUM(C23:C24)</f>
        <v>-2528</v>
      </c>
      <c r="D25" s="10">
        <f>SUM(D23:D24)</f>
        <v>-2026</v>
      </c>
      <c r="E25" s="10">
        <f>SUM(E23:E24)</f>
        <v>-901</v>
      </c>
      <c r="F25" s="10"/>
      <c r="G25" s="10">
        <f t="shared" ref="G25:M25" si="142">SUM(G23:G24)</f>
        <v>1692</v>
      </c>
      <c r="H25" s="10">
        <f t="shared" si="142"/>
        <v>1284</v>
      </c>
      <c r="I25" s="10">
        <f t="shared" si="142"/>
        <v>792</v>
      </c>
      <c r="J25" s="10">
        <f t="shared" si="142"/>
        <v>3962</v>
      </c>
      <c r="K25" s="10">
        <f t="shared" si="142"/>
        <v>534</v>
      </c>
      <c r="L25" s="10">
        <f t="shared" si="142"/>
        <v>21</v>
      </c>
      <c r="M25" s="10">
        <f t="shared" si="142"/>
        <v>1883</v>
      </c>
      <c r="N25" s="10"/>
      <c r="O25" s="10"/>
      <c r="P25" s="10"/>
      <c r="Q25" s="10">
        <f t="shared" ref="Q25:AA25" si="143">SUM(Q23:Q24)</f>
        <v>-7374</v>
      </c>
      <c r="R25" s="10">
        <f t="shared" si="143"/>
        <v>-6060</v>
      </c>
      <c r="S25" s="10">
        <f t="shared" si="143"/>
        <v>-2163</v>
      </c>
      <c r="T25" s="10">
        <f t="shared" si="143"/>
        <v>-2205</v>
      </c>
      <c r="U25" s="10">
        <f t="shared" si="143"/>
        <v>-12927</v>
      </c>
      <c r="V25" s="10">
        <f t="shared" si="143"/>
        <v>-13713</v>
      </c>
      <c r="W25" s="10">
        <f t="shared" si="143"/>
        <v>-16737</v>
      </c>
      <c r="X25" s="10">
        <f t="shared" si="143"/>
        <v>-25138</v>
      </c>
      <c r="Y25" s="10">
        <f t="shared" si="143"/>
        <v>-23116</v>
      </c>
      <c r="Z25" s="10">
        <f t="shared" si="143"/>
        <v>-4502</v>
      </c>
      <c r="AA25" s="10">
        <f t="shared" si="143"/>
        <v>7730</v>
      </c>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ES25" s="6" t="s">
        <v>28</v>
      </c>
    </row>
    <row r="26" spans="2:149" x14ac:dyDescent="0.25">
      <c r="B26" s="6" t="s">
        <v>40</v>
      </c>
      <c r="C26" s="10">
        <f>+C25+C22</f>
        <v>5634</v>
      </c>
      <c r="D26" s="10">
        <v>2629</v>
      </c>
      <c r="E26" s="10">
        <v>23530</v>
      </c>
      <c r="F26" s="10"/>
      <c r="G26" s="10">
        <f t="shared" ref="G26:M26" si="144">G25+G22</f>
        <v>-38122</v>
      </c>
      <c r="H26" s="10">
        <f t="shared" si="144"/>
        <v>-21210</v>
      </c>
      <c r="I26" s="10">
        <f t="shared" si="144"/>
        <v>-2995</v>
      </c>
      <c r="J26" s="10">
        <f t="shared" si="144"/>
        <v>-5406</v>
      </c>
      <c r="K26" s="10">
        <f t="shared" si="144"/>
        <v>-40879</v>
      </c>
      <c r="L26" s="10">
        <f t="shared" si="144"/>
        <v>-46488</v>
      </c>
      <c r="M26" s="10">
        <f t="shared" si="144"/>
        <v>-6128</v>
      </c>
      <c r="N26" s="10"/>
      <c r="O26" s="10"/>
      <c r="P26" s="10"/>
      <c r="Q26" s="10">
        <f t="shared" ref="Q26:AA26" si="145">Q25+Q22</f>
        <v>91329</v>
      </c>
      <c r="R26" s="10">
        <f t="shared" si="145"/>
        <v>180975</v>
      </c>
      <c r="S26" s="10">
        <f t="shared" si="145"/>
        <v>52585</v>
      </c>
      <c r="T26" s="10">
        <f t="shared" si="145"/>
        <v>-375174</v>
      </c>
      <c r="U26" s="10">
        <f t="shared" si="145"/>
        <v>-176387</v>
      </c>
      <c r="V26" s="10">
        <f t="shared" si="145"/>
        <v>-107675</v>
      </c>
      <c r="W26" s="10">
        <f t="shared" si="145"/>
        <v>-19070</v>
      </c>
      <c r="X26" s="10">
        <f t="shared" si="145"/>
        <v>-61957</v>
      </c>
      <c r="Y26" s="10">
        <f t="shared" si="145"/>
        <v>90100</v>
      </c>
      <c r="Z26" s="10">
        <f t="shared" si="145"/>
        <v>34453</v>
      </c>
      <c r="AA26" s="10">
        <f t="shared" si="145"/>
        <v>-67733</v>
      </c>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ES26" s="6" t="s">
        <v>28</v>
      </c>
    </row>
    <row r="27" spans="2:149" x14ac:dyDescent="0.25">
      <c r="B27" s="6" t="s">
        <v>41</v>
      </c>
      <c r="C27" s="10">
        <v>-51</v>
      </c>
      <c r="D27" s="10">
        <v>110</v>
      </c>
      <c r="E27" s="10">
        <v>5960</v>
      </c>
      <c r="F27" s="10"/>
      <c r="G27" s="10">
        <v>-8253</v>
      </c>
      <c r="H27" s="10">
        <v>-3998</v>
      </c>
      <c r="I27" s="10">
        <v>689</v>
      </c>
      <c r="J27" s="10">
        <f t="shared" si="137"/>
        <v>-2988</v>
      </c>
      <c r="K27" s="10">
        <v>298209</v>
      </c>
      <c r="L27" s="10">
        <v>1333</v>
      </c>
      <c r="M27" s="10">
        <v>2083</v>
      </c>
      <c r="N27" s="10"/>
      <c r="O27" s="10"/>
      <c r="P27" s="10"/>
      <c r="Q27" s="10">
        <v>30751</v>
      </c>
      <c r="R27" s="10">
        <v>52887</v>
      </c>
      <c r="S27" s="10">
        <v>16454</v>
      </c>
      <c r="T27" s="10">
        <v>43829</v>
      </c>
      <c r="U27" s="10">
        <v>6486</v>
      </c>
      <c r="V27" s="10">
        <v>1359</v>
      </c>
      <c r="W27" s="10">
        <v>-4428</v>
      </c>
      <c r="X27" s="10">
        <v>4826</v>
      </c>
      <c r="Y27" s="10">
        <v>-281071</v>
      </c>
      <c r="Z27" s="10">
        <v>5606</v>
      </c>
      <c r="AA27" s="10">
        <v>-14550</v>
      </c>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ES27" s="6" t="s">
        <v>28</v>
      </c>
    </row>
    <row r="28" spans="2:149" x14ac:dyDescent="0.25">
      <c r="B28" s="6" t="s">
        <v>42</v>
      </c>
      <c r="C28" s="10">
        <f>C26-C27</f>
        <v>5685</v>
      </c>
      <c r="D28" s="10">
        <f>D26-D27</f>
        <v>2519</v>
      </c>
      <c r="E28" s="10">
        <f>E26-E27</f>
        <v>17570</v>
      </c>
      <c r="F28" s="10"/>
      <c r="G28" s="10">
        <f t="shared" ref="G28:M28" si="146">G26-G27</f>
        <v>-29869</v>
      </c>
      <c r="H28" s="10">
        <f t="shared" si="146"/>
        <v>-17212</v>
      </c>
      <c r="I28" s="10">
        <f t="shared" si="146"/>
        <v>-3684</v>
      </c>
      <c r="J28" s="10">
        <f t="shared" si="146"/>
        <v>-2418</v>
      </c>
      <c r="K28" s="10">
        <f t="shared" si="146"/>
        <v>-339088</v>
      </c>
      <c r="L28" s="10">
        <f t="shared" si="146"/>
        <v>-47821</v>
      </c>
      <c r="M28" s="10">
        <f t="shared" si="146"/>
        <v>-8211</v>
      </c>
      <c r="N28" s="10"/>
      <c r="O28" s="10"/>
      <c r="P28" s="10"/>
      <c r="Q28" s="10">
        <f t="shared" ref="Q28:AA28" si="147">Q26-Q27</f>
        <v>60578</v>
      </c>
      <c r="R28" s="10">
        <f t="shared" si="147"/>
        <v>128088</v>
      </c>
      <c r="S28" s="10">
        <f t="shared" si="147"/>
        <v>36131</v>
      </c>
      <c r="T28" s="10">
        <f t="shared" si="147"/>
        <v>-419003</v>
      </c>
      <c r="U28" s="10">
        <f t="shared" si="147"/>
        <v>-182873</v>
      </c>
      <c r="V28" s="10">
        <f t="shared" si="147"/>
        <v>-109034</v>
      </c>
      <c r="W28" s="10">
        <f t="shared" si="147"/>
        <v>-14642</v>
      </c>
      <c r="X28" s="10">
        <f t="shared" si="147"/>
        <v>-66783</v>
      </c>
      <c r="Y28" s="10">
        <f t="shared" si="147"/>
        <v>371171</v>
      </c>
      <c r="Z28" s="10">
        <f t="shared" si="147"/>
        <v>28847</v>
      </c>
      <c r="AA28" s="10">
        <f t="shared" si="147"/>
        <v>-53183</v>
      </c>
      <c r="AB28" s="10">
        <v>20000</v>
      </c>
      <c r="AC28" s="10">
        <f>AB28*(1+$AF$38)</f>
        <v>20000</v>
      </c>
      <c r="AD28" s="10">
        <f t="shared" ref="AD28:CO28" si="148">AC28*(1+$AF$38)</f>
        <v>20000</v>
      </c>
      <c r="AE28" s="10">
        <f t="shared" si="148"/>
        <v>20000</v>
      </c>
      <c r="AF28" s="10">
        <f t="shared" si="148"/>
        <v>20000</v>
      </c>
      <c r="AG28" s="10">
        <f t="shared" si="148"/>
        <v>20000</v>
      </c>
      <c r="AH28" s="10">
        <f t="shared" si="148"/>
        <v>20000</v>
      </c>
      <c r="AI28" s="10">
        <f t="shared" si="148"/>
        <v>20000</v>
      </c>
      <c r="AJ28" s="10">
        <f t="shared" si="148"/>
        <v>20000</v>
      </c>
      <c r="AK28" s="10">
        <f t="shared" si="148"/>
        <v>20000</v>
      </c>
      <c r="AL28" s="10">
        <f t="shared" si="148"/>
        <v>20000</v>
      </c>
      <c r="AM28" s="10">
        <f t="shared" si="148"/>
        <v>20000</v>
      </c>
      <c r="AN28" s="10">
        <f t="shared" si="148"/>
        <v>20000</v>
      </c>
      <c r="AO28" s="10">
        <f t="shared" si="148"/>
        <v>20000</v>
      </c>
      <c r="AP28" s="10">
        <f t="shared" si="148"/>
        <v>20000</v>
      </c>
      <c r="AQ28" s="10">
        <f t="shared" si="148"/>
        <v>20000</v>
      </c>
      <c r="AR28" s="10">
        <f t="shared" si="148"/>
        <v>20000</v>
      </c>
      <c r="AS28" s="10">
        <f t="shared" si="148"/>
        <v>20000</v>
      </c>
      <c r="AT28" s="10">
        <f t="shared" si="148"/>
        <v>20000</v>
      </c>
      <c r="AU28" s="10">
        <f t="shared" si="148"/>
        <v>20000</v>
      </c>
      <c r="AV28" s="10">
        <f t="shared" si="148"/>
        <v>20000</v>
      </c>
      <c r="AW28" s="10">
        <f t="shared" si="148"/>
        <v>20000</v>
      </c>
      <c r="AX28" s="10">
        <f t="shared" si="148"/>
        <v>20000</v>
      </c>
      <c r="AY28" s="10">
        <f t="shared" si="148"/>
        <v>20000</v>
      </c>
      <c r="AZ28" s="10">
        <f t="shared" si="148"/>
        <v>20000</v>
      </c>
      <c r="BA28" s="10">
        <f t="shared" si="148"/>
        <v>20000</v>
      </c>
      <c r="BB28" s="10">
        <f t="shared" si="148"/>
        <v>20000</v>
      </c>
      <c r="BC28" s="10">
        <f t="shared" si="148"/>
        <v>20000</v>
      </c>
      <c r="BD28" s="10">
        <f t="shared" si="148"/>
        <v>20000</v>
      </c>
      <c r="BE28" s="10">
        <f t="shared" si="148"/>
        <v>20000</v>
      </c>
      <c r="BF28" s="10">
        <f t="shared" si="148"/>
        <v>20000</v>
      </c>
      <c r="BG28" s="10">
        <f t="shared" si="148"/>
        <v>20000</v>
      </c>
      <c r="BH28" s="10">
        <f t="shared" si="148"/>
        <v>20000</v>
      </c>
      <c r="BI28" s="10">
        <f t="shared" si="148"/>
        <v>20000</v>
      </c>
      <c r="BJ28" s="10">
        <f t="shared" si="148"/>
        <v>20000</v>
      </c>
      <c r="BK28" s="10">
        <f t="shared" si="148"/>
        <v>20000</v>
      </c>
      <c r="BL28" s="10">
        <f t="shared" si="148"/>
        <v>20000</v>
      </c>
      <c r="BM28" s="10">
        <f t="shared" si="148"/>
        <v>20000</v>
      </c>
      <c r="BN28" s="10">
        <f t="shared" si="148"/>
        <v>20000</v>
      </c>
      <c r="BO28" s="10">
        <f t="shared" si="148"/>
        <v>20000</v>
      </c>
      <c r="BP28" s="10">
        <f t="shared" si="148"/>
        <v>20000</v>
      </c>
      <c r="BQ28" s="10">
        <f t="shared" si="148"/>
        <v>20000</v>
      </c>
      <c r="BR28" s="10">
        <f t="shared" si="148"/>
        <v>20000</v>
      </c>
      <c r="BS28" s="10">
        <f t="shared" si="148"/>
        <v>20000</v>
      </c>
      <c r="BT28" s="10">
        <f t="shared" si="148"/>
        <v>20000</v>
      </c>
      <c r="BU28" s="10">
        <f t="shared" si="148"/>
        <v>20000</v>
      </c>
      <c r="BV28" s="10">
        <f t="shared" si="148"/>
        <v>20000</v>
      </c>
      <c r="BW28" s="10">
        <f t="shared" si="148"/>
        <v>20000</v>
      </c>
      <c r="BX28" s="10">
        <f t="shared" si="148"/>
        <v>20000</v>
      </c>
      <c r="BY28" s="10">
        <f t="shared" si="148"/>
        <v>20000</v>
      </c>
      <c r="BZ28" s="10">
        <f t="shared" si="148"/>
        <v>20000</v>
      </c>
      <c r="CA28" s="10">
        <f t="shared" si="148"/>
        <v>20000</v>
      </c>
      <c r="CB28" s="10">
        <f t="shared" si="148"/>
        <v>20000</v>
      </c>
      <c r="CC28" s="10">
        <f t="shared" si="148"/>
        <v>20000</v>
      </c>
      <c r="CD28" s="10">
        <f t="shared" si="148"/>
        <v>20000</v>
      </c>
      <c r="CE28" s="10">
        <f t="shared" si="148"/>
        <v>20000</v>
      </c>
      <c r="CF28" s="10">
        <f t="shared" si="148"/>
        <v>20000</v>
      </c>
      <c r="CG28" s="10">
        <f t="shared" si="148"/>
        <v>20000</v>
      </c>
      <c r="CH28" s="10">
        <f t="shared" si="148"/>
        <v>20000</v>
      </c>
      <c r="CI28" s="10">
        <f t="shared" si="148"/>
        <v>20000</v>
      </c>
      <c r="CJ28" s="10">
        <f t="shared" si="148"/>
        <v>20000</v>
      </c>
      <c r="CK28" s="10">
        <f t="shared" si="148"/>
        <v>20000</v>
      </c>
      <c r="CL28" s="10">
        <f t="shared" si="148"/>
        <v>20000</v>
      </c>
      <c r="CM28" s="10">
        <f t="shared" si="148"/>
        <v>20000</v>
      </c>
      <c r="CN28" s="10">
        <f t="shared" si="148"/>
        <v>20000</v>
      </c>
      <c r="CO28" s="10">
        <f t="shared" si="148"/>
        <v>20000</v>
      </c>
      <c r="CP28" s="10">
        <f t="shared" ref="CP28:ER28" si="149">CO28*(1+$AF$38)</f>
        <v>20000</v>
      </c>
      <c r="CQ28" s="10">
        <f t="shared" si="149"/>
        <v>20000</v>
      </c>
      <c r="CR28" s="10">
        <f t="shared" si="149"/>
        <v>20000</v>
      </c>
      <c r="CS28" s="10">
        <f t="shared" si="149"/>
        <v>20000</v>
      </c>
      <c r="CT28" s="10">
        <f t="shared" si="149"/>
        <v>20000</v>
      </c>
      <c r="CU28" s="10">
        <f t="shared" si="149"/>
        <v>20000</v>
      </c>
      <c r="CV28" s="10">
        <f t="shared" si="149"/>
        <v>20000</v>
      </c>
      <c r="CW28" s="10">
        <f t="shared" si="149"/>
        <v>20000</v>
      </c>
      <c r="CX28" s="10">
        <f t="shared" si="149"/>
        <v>20000</v>
      </c>
      <c r="CY28" s="10">
        <f t="shared" si="149"/>
        <v>20000</v>
      </c>
      <c r="CZ28" s="10">
        <f t="shared" si="149"/>
        <v>20000</v>
      </c>
      <c r="DA28" s="10">
        <f t="shared" si="149"/>
        <v>20000</v>
      </c>
      <c r="DB28" s="10">
        <f t="shared" si="149"/>
        <v>20000</v>
      </c>
      <c r="DC28" s="10">
        <f t="shared" si="149"/>
        <v>20000</v>
      </c>
      <c r="DD28" s="10">
        <f t="shared" si="149"/>
        <v>20000</v>
      </c>
      <c r="DE28" s="10">
        <f t="shared" si="149"/>
        <v>20000</v>
      </c>
      <c r="DF28" s="10">
        <f t="shared" si="149"/>
        <v>20000</v>
      </c>
      <c r="DG28" s="10">
        <f t="shared" si="149"/>
        <v>20000</v>
      </c>
      <c r="DH28" s="10">
        <f t="shared" si="149"/>
        <v>20000</v>
      </c>
      <c r="DI28" s="10">
        <f t="shared" si="149"/>
        <v>20000</v>
      </c>
      <c r="DJ28" s="10">
        <f t="shared" si="149"/>
        <v>20000</v>
      </c>
      <c r="DK28" s="10">
        <f t="shared" si="149"/>
        <v>20000</v>
      </c>
      <c r="DL28" s="10">
        <f t="shared" si="149"/>
        <v>20000</v>
      </c>
      <c r="DM28" s="10">
        <f t="shared" si="149"/>
        <v>20000</v>
      </c>
      <c r="DN28" s="10">
        <f t="shared" si="149"/>
        <v>20000</v>
      </c>
      <c r="DO28" s="10">
        <f t="shared" si="149"/>
        <v>20000</v>
      </c>
      <c r="DP28" s="10">
        <f t="shared" si="149"/>
        <v>20000</v>
      </c>
      <c r="DQ28" s="10">
        <f t="shared" si="149"/>
        <v>20000</v>
      </c>
      <c r="DR28" s="10">
        <f t="shared" si="149"/>
        <v>20000</v>
      </c>
      <c r="DS28" s="10">
        <f t="shared" si="149"/>
        <v>20000</v>
      </c>
      <c r="DT28" s="10">
        <f t="shared" si="149"/>
        <v>20000</v>
      </c>
      <c r="DU28" s="10">
        <f t="shared" si="149"/>
        <v>20000</v>
      </c>
      <c r="DV28" s="10">
        <f t="shared" si="149"/>
        <v>20000</v>
      </c>
      <c r="DW28" s="10">
        <f t="shared" si="149"/>
        <v>20000</v>
      </c>
      <c r="DX28" s="10">
        <f t="shared" si="149"/>
        <v>20000</v>
      </c>
      <c r="DY28" s="10">
        <f t="shared" si="149"/>
        <v>20000</v>
      </c>
      <c r="DZ28" s="10">
        <f t="shared" si="149"/>
        <v>20000</v>
      </c>
      <c r="EA28" s="10">
        <f t="shared" si="149"/>
        <v>20000</v>
      </c>
      <c r="EB28" s="10">
        <f t="shared" si="149"/>
        <v>20000</v>
      </c>
      <c r="EC28" s="10">
        <f t="shared" si="149"/>
        <v>20000</v>
      </c>
      <c r="ED28" s="10">
        <f t="shared" si="149"/>
        <v>20000</v>
      </c>
      <c r="EE28" s="10">
        <f t="shared" si="149"/>
        <v>20000</v>
      </c>
      <c r="EF28" s="10">
        <f t="shared" si="149"/>
        <v>20000</v>
      </c>
      <c r="EG28" s="10">
        <f t="shared" si="149"/>
        <v>20000</v>
      </c>
      <c r="EH28" s="10">
        <f t="shared" si="149"/>
        <v>20000</v>
      </c>
      <c r="EI28" s="10">
        <f t="shared" si="149"/>
        <v>20000</v>
      </c>
      <c r="EJ28" s="10">
        <f t="shared" si="149"/>
        <v>20000</v>
      </c>
      <c r="EK28" s="10">
        <f t="shared" si="149"/>
        <v>20000</v>
      </c>
      <c r="EL28" s="10">
        <f t="shared" si="149"/>
        <v>20000</v>
      </c>
      <c r="EM28" s="10">
        <f t="shared" si="149"/>
        <v>20000</v>
      </c>
      <c r="EN28" s="10">
        <f t="shared" si="149"/>
        <v>20000</v>
      </c>
      <c r="EO28" s="10">
        <f t="shared" si="149"/>
        <v>20000</v>
      </c>
      <c r="EP28" s="10">
        <f t="shared" si="149"/>
        <v>20000</v>
      </c>
      <c r="EQ28" s="10">
        <f t="shared" si="149"/>
        <v>20000</v>
      </c>
      <c r="ER28" s="10">
        <f t="shared" si="149"/>
        <v>20000</v>
      </c>
      <c r="ES28" s="6" t="s">
        <v>28</v>
      </c>
    </row>
    <row r="29" spans="2:149" x14ac:dyDescent="0.25">
      <c r="B29" s="6" t="s">
        <v>43</v>
      </c>
      <c r="C29" s="6">
        <v>0.04</v>
      </c>
      <c r="D29" s="6">
        <v>0.02</v>
      </c>
      <c r="E29" s="6">
        <v>0.11</v>
      </c>
      <c r="G29" s="6">
        <v>-0.19</v>
      </c>
      <c r="H29" s="6">
        <v>-0.11</v>
      </c>
      <c r="I29" s="6">
        <v>-0.02</v>
      </c>
      <c r="J29" s="6">
        <f t="shared" si="137"/>
        <v>-2.9999999999999971E-2</v>
      </c>
      <c r="K29" s="6">
        <v>-2.2400000000000002</v>
      </c>
      <c r="L29" s="6">
        <v>-0.31</v>
      </c>
      <c r="M29" s="6">
        <v>-0.05</v>
      </c>
      <c r="Q29" s="6">
        <v>0.54</v>
      </c>
      <c r="R29" s="6">
        <v>1.07</v>
      </c>
      <c r="S29" s="6">
        <v>0.27</v>
      </c>
      <c r="T29" s="6">
        <v>-3.01</v>
      </c>
      <c r="U29" s="6">
        <v>-1.32</v>
      </c>
      <c r="V29" s="6">
        <v>-0.78</v>
      </c>
      <c r="W29" s="6">
        <v>-0.1</v>
      </c>
      <c r="X29" s="6">
        <v>-0.45</v>
      </c>
      <c r="Y29" s="6">
        <v>2.41</v>
      </c>
      <c r="Z29" s="6">
        <v>0.18</v>
      </c>
      <c r="AA29" s="6">
        <v>-0.35</v>
      </c>
      <c r="AB29" s="6" t="s">
        <v>115</v>
      </c>
      <c r="ES29" s="6" t="s">
        <v>28</v>
      </c>
    </row>
    <row r="30" spans="2:149" x14ac:dyDescent="0.25">
      <c r="B30" s="6" t="s">
        <v>44</v>
      </c>
      <c r="C30" s="10">
        <v>156864</v>
      </c>
      <c r="D30" s="10">
        <v>156645</v>
      </c>
      <c r="E30" s="10">
        <v>155819</v>
      </c>
      <c r="F30" s="10"/>
      <c r="G30" s="10">
        <v>155402</v>
      </c>
      <c r="H30" s="10">
        <v>154562</v>
      </c>
      <c r="I30" s="10">
        <v>152409</v>
      </c>
      <c r="J30" s="10"/>
      <c r="K30" s="10">
        <v>151091</v>
      </c>
      <c r="L30" s="10">
        <v>152502</v>
      </c>
      <c r="M30" s="10">
        <v>153741</v>
      </c>
      <c r="N30" s="10"/>
      <c r="O30" s="10"/>
      <c r="P30" s="10"/>
      <c r="Q30" s="10">
        <v>81018</v>
      </c>
      <c r="R30" s="10">
        <v>104453</v>
      </c>
      <c r="S30" s="10">
        <v>134595</v>
      </c>
      <c r="T30" s="10">
        <v>139495</v>
      </c>
      <c r="U30" s="10">
        <v>138056</v>
      </c>
      <c r="V30" s="10">
        <v>139495</v>
      </c>
      <c r="W30" s="10">
        <v>144891</v>
      </c>
      <c r="X30" s="10">
        <v>149037</v>
      </c>
      <c r="Y30" s="10">
        <v>154274</v>
      </c>
      <c r="Z30" s="10">
        <v>156181</v>
      </c>
      <c r="AA30" s="10">
        <v>153348</v>
      </c>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ES30" s="6" t="s">
        <v>28</v>
      </c>
    </row>
    <row r="31" spans="2:149" x14ac:dyDescent="0.25">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ES31" s="6" t="s">
        <v>28</v>
      </c>
    </row>
    <row r="32" spans="2:149" s="9" customFormat="1" x14ac:dyDescent="0.25">
      <c r="B32" s="9" t="s">
        <v>45</v>
      </c>
      <c r="C32" s="9" t="e">
        <f>C15/#REF!-1</f>
        <v>#REF!</v>
      </c>
      <c r="D32" s="9" t="e">
        <f>D15/#REF!-1</f>
        <v>#REF!</v>
      </c>
      <c r="E32" s="9" t="e">
        <f>E15/A15-1</f>
        <v>#DIV/0!</v>
      </c>
      <c r="G32" s="9">
        <f t="shared" ref="G32:M32" si="150">G15/C15-1</f>
        <v>-0.19374264553194431</v>
      </c>
      <c r="H32" s="9">
        <f t="shared" si="150"/>
        <v>-3.8554361050721075E-2</v>
      </c>
      <c r="I32" s="9">
        <f t="shared" si="150"/>
        <v>-3.5496345819814534E-2</v>
      </c>
      <c r="J32" s="9" t="e">
        <f t="shared" si="150"/>
        <v>#DIV/0!</v>
      </c>
      <c r="K32" s="9">
        <f t="shared" si="150"/>
        <v>-0.11018200549450552</v>
      </c>
      <c r="L32" s="9">
        <f t="shared" si="150"/>
        <v>-0.22735042735042732</v>
      </c>
      <c r="M32" s="9">
        <f t="shared" si="150"/>
        <v>-0.12028922966099098</v>
      </c>
      <c r="Q32" s="9" t="e">
        <f t="shared" ref="Q32:AA32" si="151">Q15/P15-1</f>
        <v>#DIV/0!</v>
      </c>
      <c r="R32" s="9">
        <f t="shared" si="151"/>
        <v>0.41437827737013011</v>
      </c>
      <c r="S32" s="9">
        <f t="shared" si="151"/>
        <v>0.16193171018609176</v>
      </c>
      <c r="T32" s="9">
        <f t="shared" si="151"/>
        <v>-0.26820850496706428</v>
      </c>
      <c r="U32" s="9">
        <f t="shared" si="151"/>
        <v>-4.8419164879065502E-3</v>
      </c>
      <c r="V32" s="9">
        <f t="shared" si="151"/>
        <v>-2.6619402055196861E-2</v>
      </c>
      <c r="W32" s="9">
        <f t="shared" si="151"/>
        <v>4.0331366140775815E-2</v>
      </c>
      <c r="X32" s="9">
        <f t="shared" si="151"/>
        <v>-0.25340120252693044</v>
      </c>
      <c r="Y32" s="9">
        <f t="shared" si="151"/>
        <v>0.30177313114891957</v>
      </c>
      <c r="Z32" s="9">
        <f t="shared" si="151"/>
        <v>-5.8172363067616084E-2</v>
      </c>
      <c r="AA32" s="9">
        <f t="shared" si="151"/>
        <v>-8.0547505763386984E-2</v>
      </c>
      <c r="ES32" s="6" t="s">
        <v>28</v>
      </c>
    </row>
    <row r="33" spans="1:149" s="9" customFormat="1" x14ac:dyDescent="0.25">
      <c r="B33" s="9" t="s">
        <v>46</v>
      </c>
      <c r="C33" s="9">
        <f>C27/C26</f>
        <v>-9.0521831735889246E-3</v>
      </c>
      <c r="D33" s="9">
        <f>D27/D26</f>
        <v>4.1841004184100417E-2</v>
      </c>
      <c r="E33" s="9">
        <f>E27/E26</f>
        <v>0.25329366765830852</v>
      </c>
      <c r="G33" s="9">
        <f t="shared" ref="G33:M33" si="152">G27/G26</f>
        <v>0.21648916636063165</v>
      </c>
      <c r="H33" s="9">
        <f t="shared" si="152"/>
        <v>0.18849599245638848</v>
      </c>
      <c r="I33" s="9">
        <f t="shared" si="152"/>
        <v>-0.23005008347245409</v>
      </c>
      <c r="J33" s="9">
        <f t="shared" si="152"/>
        <v>0.55271920088790238</v>
      </c>
      <c r="K33" s="9">
        <f t="shared" si="152"/>
        <v>-7.2949191516426524</v>
      </c>
      <c r="L33" s="9">
        <f t="shared" si="152"/>
        <v>-2.8674066425744278E-2</v>
      </c>
      <c r="M33" s="9">
        <f t="shared" si="152"/>
        <v>-0.33991514360313319</v>
      </c>
      <c r="Q33" s="9">
        <f t="shared" ref="Q33:AA33" si="153">Q27/Q26</f>
        <v>0.3367057561125163</v>
      </c>
      <c r="R33" s="9">
        <f t="shared" si="153"/>
        <v>0.2922337339411521</v>
      </c>
      <c r="S33" s="9">
        <f t="shared" si="153"/>
        <v>0.3129029190833888</v>
      </c>
      <c r="T33" s="9">
        <f t="shared" si="153"/>
        <v>-0.1168231274022187</v>
      </c>
      <c r="U33" s="9">
        <f t="shared" si="153"/>
        <v>-3.6771417394705956E-2</v>
      </c>
      <c r="V33" s="9">
        <f t="shared" si="153"/>
        <v>-1.2621314139772464E-2</v>
      </c>
      <c r="W33" s="9">
        <f t="shared" si="153"/>
        <v>0.23219716832721551</v>
      </c>
      <c r="X33" s="9">
        <f t="shared" si="153"/>
        <v>-7.789273205610342E-2</v>
      </c>
      <c r="Y33" s="9">
        <f t="shared" si="153"/>
        <v>-3.1195449500554937</v>
      </c>
      <c r="Z33" s="9">
        <f t="shared" si="153"/>
        <v>0.16271442254665777</v>
      </c>
      <c r="AA33" s="9">
        <f t="shared" si="153"/>
        <v>0.21481404928173858</v>
      </c>
      <c r="ES33" s="6" t="s">
        <v>28</v>
      </c>
    </row>
    <row r="34" spans="1:149" s="9" customFormat="1" x14ac:dyDescent="0.25">
      <c r="B34" s="9" t="s">
        <v>47</v>
      </c>
      <c r="C34" s="9">
        <f>C17/C15</f>
        <v>0.41750767171961883</v>
      </c>
      <c r="D34" s="9">
        <f>D17/D15</f>
        <v>0.3829666713205816</v>
      </c>
      <c r="E34" s="9">
        <f>E17/E15</f>
        <v>0.38031330908137517</v>
      </c>
      <c r="G34" s="9">
        <f t="shared" ref="G34:M34" si="154">G17/G15</f>
        <v>0.3004922161172161</v>
      </c>
      <c r="H34" s="9">
        <f t="shared" si="154"/>
        <v>0.31438054933200565</v>
      </c>
      <c r="I34" s="9">
        <f t="shared" si="154"/>
        <v>0.32009622866540494</v>
      </c>
      <c r="J34" s="9">
        <f t="shared" si="154"/>
        <v>0.34220770428542413</v>
      </c>
      <c r="K34" s="9">
        <f t="shared" si="154"/>
        <v>0.34114839614328257</v>
      </c>
      <c r="L34" s="9">
        <f t="shared" si="154"/>
        <v>0.30452573245124154</v>
      </c>
      <c r="M34" s="9">
        <f t="shared" si="154"/>
        <v>0.35475747205463154</v>
      </c>
      <c r="Q34" s="9">
        <f t="shared" ref="Q34:AA34" si="155">Q17/Q15</f>
        <v>0.36701878898732626</v>
      </c>
      <c r="R34" s="9">
        <f t="shared" si="155"/>
        <v>0.44988721170846468</v>
      </c>
      <c r="S34" s="9">
        <f t="shared" si="155"/>
        <v>0.41557163677621389</v>
      </c>
      <c r="T34" s="9">
        <f t="shared" si="155"/>
        <v>0.38964774635780752</v>
      </c>
      <c r="U34" s="9">
        <f t="shared" si="155"/>
        <v>0.32594442339462643</v>
      </c>
      <c r="V34" s="9">
        <f t="shared" si="155"/>
        <v>0.31474558426663951</v>
      </c>
      <c r="W34" s="9">
        <f t="shared" si="155"/>
        <v>0.34553103793492829</v>
      </c>
      <c r="X34" s="9">
        <f t="shared" si="155"/>
        <v>0.35262381926731506</v>
      </c>
      <c r="Y34" s="9">
        <f t="shared" si="155"/>
        <v>0.41091342228469258</v>
      </c>
      <c r="Z34" s="9">
        <f t="shared" si="155"/>
        <v>0.37202811783005851</v>
      </c>
      <c r="AA34" s="9">
        <f t="shared" si="155"/>
        <v>0.32181620533507582</v>
      </c>
      <c r="ES34" s="6" t="s">
        <v>28</v>
      </c>
    </row>
    <row r="35" spans="1:149" s="9" customFormat="1" x14ac:dyDescent="0.25">
      <c r="B35" s="9" t="s">
        <v>48</v>
      </c>
      <c r="C35" s="9">
        <f>C28/C15</f>
        <v>2.6233820170277568E-2</v>
      </c>
      <c r="D35" s="9">
        <f>D28/D15</f>
        <v>1.004846719987235E-2</v>
      </c>
      <c r="E35" s="9">
        <f>E28/E15</f>
        <v>5.7582014223445742E-2</v>
      </c>
      <c r="G35" s="9">
        <f t="shared" ref="G35:M35" si="156">G28/G15</f>
        <v>-0.17095352564102564</v>
      </c>
      <c r="H35" s="9">
        <f t="shared" si="156"/>
        <v>-7.1413160733549086E-2</v>
      </c>
      <c r="I35" s="9">
        <f t="shared" si="156"/>
        <v>-1.2517881474282956E-2</v>
      </c>
      <c r="J35" s="9">
        <f t="shared" si="156"/>
        <v>-8.1849570103581341E-3</v>
      </c>
      <c r="K35" s="9">
        <f t="shared" si="156"/>
        <v>-2.1810650354733099</v>
      </c>
      <c r="L35" s="9">
        <f t="shared" si="156"/>
        <v>-0.25679289457857202</v>
      </c>
      <c r="M35" s="9">
        <f t="shared" si="156"/>
        <v>-3.1715192855873743E-2</v>
      </c>
      <c r="Q35" s="9">
        <f t="shared" ref="Q35:AA35" si="157">Q28/Q15</f>
        <v>6.1454525902953833E-2</v>
      </c>
      <c r="R35" s="9">
        <f t="shared" si="157"/>
        <v>9.1871711835777373E-2</v>
      </c>
      <c r="S35" s="9">
        <f t="shared" si="157"/>
        <v>2.230348567968192E-2</v>
      </c>
      <c r="T35" s="9">
        <f t="shared" si="157"/>
        <v>-0.35344556344639855</v>
      </c>
      <c r="U35" s="9">
        <f t="shared" si="157"/>
        <v>-0.15501114227614365</v>
      </c>
      <c r="V35" s="9">
        <f t="shared" si="157"/>
        <v>-9.4949479116322122E-2</v>
      </c>
      <c r="W35" s="9">
        <f t="shared" si="157"/>
        <v>-1.2256299119994041E-2</v>
      </c>
      <c r="X35" s="9">
        <f t="shared" si="157"/>
        <v>-7.4875129635339294E-2</v>
      </c>
      <c r="Y35" s="9">
        <f t="shared" si="157"/>
        <v>0.3196762680391772</v>
      </c>
      <c r="Z35" s="9">
        <f t="shared" si="157"/>
        <v>2.6379440734275166E-2</v>
      </c>
      <c r="AA35" s="9">
        <f t="shared" si="157"/>
        <v>-5.2894250287679558E-2</v>
      </c>
      <c r="ES35" s="6" t="s">
        <v>28</v>
      </c>
    </row>
    <row r="36" spans="1:149" x14ac:dyDescent="0.25">
      <c r="A36" s="6" t="s">
        <v>49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ES36" s="6" t="s">
        <v>28</v>
      </c>
    </row>
    <row r="37" spans="1:149" x14ac:dyDescent="0.25">
      <c r="A37" s="6" t="s">
        <v>50</v>
      </c>
      <c r="B37" s="9" t="s">
        <v>51</v>
      </c>
      <c r="C37" s="10"/>
      <c r="D37" s="10"/>
      <c r="E37" s="10"/>
      <c r="F37" s="10"/>
      <c r="G37" s="10">
        <f>G28</f>
        <v>-29869</v>
      </c>
      <c r="H37" s="10">
        <f>H28</f>
        <v>-17212</v>
      </c>
      <c r="I37" s="10"/>
      <c r="J37" s="10"/>
      <c r="K37" s="10">
        <f>K28</f>
        <v>-339088</v>
      </c>
      <c r="L37" s="10">
        <f>L28</f>
        <v>-47821</v>
      </c>
      <c r="M37" s="10">
        <f>M28</f>
        <v>-8211</v>
      </c>
      <c r="N37" s="10"/>
      <c r="O37" s="10"/>
      <c r="P37" s="10"/>
      <c r="Q37" s="10"/>
      <c r="R37" s="10"/>
      <c r="S37" s="10"/>
      <c r="T37" s="10"/>
      <c r="U37" s="10"/>
      <c r="V37" s="10"/>
      <c r="W37" s="10"/>
      <c r="X37" s="10"/>
      <c r="Y37" s="10">
        <f>Y28</f>
        <v>371171</v>
      </c>
      <c r="Z37" s="10">
        <f>Z28</f>
        <v>28847</v>
      </c>
      <c r="AA37" s="10">
        <f>AA28</f>
        <v>-53183</v>
      </c>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ES37" s="6" t="s">
        <v>28</v>
      </c>
    </row>
    <row r="38" spans="1:149" x14ac:dyDescent="0.25">
      <c r="B38" s="9" t="s">
        <v>52</v>
      </c>
      <c r="C38" s="10"/>
      <c r="D38" s="10"/>
      <c r="E38" s="10"/>
      <c r="F38" s="10"/>
      <c r="G38" s="10">
        <v>1809</v>
      </c>
      <c r="H38" s="10">
        <v>1748</v>
      </c>
      <c r="I38" s="10"/>
      <c r="J38" s="10"/>
      <c r="K38" s="10">
        <v>1325</v>
      </c>
      <c r="L38" s="10">
        <v>1559</v>
      </c>
      <c r="M38" s="10">
        <v>1827</v>
      </c>
      <c r="N38" s="10"/>
      <c r="O38" s="10"/>
      <c r="P38" s="10"/>
      <c r="Q38" s="10"/>
      <c r="R38" s="10"/>
      <c r="S38" s="10"/>
      <c r="T38" s="10"/>
      <c r="U38" s="10"/>
      <c r="V38" s="10"/>
      <c r="W38" s="10"/>
      <c r="X38" s="10"/>
      <c r="Y38" s="10">
        <v>10962</v>
      </c>
      <c r="Z38" s="10">
        <v>8570</v>
      </c>
      <c r="AA38" s="10">
        <v>6160</v>
      </c>
      <c r="AB38" s="10"/>
      <c r="AC38" s="10"/>
      <c r="AD38" s="10"/>
      <c r="AE38" s="10" t="s">
        <v>53</v>
      </c>
      <c r="AF38" s="9">
        <v>0</v>
      </c>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ES38" s="6" t="s">
        <v>28</v>
      </c>
    </row>
    <row r="39" spans="1:149" x14ac:dyDescent="0.25">
      <c r="B39" s="9" t="s">
        <v>54</v>
      </c>
      <c r="C39" s="10"/>
      <c r="D39" s="10"/>
      <c r="E39" s="10"/>
      <c r="F39" s="10"/>
      <c r="G39" s="10">
        <v>1483</v>
      </c>
      <c r="H39" s="10">
        <v>645</v>
      </c>
      <c r="I39" s="10"/>
      <c r="J39" s="10"/>
      <c r="K39" s="10">
        <v>1082</v>
      </c>
      <c r="L39" s="10">
        <v>-2693</v>
      </c>
      <c r="M39" s="10">
        <v>1326</v>
      </c>
      <c r="N39" s="10"/>
      <c r="O39" s="10"/>
      <c r="P39" s="10"/>
      <c r="Q39" s="10"/>
      <c r="R39" s="10"/>
      <c r="S39" s="10"/>
      <c r="T39" s="10"/>
      <c r="U39" s="10"/>
      <c r="V39" s="10"/>
      <c r="W39" s="10"/>
      <c r="X39" s="10"/>
      <c r="Y39" s="10">
        <v>4240</v>
      </c>
      <c r="Z39" s="10">
        <v>5501</v>
      </c>
      <c r="AA39" s="10">
        <v>3090</v>
      </c>
      <c r="AB39" s="10"/>
      <c r="AC39" s="10"/>
      <c r="AD39" s="10"/>
      <c r="AE39" s="10" t="s">
        <v>55</v>
      </c>
      <c r="AF39" s="9">
        <v>0.1</v>
      </c>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ES39" s="6" t="s">
        <v>28</v>
      </c>
    </row>
    <row r="40" spans="1:149" x14ac:dyDescent="0.25">
      <c r="B40" s="9" t="s">
        <v>56</v>
      </c>
      <c r="C40" s="10"/>
      <c r="D40" s="10"/>
      <c r="E40" s="10"/>
      <c r="F40" s="10"/>
      <c r="G40" s="10">
        <v>10314</v>
      </c>
      <c r="H40" s="10">
        <v>11117</v>
      </c>
      <c r="I40" s="10"/>
      <c r="J40" s="10"/>
      <c r="K40" s="10">
        <v>8770</v>
      </c>
      <c r="L40" s="10">
        <v>7791</v>
      </c>
      <c r="M40" s="10">
        <v>7372</v>
      </c>
      <c r="N40" s="10"/>
      <c r="O40" s="10"/>
      <c r="P40" s="10"/>
      <c r="Q40" s="10"/>
      <c r="R40" s="10"/>
      <c r="S40" s="10"/>
      <c r="T40" s="10"/>
      <c r="U40" s="10"/>
      <c r="V40" s="10"/>
      <c r="W40" s="10"/>
      <c r="X40" s="10"/>
      <c r="Y40" s="10">
        <v>38650</v>
      </c>
      <c r="Z40" s="10">
        <v>38991</v>
      </c>
      <c r="AA40" s="10">
        <v>41479</v>
      </c>
      <c r="AB40" s="10"/>
      <c r="AC40" s="10"/>
      <c r="AD40" s="10"/>
      <c r="AE40" s="10" t="s">
        <v>57</v>
      </c>
      <c r="AF40" s="10">
        <f>NPV(AF39,AB28:ER28)</f>
        <v>199998.03883067591</v>
      </c>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ES40" s="6" t="s">
        <v>28</v>
      </c>
    </row>
    <row r="41" spans="1:149" x14ac:dyDescent="0.25">
      <c r="B41" s="9" t="s">
        <v>58</v>
      </c>
      <c r="C41" s="10"/>
      <c r="D41" s="10"/>
      <c r="E41" s="10"/>
      <c r="F41" s="10"/>
      <c r="G41" s="10">
        <v>-9921</v>
      </c>
      <c r="H41" s="10">
        <v>-6152</v>
      </c>
      <c r="I41" s="10"/>
      <c r="J41" s="10"/>
      <c r="K41" s="10">
        <v>296775</v>
      </c>
      <c r="L41" s="10">
        <v>-65</v>
      </c>
      <c r="M41" s="10">
        <v>49</v>
      </c>
      <c r="N41" s="10"/>
      <c r="O41" s="10"/>
      <c r="P41" s="10"/>
      <c r="Q41" s="10"/>
      <c r="R41" s="10"/>
      <c r="S41" s="10"/>
      <c r="T41" s="10"/>
      <c r="U41" s="10"/>
      <c r="V41" s="10"/>
      <c r="W41" s="10"/>
      <c r="X41" s="10"/>
      <c r="Y41" s="10">
        <v>-273541</v>
      </c>
      <c r="Z41" s="10">
        <v>2710</v>
      </c>
      <c r="AA41" s="10">
        <v>-17891</v>
      </c>
      <c r="AB41" s="10"/>
      <c r="AC41" s="10"/>
      <c r="AD41" s="10"/>
      <c r="AE41" s="10" t="s">
        <v>59</v>
      </c>
      <c r="AF41" s="12">
        <f ca="1">AF40/Main!F8</f>
        <v>1.2923017401057235</v>
      </c>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ES41" s="6" t="s">
        <v>28</v>
      </c>
    </row>
    <row r="42" spans="1:149" x14ac:dyDescent="0.25">
      <c r="B42" s="9" t="s">
        <v>112</v>
      </c>
      <c r="C42" s="10"/>
      <c r="D42" s="10"/>
      <c r="E42" s="10"/>
      <c r="F42" s="10"/>
      <c r="G42" s="10"/>
      <c r="H42" s="10" t="s">
        <v>37</v>
      </c>
      <c r="I42" s="10"/>
      <c r="J42" s="10"/>
      <c r="K42" s="10" t="s">
        <v>37</v>
      </c>
      <c r="L42" s="10">
        <v>3276</v>
      </c>
      <c r="M42" s="10">
        <v>0</v>
      </c>
      <c r="N42" s="10"/>
      <c r="O42" s="10"/>
      <c r="P42" s="10"/>
      <c r="Q42" s="10"/>
      <c r="R42" s="10"/>
      <c r="S42" s="10"/>
      <c r="T42" s="10"/>
      <c r="U42" s="10"/>
      <c r="V42" s="10"/>
      <c r="W42" s="10"/>
      <c r="X42" s="10"/>
      <c r="Y42" s="10"/>
      <c r="Z42" s="10"/>
      <c r="AA42" s="10"/>
      <c r="AB42" s="10"/>
      <c r="AC42" s="10"/>
      <c r="AD42" s="10"/>
      <c r="AE42" s="10"/>
      <c r="AF42" s="12"/>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row>
    <row r="43" spans="1:149" x14ac:dyDescent="0.25">
      <c r="B43" s="9" t="s">
        <v>60</v>
      </c>
      <c r="C43" s="10"/>
      <c r="D43" s="10"/>
      <c r="E43" s="10"/>
      <c r="F43" s="10"/>
      <c r="G43" s="10" t="s">
        <v>37</v>
      </c>
      <c r="H43" s="10" t="s">
        <v>37</v>
      </c>
      <c r="J43" s="10"/>
      <c r="K43" s="10" t="s">
        <v>37</v>
      </c>
      <c r="L43" s="10" t="s">
        <v>37</v>
      </c>
      <c r="M43" s="10">
        <v>0</v>
      </c>
      <c r="N43" s="10"/>
      <c r="O43" s="10"/>
      <c r="P43" s="10"/>
      <c r="Q43" s="10"/>
      <c r="R43" s="10"/>
      <c r="S43" s="10"/>
      <c r="T43" s="10"/>
      <c r="U43" s="10"/>
      <c r="V43" s="10"/>
      <c r="W43" s="10"/>
      <c r="X43" s="10"/>
      <c r="Y43" s="10">
        <v>-99</v>
      </c>
      <c r="Z43" s="10">
        <v>228</v>
      </c>
      <c r="AA43" s="10" t="s">
        <v>37</v>
      </c>
      <c r="AB43" s="10"/>
      <c r="AC43" s="10"/>
      <c r="AD43" s="10"/>
      <c r="AE43" s="10" t="s">
        <v>61</v>
      </c>
      <c r="AF43" s="9">
        <f ca="1">AF41/Main!F7-1</f>
        <v>0.21342886394903626</v>
      </c>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ES43" s="6" t="s">
        <v>28</v>
      </c>
    </row>
    <row r="44" spans="1:149" x14ac:dyDescent="0.25">
      <c r="B44" s="9" t="s">
        <v>62</v>
      </c>
      <c r="C44" s="10"/>
      <c r="D44" s="10"/>
      <c r="E44" s="10"/>
      <c r="F44" s="10"/>
      <c r="G44" s="10" t="s">
        <v>37</v>
      </c>
      <c r="H44" s="10" t="s">
        <v>37</v>
      </c>
      <c r="I44" s="10"/>
      <c r="J44" s="10"/>
      <c r="K44" s="10" t="s">
        <v>37</v>
      </c>
      <c r="L44" s="10" t="s">
        <v>37</v>
      </c>
      <c r="M44" s="10">
        <v>0</v>
      </c>
      <c r="N44" s="10"/>
      <c r="O44" s="10"/>
      <c r="P44" s="10"/>
      <c r="Q44" s="10"/>
      <c r="R44" s="10"/>
      <c r="S44" s="10"/>
      <c r="T44" s="10"/>
      <c r="U44" s="10"/>
      <c r="V44" s="10"/>
      <c r="W44" s="10"/>
      <c r="X44" s="10"/>
      <c r="Y44" s="10">
        <v>14208</v>
      </c>
      <c r="Z44" s="10" t="s">
        <v>37</v>
      </c>
      <c r="AA44" s="10" t="s">
        <v>37</v>
      </c>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ES44" s="6" t="s">
        <v>28</v>
      </c>
    </row>
    <row r="45" spans="1:149" x14ac:dyDescent="0.25">
      <c r="B45" s="9" t="s">
        <v>63</v>
      </c>
      <c r="C45" s="10"/>
      <c r="D45" s="10"/>
      <c r="E45" s="10"/>
      <c r="F45" s="10"/>
      <c r="G45" s="10" t="s">
        <v>37</v>
      </c>
      <c r="H45" s="10" t="s">
        <v>37</v>
      </c>
      <c r="I45" s="10"/>
      <c r="J45" s="10"/>
      <c r="K45" s="10" t="s">
        <v>37</v>
      </c>
      <c r="L45" s="10" t="s">
        <v>37</v>
      </c>
      <c r="M45" s="10">
        <v>0</v>
      </c>
      <c r="N45" s="10"/>
      <c r="O45" s="10"/>
      <c r="P45" s="10"/>
      <c r="Q45" s="10"/>
      <c r="R45" s="10"/>
      <c r="S45" s="10"/>
      <c r="T45" s="10"/>
      <c r="U45" s="10"/>
      <c r="V45" s="10"/>
      <c r="W45" s="10"/>
      <c r="X45" s="10"/>
      <c r="Y45" s="10" t="s">
        <v>37</v>
      </c>
      <c r="Z45" s="10" t="s">
        <v>37</v>
      </c>
      <c r="AA45" s="10">
        <v>-3092</v>
      </c>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ES45" s="6" t="s">
        <v>28</v>
      </c>
    </row>
    <row r="46" spans="1:149" x14ac:dyDescent="0.25">
      <c r="B46" s="9" t="s">
        <v>64</v>
      </c>
      <c r="C46" s="10"/>
      <c r="D46" s="10"/>
      <c r="E46" s="10"/>
      <c r="F46" s="10"/>
      <c r="G46" s="10">
        <v>-1326</v>
      </c>
      <c r="H46" s="10">
        <v>-667</v>
      </c>
      <c r="I46" s="10"/>
      <c r="J46" s="10"/>
      <c r="K46" s="10">
        <v>651</v>
      </c>
      <c r="L46" s="10">
        <v>453</v>
      </c>
      <c r="M46" s="10">
        <v>-1731</v>
      </c>
      <c r="N46" s="10"/>
      <c r="O46" s="10"/>
      <c r="P46" s="10"/>
      <c r="Q46" s="10"/>
      <c r="R46" s="10"/>
      <c r="S46" s="10"/>
      <c r="T46" s="10"/>
      <c r="U46" s="10"/>
      <c r="V46" s="10"/>
      <c r="W46" s="10"/>
      <c r="X46" s="10"/>
      <c r="Y46" s="10">
        <v>2243</v>
      </c>
      <c r="Z46" s="10">
        <v>1022</v>
      </c>
      <c r="AA46" s="10">
        <v>-2600</v>
      </c>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ES46" s="6" t="s">
        <v>28</v>
      </c>
    </row>
    <row r="47" spans="1:149" x14ac:dyDescent="0.25">
      <c r="B47" s="9" t="s">
        <v>65</v>
      </c>
      <c r="C47" s="10"/>
      <c r="D47" s="10"/>
      <c r="E47" s="10"/>
      <c r="F47" s="10"/>
      <c r="G47" s="10">
        <v>19947</v>
      </c>
      <c r="H47" s="10">
        <v>-25391</v>
      </c>
      <c r="I47" s="10"/>
      <c r="J47" s="10"/>
      <c r="K47" s="10">
        <v>22429</v>
      </c>
      <c r="L47" s="10">
        <v>-17486</v>
      </c>
      <c r="M47" s="10">
        <v>-46689</v>
      </c>
      <c r="N47" s="10"/>
      <c r="O47" s="10"/>
      <c r="P47" s="10"/>
      <c r="Q47" s="10"/>
      <c r="R47" s="10"/>
      <c r="S47" s="10"/>
      <c r="T47" s="10"/>
      <c r="U47" s="10"/>
      <c r="V47" s="10"/>
      <c r="W47" s="10"/>
      <c r="X47" s="10"/>
      <c r="Y47" s="10">
        <v>-8142</v>
      </c>
      <c r="Z47" s="10">
        <v>37829</v>
      </c>
      <c r="AA47" s="10">
        <v>-14478</v>
      </c>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ES47" s="6" t="s">
        <v>28</v>
      </c>
    </row>
    <row r="48" spans="1:149" x14ac:dyDescent="0.25">
      <c r="B48" s="9" t="s">
        <v>66</v>
      </c>
      <c r="C48" s="10"/>
      <c r="D48" s="10"/>
      <c r="E48" s="10"/>
      <c r="F48" s="10"/>
      <c r="G48" s="10">
        <v>-27673</v>
      </c>
      <c r="H48" s="10">
        <v>19395</v>
      </c>
      <c r="I48" s="10"/>
      <c r="J48" s="10"/>
      <c r="K48" s="10">
        <v>-24986</v>
      </c>
      <c r="L48" s="10">
        <v>33921</v>
      </c>
      <c r="M48" s="10">
        <v>-57928</v>
      </c>
      <c r="N48" s="10"/>
      <c r="O48" s="10"/>
      <c r="P48" s="10"/>
      <c r="Q48" s="10"/>
      <c r="R48" s="10"/>
      <c r="S48" s="10"/>
      <c r="T48" s="10"/>
      <c r="U48" s="10"/>
      <c r="V48" s="10"/>
      <c r="W48" s="10"/>
      <c r="X48" s="10"/>
      <c r="Y48" s="10">
        <v>11505</v>
      </c>
      <c r="Z48" s="10">
        <v>-40722</v>
      </c>
      <c r="AA48" s="10">
        <v>20865</v>
      </c>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ES48" s="6" t="s">
        <v>28</v>
      </c>
    </row>
    <row r="49" spans="1:149" x14ac:dyDescent="0.25">
      <c r="B49" s="9" t="s">
        <v>67</v>
      </c>
      <c r="C49" s="10"/>
      <c r="D49" s="10"/>
      <c r="E49" s="10"/>
      <c r="F49" s="10"/>
      <c r="G49" s="10">
        <v>-3251</v>
      </c>
      <c r="H49" s="10">
        <v>172</v>
      </c>
      <c r="I49" s="10"/>
      <c r="J49" s="10"/>
      <c r="K49" s="10">
        <v>-2282</v>
      </c>
      <c r="L49" s="10">
        <v>845</v>
      </c>
      <c r="M49" s="10">
        <v>-3213</v>
      </c>
      <c r="N49" s="10"/>
      <c r="O49" s="10"/>
      <c r="P49" s="10"/>
      <c r="Q49" s="10"/>
      <c r="R49" s="10"/>
      <c r="S49" s="10"/>
      <c r="T49" s="10"/>
      <c r="U49" s="10"/>
      <c r="V49" s="10"/>
      <c r="W49" s="10"/>
      <c r="X49" s="10"/>
      <c r="Y49" s="10">
        <v>-17513</v>
      </c>
      <c r="Z49" s="10">
        <v>7922</v>
      </c>
      <c r="AA49" s="10">
        <v>-7649</v>
      </c>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ES49" s="6" t="s">
        <v>28</v>
      </c>
    </row>
    <row r="50" spans="1:149" x14ac:dyDescent="0.25">
      <c r="B50" s="9" t="s">
        <v>68</v>
      </c>
      <c r="C50" s="10"/>
      <c r="D50" s="10"/>
      <c r="E50" s="10"/>
      <c r="F50" s="10"/>
      <c r="G50" s="10">
        <v>-27627</v>
      </c>
      <c r="H50" s="10">
        <v>10573</v>
      </c>
      <c r="I50" s="10"/>
      <c r="J50" s="10"/>
      <c r="K50" s="10">
        <v>-62362</v>
      </c>
      <c r="L50" s="10">
        <v>22860</v>
      </c>
      <c r="M50" s="10">
        <v>104309</v>
      </c>
      <c r="N50" s="10"/>
      <c r="O50" s="10"/>
      <c r="P50" s="10"/>
      <c r="Q50" s="10"/>
      <c r="R50" s="10"/>
      <c r="S50" s="10"/>
      <c r="T50" s="10"/>
      <c r="U50" s="10"/>
      <c r="V50" s="10"/>
      <c r="W50" s="10"/>
      <c r="X50" s="10"/>
      <c r="Y50" s="10">
        <v>56262</v>
      </c>
      <c r="Z50" s="10">
        <v>-97112</v>
      </c>
      <c r="AA50" s="10">
        <v>-4226</v>
      </c>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ES50" s="6" t="s">
        <v>28</v>
      </c>
    </row>
    <row r="51" spans="1:149" x14ac:dyDescent="0.25">
      <c r="B51" s="9" t="s">
        <v>69</v>
      </c>
      <c r="C51" s="10"/>
      <c r="D51" s="10"/>
      <c r="E51" s="10"/>
      <c r="F51" s="10"/>
      <c r="G51" s="10">
        <v>-988</v>
      </c>
      <c r="H51" s="10">
        <v>-2080</v>
      </c>
      <c r="I51" s="10"/>
      <c r="J51" s="10"/>
      <c r="K51" s="10">
        <v>-717</v>
      </c>
      <c r="L51" s="10">
        <v>-2035</v>
      </c>
      <c r="M51" s="10">
        <v>645</v>
      </c>
      <c r="N51" s="10"/>
      <c r="O51" s="10"/>
      <c r="P51" s="10"/>
      <c r="Q51" s="10"/>
      <c r="R51" s="10"/>
      <c r="S51" s="10"/>
      <c r="T51" s="10"/>
      <c r="U51" s="10"/>
      <c r="V51" s="10"/>
      <c r="W51" s="10"/>
      <c r="X51" s="10"/>
      <c r="Y51" s="10">
        <v>19207</v>
      </c>
      <c r="Z51" s="10">
        <v>11961</v>
      </c>
      <c r="AA51" s="10">
        <v>-1338</v>
      </c>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ES51" s="6" t="s">
        <v>28</v>
      </c>
    </row>
    <row r="52" spans="1:149" x14ac:dyDescent="0.25">
      <c r="B52" s="9" t="s">
        <v>120</v>
      </c>
      <c r="C52" s="10"/>
      <c r="D52" s="10"/>
      <c r="E52" s="10"/>
      <c r="F52" s="10"/>
      <c r="G52" s="10">
        <f>SUM(G37:G51)</f>
        <v>-67102</v>
      </c>
      <c r="H52" s="10">
        <f>SUM(H37:H51)</f>
        <v>-7852</v>
      </c>
      <c r="I52" s="10"/>
      <c r="J52" s="10"/>
      <c r="K52" s="10">
        <f>SUM(K37:K51)</f>
        <v>-98403</v>
      </c>
      <c r="L52" s="10">
        <f>SUM(L37:L51)</f>
        <v>605</v>
      </c>
      <c r="M52" s="10">
        <f>SUM(M37:M51)</f>
        <v>-2244</v>
      </c>
      <c r="N52" s="10"/>
      <c r="O52" s="10"/>
      <c r="P52" s="10"/>
      <c r="Q52" s="10"/>
      <c r="R52" s="10"/>
      <c r="S52" s="10"/>
      <c r="T52" s="10"/>
      <c r="U52" s="10"/>
      <c r="V52" s="10"/>
      <c r="W52" s="10"/>
      <c r="X52" s="10"/>
      <c r="Y52" s="10">
        <f>SUM(Y37:Y51)</f>
        <v>229153</v>
      </c>
      <c r="Z52" s="10">
        <f>SUM(Z37:Z51)</f>
        <v>5747</v>
      </c>
      <c r="AA52" s="10">
        <f>SUM(AA37:AA51)</f>
        <v>-32863</v>
      </c>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ES52" s="6" t="s">
        <v>28</v>
      </c>
    </row>
    <row r="53" spans="1:149" x14ac:dyDescent="0.25">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ES53" s="6" t="s">
        <v>28</v>
      </c>
    </row>
    <row r="54" spans="1:149" x14ac:dyDescent="0.25">
      <c r="A54" s="6" t="s">
        <v>70</v>
      </c>
      <c r="B54" s="9" t="s">
        <v>71</v>
      </c>
      <c r="C54" s="10"/>
      <c r="D54" s="10"/>
      <c r="E54" s="10"/>
      <c r="F54" s="10"/>
      <c r="G54" s="10">
        <v>-483</v>
      </c>
      <c r="H54" s="10">
        <v>-478</v>
      </c>
      <c r="I54" s="10"/>
      <c r="J54" s="10"/>
      <c r="K54" s="10">
        <v>-964</v>
      </c>
      <c r="L54" s="10">
        <v>-716</v>
      </c>
      <c r="M54" s="10">
        <v>-1943</v>
      </c>
      <c r="N54" s="10"/>
      <c r="O54" s="10"/>
      <c r="P54" s="10"/>
      <c r="Q54" s="10"/>
      <c r="R54" s="10"/>
      <c r="S54" s="10"/>
      <c r="T54" s="10"/>
      <c r="U54" s="10"/>
      <c r="V54" s="10"/>
      <c r="W54" s="10"/>
      <c r="X54" s="10"/>
      <c r="Y54" s="10">
        <v>-5545</v>
      </c>
      <c r="Z54" s="10">
        <v>-3447</v>
      </c>
      <c r="AA54" s="10">
        <v>-1520</v>
      </c>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ES54" s="6" t="s">
        <v>28</v>
      </c>
    </row>
    <row r="55" spans="1:149" x14ac:dyDescent="0.25">
      <c r="B55" s="9" t="s">
        <v>72</v>
      </c>
      <c r="C55" s="10"/>
      <c r="D55" s="10"/>
      <c r="E55" s="10"/>
      <c r="F55" s="10"/>
      <c r="G55" s="10">
        <v>-25782</v>
      </c>
      <c r="H55" s="10">
        <v>0</v>
      </c>
      <c r="I55" s="10"/>
      <c r="J55" s="10"/>
      <c r="K55" s="10" t="s">
        <v>37</v>
      </c>
      <c r="L55" s="10" t="s">
        <v>37</v>
      </c>
      <c r="M55" s="10">
        <v>0</v>
      </c>
      <c r="N55" s="10"/>
      <c r="O55" s="10"/>
      <c r="P55" s="10"/>
      <c r="Q55" s="10"/>
      <c r="R55" s="10"/>
      <c r="S55" s="10"/>
      <c r="T55" s="10"/>
      <c r="U55" s="10"/>
      <c r="V55" s="10"/>
      <c r="W55" s="10"/>
      <c r="X55" s="10"/>
      <c r="Y55" s="10">
        <v>-146515</v>
      </c>
      <c r="Z55" s="10">
        <v>-165590</v>
      </c>
      <c r="AA55" s="10">
        <v>-25782</v>
      </c>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ES55" s="6" t="s">
        <v>28</v>
      </c>
    </row>
    <row r="56" spans="1:149" x14ac:dyDescent="0.25">
      <c r="B56" s="9" t="s">
        <v>73</v>
      </c>
      <c r="C56" s="10"/>
      <c r="D56" s="10"/>
      <c r="E56" s="10"/>
      <c r="F56" s="10"/>
      <c r="G56" s="10">
        <v>34000</v>
      </c>
      <c r="H56" s="10">
        <v>56204</v>
      </c>
      <c r="I56" s="10"/>
      <c r="J56" s="10"/>
      <c r="K56" s="10">
        <v>24000</v>
      </c>
      <c r="L56" s="10">
        <v>0</v>
      </c>
      <c r="M56" s="10">
        <v>0</v>
      </c>
      <c r="N56" s="10"/>
      <c r="O56" s="10"/>
      <c r="P56" s="10"/>
      <c r="Q56" s="10"/>
      <c r="R56" s="10"/>
      <c r="S56" s="10"/>
      <c r="T56" s="10"/>
      <c r="U56" s="10"/>
      <c r="V56" s="10"/>
      <c r="W56" s="10"/>
      <c r="X56" s="10"/>
      <c r="Y56" s="10">
        <v>8341</v>
      </c>
      <c r="Z56" s="10">
        <v>160649</v>
      </c>
      <c r="AA56" s="10">
        <v>149204</v>
      </c>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ES56" s="6" t="s">
        <v>28</v>
      </c>
    </row>
    <row r="57" spans="1:149" x14ac:dyDescent="0.25">
      <c r="B57" s="9" t="s">
        <v>108</v>
      </c>
      <c r="C57" s="10"/>
      <c r="D57" s="10"/>
      <c r="E57" s="10"/>
      <c r="F57" s="10"/>
      <c r="G57" s="10" t="s">
        <v>37</v>
      </c>
      <c r="H57" s="10" t="s">
        <v>37</v>
      </c>
      <c r="I57" s="10"/>
      <c r="J57" s="10"/>
      <c r="K57" s="10">
        <v>-12308</v>
      </c>
      <c r="L57" s="10">
        <v>0</v>
      </c>
      <c r="M57" s="10">
        <v>0</v>
      </c>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row>
    <row r="58" spans="1:149" x14ac:dyDescent="0.25">
      <c r="B58" s="9" t="s">
        <v>70</v>
      </c>
      <c r="C58" s="10"/>
      <c r="D58" s="10"/>
      <c r="E58" s="10"/>
      <c r="F58" s="10"/>
      <c r="G58" s="10">
        <f>SUM(G54:G57)</f>
        <v>7735</v>
      </c>
      <c r="H58" s="10">
        <f>SUM(H54:H57)</f>
        <v>55726</v>
      </c>
      <c r="I58" s="10"/>
      <c r="J58" s="10"/>
      <c r="K58" s="10">
        <f>SUM(K54:K57)</f>
        <v>10728</v>
      </c>
      <c r="L58" s="10">
        <f>SUM(L54:L57)</f>
        <v>-716</v>
      </c>
      <c r="M58" s="10">
        <f>SUM(M54:M57)</f>
        <v>-1943</v>
      </c>
      <c r="N58" s="10"/>
      <c r="O58" s="10"/>
      <c r="P58" s="10"/>
      <c r="Q58" s="10"/>
      <c r="R58" s="10"/>
      <c r="S58" s="10"/>
      <c r="T58" s="10"/>
      <c r="U58" s="10"/>
      <c r="V58" s="10"/>
      <c r="W58" s="10"/>
      <c r="X58" s="10"/>
      <c r="Y58" s="10">
        <f>SUM(Y54:Y56)</f>
        <v>-143719</v>
      </c>
      <c r="Z58" s="10">
        <f>SUM(Z54:Z56)</f>
        <v>-8388</v>
      </c>
      <c r="AA58" s="10">
        <f>SUM(AA54:AA56)</f>
        <v>121902</v>
      </c>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ES58" s="6" t="s">
        <v>28</v>
      </c>
    </row>
    <row r="59" spans="1:149" x14ac:dyDescent="0.25">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ES59" s="6" t="s">
        <v>28</v>
      </c>
    </row>
    <row r="60" spans="1:149" x14ac:dyDescent="0.25">
      <c r="A60" s="6" t="s">
        <v>74</v>
      </c>
      <c r="B60" s="9" t="s">
        <v>113</v>
      </c>
      <c r="C60" s="10"/>
      <c r="D60" s="10"/>
      <c r="E60" s="10"/>
      <c r="F60" s="10"/>
      <c r="G60" s="10">
        <v>2324</v>
      </c>
      <c r="H60" s="10">
        <v>0</v>
      </c>
      <c r="I60" s="10"/>
      <c r="J60" s="10"/>
      <c r="K60" s="10">
        <v>1379</v>
      </c>
      <c r="L60" s="10">
        <v>1</v>
      </c>
      <c r="M60" s="10">
        <v>770</v>
      </c>
      <c r="N60" s="10"/>
      <c r="O60" s="10"/>
      <c r="P60" s="10"/>
      <c r="Q60" s="10"/>
      <c r="R60" s="10"/>
      <c r="S60" s="10"/>
      <c r="T60" s="10"/>
      <c r="U60" s="10"/>
      <c r="V60" s="10"/>
      <c r="W60" s="10"/>
      <c r="X60" s="10"/>
      <c r="Y60" s="10">
        <v>7490</v>
      </c>
      <c r="Z60" s="10">
        <v>4760</v>
      </c>
      <c r="AA60" s="10">
        <v>3876</v>
      </c>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ES60" s="6" t="s">
        <v>28</v>
      </c>
    </row>
    <row r="61" spans="1:149" x14ac:dyDescent="0.25">
      <c r="B61" s="9" t="s">
        <v>75</v>
      </c>
      <c r="C61" s="10"/>
      <c r="D61" s="10"/>
      <c r="E61" s="10"/>
      <c r="F61" s="10"/>
      <c r="G61" s="10">
        <v>-4251</v>
      </c>
      <c r="H61" s="10">
        <v>-583</v>
      </c>
      <c r="I61" s="10"/>
      <c r="J61" s="10"/>
      <c r="K61" s="10">
        <v>-1977</v>
      </c>
      <c r="L61" s="10">
        <v>-203</v>
      </c>
      <c r="M61" s="10">
        <v>-667</v>
      </c>
      <c r="N61" s="10"/>
      <c r="O61" s="10"/>
      <c r="P61" s="10"/>
      <c r="Q61" s="10"/>
      <c r="R61" s="10"/>
      <c r="S61" s="10"/>
      <c r="T61" s="10"/>
      <c r="U61" s="10"/>
      <c r="V61" s="10"/>
      <c r="W61" s="10"/>
      <c r="X61" s="10"/>
      <c r="Y61" s="10">
        <v>-17379</v>
      </c>
      <c r="Z61" s="10">
        <v>-13410</v>
      </c>
      <c r="AA61" s="10">
        <v>-8008</v>
      </c>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ES61" s="6" t="s">
        <v>28</v>
      </c>
    </row>
    <row r="62" spans="1:149" x14ac:dyDescent="0.25">
      <c r="B62" s="9" t="s">
        <v>76</v>
      </c>
      <c r="C62" s="10"/>
      <c r="D62" s="10"/>
      <c r="E62" s="10"/>
      <c r="F62" s="10"/>
      <c r="G62" s="10">
        <v>-5000</v>
      </c>
      <c r="H62" s="10">
        <v>-15000</v>
      </c>
      <c r="I62" s="10"/>
      <c r="J62" s="10"/>
      <c r="K62" s="10" t="s">
        <v>37</v>
      </c>
      <c r="L62" s="10" t="s">
        <v>37</v>
      </c>
      <c r="M62" s="10">
        <v>0</v>
      </c>
      <c r="N62" s="10"/>
      <c r="O62" s="10"/>
      <c r="P62" s="10"/>
      <c r="Q62" s="10"/>
      <c r="R62" s="10"/>
      <c r="S62" s="10"/>
      <c r="T62" s="10"/>
      <c r="U62" s="10"/>
      <c r="V62" s="10"/>
      <c r="W62" s="10"/>
      <c r="X62" s="10"/>
      <c r="Y62" s="10" t="s">
        <v>37</v>
      </c>
      <c r="Z62" s="10">
        <v>-39619</v>
      </c>
      <c r="AA62" s="10">
        <v>-40000</v>
      </c>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ES62" s="6" t="s">
        <v>28</v>
      </c>
    </row>
    <row r="63" spans="1:149" x14ac:dyDescent="0.25">
      <c r="B63" s="9" t="s">
        <v>77</v>
      </c>
      <c r="C63" s="10"/>
      <c r="D63" s="10"/>
      <c r="E63" s="10"/>
      <c r="F63" s="10"/>
      <c r="G63" s="10" t="s">
        <v>37</v>
      </c>
      <c r="H63" s="10" t="s">
        <v>37</v>
      </c>
      <c r="I63" s="10"/>
      <c r="J63" s="10"/>
      <c r="K63" s="10" t="s">
        <v>37</v>
      </c>
      <c r="L63" s="10" t="s">
        <v>37</v>
      </c>
      <c r="M63" s="10">
        <v>0</v>
      </c>
      <c r="N63" s="10"/>
      <c r="O63" s="10"/>
      <c r="P63" s="10"/>
      <c r="Q63" s="10"/>
      <c r="R63" s="10"/>
      <c r="S63" s="10"/>
      <c r="T63" s="10"/>
      <c r="U63" s="10"/>
      <c r="V63" s="10"/>
      <c r="W63" s="10"/>
      <c r="X63" s="10"/>
      <c r="Y63" s="10" t="s">
        <v>37</v>
      </c>
      <c r="Z63" s="10" t="s">
        <v>37</v>
      </c>
      <c r="AA63" s="10">
        <v>-46250</v>
      </c>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ES63" s="6" t="s">
        <v>28</v>
      </c>
    </row>
    <row r="64" spans="1:149" x14ac:dyDescent="0.25">
      <c r="B64" s="9" t="s">
        <v>78</v>
      </c>
      <c r="C64" s="10"/>
      <c r="D64" s="10"/>
      <c r="E64" s="10"/>
      <c r="F64" s="10"/>
      <c r="G64" s="10" t="s">
        <v>37</v>
      </c>
      <c r="H64" s="10" t="s">
        <v>37</v>
      </c>
      <c r="I64" s="10"/>
      <c r="J64" s="10"/>
      <c r="K64" s="10" t="s">
        <v>37</v>
      </c>
      <c r="L64" s="10" t="s">
        <v>37</v>
      </c>
      <c r="M64" s="10">
        <v>0</v>
      </c>
      <c r="N64" s="10"/>
      <c r="O64" s="10"/>
      <c r="P64" s="10"/>
      <c r="Q64" s="10"/>
      <c r="R64" s="10"/>
      <c r="S64" s="10"/>
      <c r="T64" s="10"/>
      <c r="U64" s="10"/>
      <c r="V64" s="10"/>
      <c r="W64" s="10"/>
      <c r="X64" s="10"/>
      <c r="Y64" s="10" t="s">
        <v>37</v>
      </c>
      <c r="Z64" s="10">
        <v>-125000</v>
      </c>
      <c r="AA64" s="10" t="s">
        <v>37</v>
      </c>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ES64" s="6" t="s">
        <v>28</v>
      </c>
    </row>
    <row r="65" spans="2:149" x14ac:dyDescent="0.25">
      <c r="B65" s="9" t="s">
        <v>121</v>
      </c>
      <c r="C65" s="10"/>
      <c r="D65" s="10"/>
      <c r="E65" s="10"/>
      <c r="F65" s="10"/>
      <c r="G65" s="10">
        <f>SUM(G60:G64)</f>
        <v>-6927</v>
      </c>
      <c r="H65" s="10">
        <f>SUM(H60:H64)</f>
        <v>-15583</v>
      </c>
      <c r="I65" s="10"/>
      <c r="J65" s="10"/>
      <c r="K65" s="10">
        <f>SUM(K60:K64)</f>
        <v>-598</v>
      </c>
      <c r="L65" s="10">
        <f>SUM(L60:L64)</f>
        <v>-202</v>
      </c>
      <c r="M65" s="10">
        <f>SUM(M60:M64)</f>
        <v>103</v>
      </c>
      <c r="N65" s="10"/>
      <c r="O65" s="10"/>
      <c r="P65" s="10"/>
      <c r="Q65" s="10"/>
      <c r="R65" s="10"/>
      <c r="S65" s="10"/>
      <c r="T65" s="10"/>
      <c r="U65" s="10"/>
      <c r="V65" s="10"/>
      <c r="W65" s="10"/>
      <c r="X65" s="10"/>
      <c r="Y65" s="10">
        <f>SUM(Y60:Y64)</f>
        <v>-9889</v>
      </c>
      <c r="Z65" s="10">
        <f>SUM(Z60:Z64)</f>
        <v>-173269</v>
      </c>
      <c r="AA65" s="10">
        <f>SUM(AA60:AA64)</f>
        <v>-90382</v>
      </c>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ES65" s="6" t="s">
        <v>28</v>
      </c>
    </row>
    <row r="66" spans="2:149" x14ac:dyDescent="0.25">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ES66" s="6" t="s">
        <v>28</v>
      </c>
    </row>
    <row r="67" spans="2:149" x14ac:dyDescent="0.25">
      <c r="B67" s="9" t="s">
        <v>79</v>
      </c>
      <c r="C67" s="10"/>
      <c r="D67" s="10"/>
      <c r="E67" s="10"/>
      <c r="F67" s="10"/>
      <c r="G67" s="10">
        <v>385</v>
      </c>
      <c r="H67" s="10">
        <f>181-G67</f>
        <v>-204</v>
      </c>
      <c r="I67" s="10"/>
      <c r="J67" s="10"/>
      <c r="K67" s="10">
        <v>-777</v>
      </c>
      <c r="L67" s="10">
        <f>-1086-K67</f>
        <v>-309</v>
      </c>
      <c r="M67" s="10">
        <v>1243</v>
      </c>
      <c r="N67" s="10"/>
      <c r="O67" s="10"/>
      <c r="P67" s="10"/>
      <c r="Q67" s="10"/>
      <c r="R67" s="10"/>
      <c r="S67" s="10"/>
      <c r="T67" s="10"/>
      <c r="U67" s="10"/>
      <c r="V67" s="10"/>
      <c r="W67" s="10"/>
      <c r="X67" s="10"/>
      <c r="Y67" s="10">
        <v>-2112</v>
      </c>
      <c r="Z67" s="10">
        <v>-1442</v>
      </c>
      <c r="AA67" s="10">
        <v>316</v>
      </c>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ES67" s="6" t="s">
        <v>28</v>
      </c>
    </row>
    <row r="68" spans="2:149" x14ac:dyDescent="0.25">
      <c r="B68" s="9" t="s">
        <v>80</v>
      </c>
      <c r="C68" s="10"/>
      <c r="D68" s="10"/>
      <c r="E68" s="10"/>
      <c r="F68" s="10"/>
      <c r="G68" s="10">
        <f>G67+G65+G58+G52</f>
        <v>-65909</v>
      </c>
      <c r="H68" s="10">
        <f>H67+H65+H58+H52</f>
        <v>32087</v>
      </c>
      <c r="I68" s="10"/>
      <c r="J68" s="10"/>
      <c r="K68" s="10">
        <f>K67+K65+K58+K52</f>
        <v>-89050</v>
      </c>
      <c r="L68" s="10">
        <f>L67+L65+L58+L52</f>
        <v>-622</v>
      </c>
      <c r="M68" s="10">
        <f>M67+M65+M58+M52</f>
        <v>-2841</v>
      </c>
      <c r="N68" s="10"/>
      <c r="O68" s="10"/>
      <c r="P68" s="10"/>
      <c r="Q68" s="10"/>
      <c r="R68" s="10"/>
      <c r="S68" s="10"/>
      <c r="T68" s="10"/>
      <c r="U68" s="10"/>
      <c r="V68" s="10"/>
      <c r="W68" s="10"/>
      <c r="X68" s="10"/>
      <c r="Y68" s="10">
        <f>Y67+Y65+Y58+Y52</f>
        <v>73433</v>
      </c>
      <c r="Z68" s="10">
        <f>Z67+Z65+Z58+Z52</f>
        <v>-177352</v>
      </c>
      <c r="AA68" s="10">
        <f>AA67+AA65+AA58+AA52</f>
        <v>-1027</v>
      </c>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ES68" s="6" t="s">
        <v>28</v>
      </c>
    </row>
    <row r="69" spans="2:149" x14ac:dyDescent="0.25">
      <c r="B69" s="9" t="s">
        <v>81</v>
      </c>
      <c r="C69" s="10"/>
      <c r="D69" s="10"/>
      <c r="E69" s="10"/>
      <c r="F69" s="10"/>
      <c r="G69" s="10">
        <v>223735</v>
      </c>
      <c r="H69" s="10">
        <v>157826</v>
      </c>
      <c r="I69" s="10"/>
      <c r="J69" s="10"/>
      <c r="K69" s="10">
        <v>222708</v>
      </c>
      <c r="L69" s="10">
        <v>133658</v>
      </c>
      <c r="M69" s="10">
        <v>133036</v>
      </c>
      <c r="N69" s="10"/>
      <c r="O69" s="10"/>
      <c r="P69" s="10"/>
      <c r="Q69" s="10"/>
      <c r="R69" s="10"/>
      <c r="S69" s="10"/>
      <c r="T69" s="10"/>
      <c r="U69" s="10"/>
      <c r="V69" s="10"/>
      <c r="W69" s="10"/>
      <c r="X69" s="10"/>
      <c r="Y69" s="10">
        <v>327654</v>
      </c>
      <c r="Z69" s="10">
        <v>401087</v>
      </c>
      <c r="AA69" s="10">
        <v>223735</v>
      </c>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ES69" s="6" t="s">
        <v>28</v>
      </c>
    </row>
    <row r="70" spans="2:149" x14ac:dyDescent="0.25">
      <c r="B70" s="9" t="s">
        <v>82</v>
      </c>
      <c r="C70" s="10"/>
      <c r="D70" s="10"/>
      <c r="E70" s="10"/>
      <c r="F70" s="10"/>
      <c r="G70" s="10">
        <f>SUM(G68:G69)</f>
        <v>157826</v>
      </c>
      <c r="H70" s="10">
        <f>SUM(H68:H69)</f>
        <v>189913</v>
      </c>
      <c r="I70" s="10"/>
      <c r="J70" s="10"/>
      <c r="K70" s="10">
        <f>SUM(K68:K69)</f>
        <v>133658</v>
      </c>
      <c r="L70" s="10">
        <f>SUM(L68:L69)</f>
        <v>133036</v>
      </c>
      <c r="M70" s="10">
        <f>SUM(M68:M69)</f>
        <v>130195</v>
      </c>
      <c r="N70" s="10"/>
      <c r="O70" s="10"/>
      <c r="P70" s="10"/>
      <c r="Q70" s="10"/>
      <c r="R70" s="10"/>
      <c r="S70" s="10"/>
      <c r="T70" s="10"/>
      <c r="U70" s="10"/>
      <c r="V70" s="10"/>
      <c r="W70" s="10"/>
      <c r="X70" s="10"/>
      <c r="Y70" s="10">
        <f>Y68+Y69</f>
        <v>401087</v>
      </c>
      <c r="Z70" s="10">
        <f>Z68+Z69</f>
        <v>223735</v>
      </c>
      <c r="AA70" s="10">
        <f>AA68+AA69</f>
        <v>222708</v>
      </c>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ES70" s="6" t="s">
        <v>28</v>
      </c>
    </row>
    <row r="71" spans="2:149" x14ac:dyDescent="0.25">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ES71" s="6" t="s">
        <v>28</v>
      </c>
    </row>
    <row r="72" spans="2:149" x14ac:dyDescent="0.25">
      <c r="B72" s="9" t="s">
        <v>83</v>
      </c>
      <c r="C72" s="10"/>
      <c r="D72" s="10"/>
      <c r="E72" s="10"/>
      <c r="F72" s="10"/>
      <c r="G72" s="10"/>
      <c r="H72" s="10"/>
      <c r="I72" s="10"/>
      <c r="J72" s="10"/>
      <c r="K72" s="10"/>
      <c r="L72" s="10"/>
      <c r="M72" s="10"/>
      <c r="N72" s="10"/>
      <c r="O72" s="10"/>
      <c r="P72" s="10"/>
      <c r="Q72" s="10"/>
      <c r="R72" s="10"/>
      <c r="S72" s="10"/>
      <c r="T72" s="10"/>
      <c r="U72" s="10"/>
      <c r="V72" s="10"/>
      <c r="W72" s="10"/>
      <c r="X72" s="10"/>
      <c r="Y72" s="10">
        <v>6127</v>
      </c>
      <c r="Z72" s="10">
        <v>4258</v>
      </c>
      <c r="AA72" s="10">
        <v>1976</v>
      </c>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ES72" s="6" t="s">
        <v>28</v>
      </c>
    </row>
    <row r="73" spans="2:149" x14ac:dyDescent="0.25">
      <c r="B73" s="9" t="s">
        <v>84</v>
      </c>
      <c r="C73" s="10"/>
      <c r="D73" s="10"/>
      <c r="E73" s="10"/>
      <c r="F73" s="10"/>
      <c r="G73" s="10"/>
      <c r="H73" s="10"/>
      <c r="I73" s="10"/>
      <c r="J73" s="10"/>
      <c r="K73" s="10"/>
      <c r="L73" s="10"/>
      <c r="M73" s="10"/>
      <c r="N73" s="10"/>
      <c r="O73" s="10"/>
      <c r="P73" s="10"/>
      <c r="Q73" s="10"/>
      <c r="R73" s="10"/>
      <c r="S73" s="10"/>
      <c r="T73" s="10"/>
      <c r="U73" s="10"/>
      <c r="V73" s="10"/>
      <c r="W73" s="10"/>
      <c r="X73" s="10"/>
      <c r="Y73" s="10">
        <v>810</v>
      </c>
      <c r="Z73" s="10">
        <v>2100</v>
      </c>
      <c r="AA73" s="10">
        <v>-537</v>
      </c>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ES73" s="6" t="s">
        <v>28</v>
      </c>
    </row>
    <row r="74" spans="2:149" x14ac:dyDescent="0.25">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ES74" s="6" t="s">
        <v>28</v>
      </c>
    </row>
    <row r="75" spans="2:149" x14ac:dyDescent="0.25">
      <c r="B75" s="9" t="s">
        <v>85</v>
      </c>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ES75" s="6" t="s">
        <v>28</v>
      </c>
    </row>
    <row r="76" spans="2:149" x14ac:dyDescent="0.25">
      <c r="B76" s="9" t="s">
        <v>86</v>
      </c>
      <c r="C76" s="10"/>
      <c r="D76" s="10"/>
      <c r="E76" s="10"/>
      <c r="F76" s="10"/>
      <c r="G76" s="10"/>
      <c r="H76" s="10"/>
      <c r="I76" s="10"/>
      <c r="J76" s="10"/>
      <c r="K76" s="10"/>
      <c r="L76" s="10"/>
      <c r="M76" s="10"/>
      <c r="N76" s="10"/>
      <c r="O76" s="10"/>
      <c r="P76" s="10"/>
      <c r="Q76" s="10"/>
      <c r="R76" s="10"/>
      <c r="S76" s="10"/>
      <c r="T76" s="10"/>
      <c r="U76" s="10"/>
      <c r="V76" s="10"/>
      <c r="W76" s="10"/>
      <c r="X76" s="10"/>
      <c r="Y76" s="10"/>
      <c r="Z76" s="10">
        <v>5967</v>
      </c>
      <c r="AA76" s="10">
        <v>9931</v>
      </c>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ES76" s="6" t="s">
        <v>28</v>
      </c>
    </row>
    <row r="77" spans="2:149" x14ac:dyDescent="0.25">
      <c r="B77" s="9" t="s">
        <v>87</v>
      </c>
      <c r="C77" s="10"/>
      <c r="D77" s="10"/>
      <c r="E77" s="10"/>
      <c r="F77" s="10"/>
      <c r="G77" s="10"/>
      <c r="H77" s="10"/>
      <c r="I77" s="10"/>
      <c r="J77" s="10"/>
      <c r="K77" s="10"/>
      <c r="L77" s="10"/>
      <c r="M77" s="10"/>
      <c r="N77" s="10"/>
      <c r="O77" s="10"/>
      <c r="P77" s="10"/>
      <c r="Q77" s="10"/>
      <c r="R77" s="10"/>
      <c r="S77" s="10"/>
      <c r="T77" s="10"/>
      <c r="U77" s="10"/>
      <c r="V77" s="10"/>
      <c r="W77" s="10"/>
      <c r="X77" s="10"/>
      <c r="Y77" s="10"/>
      <c r="Z77" s="10">
        <v>39618</v>
      </c>
      <c r="AA77" s="10">
        <v>40000</v>
      </c>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ES77" s="6" t="s">
        <v>28</v>
      </c>
    </row>
    <row r="78" spans="2:149" x14ac:dyDescent="0.25">
      <c r="B78" s="9" t="s">
        <v>109</v>
      </c>
      <c r="C78" s="10"/>
      <c r="D78" s="10"/>
      <c r="E78" s="10"/>
      <c r="F78" s="10"/>
      <c r="G78" s="10">
        <f>G52+G54</f>
        <v>-67585</v>
      </c>
      <c r="H78" s="10">
        <f>H52+H54</f>
        <v>-8330</v>
      </c>
      <c r="I78" s="10"/>
      <c r="J78" s="10"/>
      <c r="K78" s="10">
        <f>K52+K54</f>
        <v>-99367</v>
      </c>
      <c r="L78" s="10">
        <f>L52+L54</f>
        <v>-111</v>
      </c>
      <c r="M78" s="10">
        <f>M52+M54</f>
        <v>-4187</v>
      </c>
      <c r="N78" s="10"/>
      <c r="O78" s="10"/>
      <c r="P78" s="10"/>
      <c r="Q78" s="10"/>
      <c r="R78" s="10"/>
      <c r="S78" s="10"/>
      <c r="T78" s="10"/>
      <c r="U78" s="10"/>
      <c r="V78" s="10"/>
      <c r="W78" s="10"/>
      <c r="X78" s="10"/>
      <c r="Y78" s="10">
        <f t="shared" ref="Y78:AA78" si="158">Y52+Y54</f>
        <v>223608</v>
      </c>
      <c r="Z78" s="10">
        <f t="shared" si="158"/>
        <v>2300</v>
      </c>
      <c r="AA78" s="10">
        <f t="shared" si="158"/>
        <v>-34383</v>
      </c>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ES78" s="6" t="s">
        <v>28</v>
      </c>
    </row>
    <row r="79" spans="2:149" x14ac:dyDescent="0.25">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ES79" s="6" t="s">
        <v>28</v>
      </c>
    </row>
    <row r="80" spans="2:149" x14ac:dyDescent="0.25">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ES80" s="6" t="s">
        <v>28</v>
      </c>
    </row>
    <row r="81" spans="3:149" x14ac:dyDescent="0.25">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ES81" s="6" t="s">
        <v>28</v>
      </c>
    </row>
    <row r="82" spans="3:149" x14ac:dyDescent="0.25">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ES82" s="6" t="s">
        <v>28</v>
      </c>
    </row>
    <row r="83" spans="3:149" x14ac:dyDescent="0.25">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ES83" s="6" t="s">
        <v>28</v>
      </c>
    </row>
    <row r="84" spans="3:149" x14ac:dyDescent="0.25">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ES84" s="6" t="s">
        <v>28</v>
      </c>
    </row>
    <row r="85" spans="3:149" x14ac:dyDescent="0.25">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ES85" s="6" t="s">
        <v>28</v>
      </c>
    </row>
    <row r="86" spans="3:149" x14ac:dyDescent="0.25">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ES86" s="6" t="s">
        <v>28</v>
      </c>
    </row>
    <row r="87" spans="3:149" x14ac:dyDescent="0.25">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ES87" s="6" t="s">
        <v>28</v>
      </c>
    </row>
    <row r="88" spans="3:149" x14ac:dyDescent="0.25">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ES88" s="6" t="s">
        <v>28</v>
      </c>
    </row>
    <row r="89" spans="3:149" x14ac:dyDescent="0.25">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ES89" s="6" t="s">
        <v>28</v>
      </c>
    </row>
    <row r="90" spans="3:149" x14ac:dyDescent="0.25">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ES90" s="6" t="s">
        <v>28</v>
      </c>
    </row>
    <row r="91" spans="3:149" x14ac:dyDescent="0.25">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ES91" s="6" t="s">
        <v>28</v>
      </c>
    </row>
    <row r="92" spans="3:149" x14ac:dyDescent="0.25">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ES92" s="6" t="s">
        <v>28</v>
      </c>
    </row>
    <row r="93" spans="3:149" x14ac:dyDescent="0.25">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row>
    <row r="94" spans="3:149" x14ac:dyDescent="0.25">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row>
    <row r="95" spans="3:149" x14ac:dyDescent="0.25">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row>
    <row r="96" spans="3:149" x14ac:dyDescent="0.25">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row>
    <row r="97" spans="3:66" x14ac:dyDescent="0.25">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row>
    <row r="98" spans="3:66" x14ac:dyDescent="0.25">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row>
    <row r="99" spans="3:66" x14ac:dyDescent="0.25">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row>
    <row r="100" spans="3:66" x14ac:dyDescent="0.25">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row>
    <row r="101" spans="3:66" x14ac:dyDescent="0.25">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row>
    <row r="102" spans="3:66" x14ac:dyDescent="0.25">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row>
    <row r="103" spans="3:66" x14ac:dyDescent="0.25">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row>
    <row r="104" spans="3:66" x14ac:dyDescent="0.25">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row>
    <row r="105" spans="3:66" x14ac:dyDescent="0.25">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row>
    <row r="106" spans="3:66" x14ac:dyDescent="0.25">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row>
    <row r="107" spans="3:66" x14ac:dyDescent="0.25">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row>
    <row r="108" spans="3:66" x14ac:dyDescent="0.25">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row>
    <row r="109" spans="3:66" x14ac:dyDescent="0.25">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row>
    <row r="110" spans="3:66" x14ac:dyDescent="0.25">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row>
    <row r="111" spans="3:66" x14ac:dyDescent="0.25">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row>
    <row r="112" spans="3:66" x14ac:dyDescent="0.25">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row>
    <row r="113" spans="3:66" x14ac:dyDescent="0.25">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row>
    <row r="114" spans="3:66" x14ac:dyDescent="0.25">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row>
  </sheetData>
  <phoneticPr fontId="2" type="noConversion"/>
  <hyperlinks>
    <hyperlink ref="A1" location="Main!A1" display="Main" xr:uid="{5474CBE3-C7CC-4524-8ECB-8CFBEE7837CD}"/>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5826D-EDF4-4D21-9E38-953EBD6E4763}">
  <dimension ref="A1"/>
  <sheetViews>
    <sheetView zoomScale="70" zoomScaleNormal="70" workbookViewId="0">
      <selection activeCell="C8" sqref="A1:XFD1048576"/>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7FEB-72C1-4B31-ABFF-A8194E0576A5}">
  <dimension ref="A2:X46"/>
  <sheetViews>
    <sheetView workbookViewId="0">
      <pane xSplit="2" ySplit="2" topLeftCell="C3" activePane="bottomRight" state="frozen"/>
      <selection pane="topRight" activeCell="C1" sqref="C1"/>
      <selection pane="bottomLeft" activeCell="A3" sqref="A3"/>
      <selection pane="bottomRight" activeCell="G18" sqref="G18"/>
    </sheetView>
  </sheetViews>
  <sheetFormatPr defaultRowHeight="14.4" x14ac:dyDescent="0.3"/>
  <cols>
    <col min="2" max="2" width="29.44140625" bestFit="1" customWidth="1"/>
  </cols>
  <sheetData>
    <row r="2" spans="2:24" x14ac:dyDescent="0.3">
      <c r="C2">
        <v>2014</v>
      </c>
      <c r="D2">
        <v>2015</v>
      </c>
      <c r="E2">
        <v>2016</v>
      </c>
      <c r="F2">
        <v>2017</v>
      </c>
      <c r="G2">
        <v>2018</v>
      </c>
      <c r="H2">
        <v>2019</v>
      </c>
      <c r="I2">
        <v>2020</v>
      </c>
      <c r="J2">
        <f>I2+1</f>
        <v>2021</v>
      </c>
      <c r="K2">
        <f t="shared" ref="K2:X2" si="0">J2+1</f>
        <v>2022</v>
      </c>
      <c r="L2">
        <f t="shared" si="0"/>
        <v>2023</v>
      </c>
      <c r="M2">
        <f t="shared" si="0"/>
        <v>2024</v>
      </c>
      <c r="N2">
        <f t="shared" si="0"/>
        <v>2025</v>
      </c>
      <c r="O2">
        <f t="shared" si="0"/>
        <v>2026</v>
      </c>
      <c r="P2">
        <f t="shared" si="0"/>
        <v>2027</v>
      </c>
      <c r="Q2">
        <f t="shared" si="0"/>
        <v>2028</v>
      </c>
      <c r="R2">
        <f t="shared" si="0"/>
        <v>2029</v>
      </c>
      <c r="S2">
        <f t="shared" si="0"/>
        <v>2030</v>
      </c>
      <c r="T2">
        <f t="shared" si="0"/>
        <v>2031</v>
      </c>
      <c r="U2">
        <f t="shared" si="0"/>
        <v>2032</v>
      </c>
      <c r="V2">
        <f t="shared" si="0"/>
        <v>2033</v>
      </c>
      <c r="W2">
        <f t="shared" si="0"/>
        <v>2034</v>
      </c>
      <c r="X2">
        <f t="shared" si="0"/>
        <v>2035</v>
      </c>
    </row>
    <row r="3" spans="2:24" s="1" customFormat="1" x14ac:dyDescent="0.3">
      <c r="B3" s="2" t="s">
        <v>88</v>
      </c>
    </row>
    <row r="4" spans="2:24" s="1" customFormat="1" x14ac:dyDescent="0.3">
      <c r="B4" s="1" t="s">
        <v>89</v>
      </c>
      <c r="L4" s="1">
        <v>2800</v>
      </c>
      <c r="M4" s="1">
        <v>3050</v>
      </c>
      <c r="N4" s="1">
        <v>3330</v>
      </c>
      <c r="O4" s="1">
        <v>3630</v>
      </c>
      <c r="P4" s="1">
        <v>3960</v>
      </c>
      <c r="Q4" s="1">
        <v>4320</v>
      </c>
      <c r="R4" s="1">
        <v>4720</v>
      </c>
      <c r="S4" s="1">
        <v>5150</v>
      </c>
      <c r="T4" s="1">
        <v>5560</v>
      </c>
      <c r="U4" s="1">
        <v>5980</v>
      </c>
      <c r="V4" s="1">
        <v>6390</v>
      </c>
    </row>
    <row r="5" spans="2:24" s="3" customFormat="1" x14ac:dyDescent="0.3">
      <c r="B5" s="3" t="s">
        <v>90</v>
      </c>
      <c r="M5" s="3">
        <f>M4/L4-1</f>
        <v>8.9285714285714191E-2</v>
      </c>
      <c r="N5" s="3">
        <f t="shared" ref="N5:V5" si="1">N4/M4-1</f>
        <v>9.1803278688524559E-2</v>
      </c>
      <c r="O5" s="3">
        <f t="shared" si="1"/>
        <v>9.0090090090090058E-2</v>
      </c>
      <c r="P5" s="3">
        <f t="shared" si="1"/>
        <v>9.0909090909090828E-2</v>
      </c>
      <c r="Q5" s="3">
        <f t="shared" si="1"/>
        <v>9.0909090909090828E-2</v>
      </c>
      <c r="R5" s="3">
        <f t="shared" si="1"/>
        <v>9.259259259259256E-2</v>
      </c>
      <c r="S5" s="3">
        <f t="shared" si="1"/>
        <v>9.1101694915254328E-2</v>
      </c>
      <c r="T5" s="3">
        <f t="shared" si="1"/>
        <v>7.9611650485436947E-2</v>
      </c>
      <c r="U5" s="3">
        <f t="shared" si="1"/>
        <v>7.5539568345323715E-2</v>
      </c>
      <c r="V5" s="3">
        <f t="shared" si="1"/>
        <v>6.8561872909699062E-2</v>
      </c>
    </row>
    <row r="6" spans="2:24" s="1" customFormat="1" x14ac:dyDescent="0.3"/>
    <row r="7" spans="2:24" s="1" customFormat="1" x14ac:dyDescent="0.3">
      <c r="B7" s="1" t="s">
        <v>91</v>
      </c>
      <c r="K7" s="1">
        <v>3200</v>
      </c>
      <c r="L7" s="1">
        <f>K7*(1+K8)</f>
        <v>3472</v>
      </c>
      <c r="M7" s="1">
        <f t="shared" ref="M7:S7" si="2">L7*(1+L8)</f>
        <v>3767.12</v>
      </c>
      <c r="N7" s="1">
        <f t="shared" si="2"/>
        <v>4087.3251999999998</v>
      </c>
      <c r="O7" s="1">
        <f t="shared" si="2"/>
        <v>4434.7478419999998</v>
      </c>
      <c r="P7" s="1">
        <f t="shared" si="2"/>
        <v>4811.7014085699993</v>
      </c>
      <c r="Q7" s="1">
        <f t="shared" si="2"/>
        <v>5220.6960282984492</v>
      </c>
      <c r="R7" s="1">
        <f t="shared" si="2"/>
        <v>5664.4551907038176</v>
      </c>
      <c r="S7" s="1">
        <f t="shared" si="2"/>
        <v>6145.9338819136419</v>
      </c>
    </row>
    <row r="8" spans="2:24" s="3" customFormat="1" x14ac:dyDescent="0.3">
      <c r="B8" s="3" t="s">
        <v>90</v>
      </c>
      <c r="K8" s="3">
        <v>8.5000000000000006E-2</v>
      </c>
      <c r="L8" s="3">
        <v>8.5000000000000006E-2</v>
      </c>
      <c r="M8" s="3">
        <v>8.5000000000000006E-2</v>
      </c>
      <c r="N8" s="3">
        <v>8.5000000000000006E-2</v>
      </c>
      <c r="O8" s="3">
        <v>8.5000000000000006E-2</v>
      </c>
      <c r="P8" s="3">
        <v>8.5000000000000006E-2</v>
      </c>
      <c r="Q8" s="3">
        <v>8.5000000000000006E-2</v>
      </c>
      <c r="R8" s="3">
        <v>8.5000000000000006E-2</v>
      </c>
      <c r="S8" s="3">
        <v>8.5000000000000006E-2</v>
      </c>
    </row>
    <row r="9" spans="2:24" s="1" customFormat="1" x14ac:dyDescent="0.3"/>
    <row r="10" spans="2:24" s="1" customFormat="1" x14ac:dyDescent="0.3">
      <c r="B10" s="1" t="s">
        <v>92</v>
      </c>
      <c r="J10" s="1">
        <v>2950</v>
      </c>
      <c r="K10" s="1">
        <f>J10*(1+K11)</f>
        <v>3278.5201087838063</v>
      </c>
      <c r="L10" s="1">
        <f t="shared" ref="L10:R10" si="3">K10*(1+L11)</f>
        <v>3643.6251198982309</v>
      </c>
      <c r="M10" s="1">
        <f t="shared" si="3"/>
        <v>4102.7218850054078</v>
      </c>
      <c r="N10" s="1">
        <f t="shared" si="3"/>
        <v>4619.6648425160884</v>
      </c>
      <c r="O10" s="1">
        <f t="shared" si="3"/>
        <v>5201.7426126731152</v>
      </c>
      <c r="P10" s="1">
        <f t="shared" si="3"/>
        <v>5857.1621818699268</v>
      </c>
      <c r="Q10" s="1">
        <f t="shared" si="3"/>
        <v>6595.164616785537</v>
      </c>
      <c r="R10" s="1">
        <f t="shared" si="3"/>
        <v>7426.155358500514</v>
      </c>
      <c r="S10" s="1">
        <v>7630</v>
      </c>
    </row>
    <row r="11" spans="2:24" s="3" customFormat="1" x14ac:dyDescent="0.3">
      <c r="B11" s="3" t="s">
        <v>90</v>
      </c>
      <c r="J11" s="3">
        <v>0.126</v>
      </c>
      <c r="K11" s="3">
        <f>(S10/J10)^(1/9)-1</f>
        <v>0.1113627487402733</v>
      </c>
      <c r="L11" s="3">
        <v>0.1113627487402733</v>
      </c>
      <c r="M11" s="3">
        <v>0.126</v>
      </c>
      <c r="N11" s="3">
        <v>0.126</v>
      </c>
      <c r="O11" s="3">
        <v>0.126</v>
      </c>
      <c r="P11" s="3">
        <v>0.126</v>
      </c>
      <c r="Q11" s="3">
        <v>0.126</v>
      </c>
      <c r="R11" s="3">
        <v>0.126</v>
      </c>
      <c r="S11" s="3">
        <v>0.126</v>
      </c>
    </row>
    <row r="12" spans="2:24" x14ac:dyDescent="0.3">
      <c r="B12" t="s">
        <v>93</v>
      </c>
      <c r="C12">
        <v>6.1</v>
      </c>
      <c r="D12">
        <v>8.4</v>
      </c>
      <c r="E12">
        <v>10.1</v>
      </c>
      <c r="F12">
        <v>11</v>
      </c>
    </row>
    <row r="13" spans="2:24" s="1" customFormat="1" x14ac:dyDescent="0.3"/>
    <row r="14" spans="2:24" s="1" customFormat="1" x14ac:dyDescent="0.3">
      <c r="B14" s="1" t="s">
        <v>94</v>
      </c>
      <c r="M14" s="1">
        <v>4410</v>
      </c>
      <c r="N14" s="1">
        <f>M14*1.158</f>
        <v>5106.78</v>
      </c>
      <c r="O14" s="1">
        <f t="shared" ref="O14:Q14" si="4">N14*1.158</f>
        <v>5913.6512399999992</v>
      </c>
      <c r="P14" s="1">
        <f t="shared" si="4"/>
        <v>6848.0081359199985</v>
      </c>
      <c r="Q14" s="1">
        <f t="shared" si="4"/>
        <v>7929.9934213953575</v>
      </c>
      <c r="R14" s="1">
        <v>9180</v>
      </c>
    </row>
    <row r="15" spans="2:24" s="3" customFormat="1" x14ac:dyDescent="0.3">
      <c r="B15" s="3" t="s">
        <v>90</v>
      </c>
      <c r="J15" s="3" t="s">
        <v>95</v>
      </c>
      <c r="M15" s="3">
        <v>0.158</v>
      </c>
    </row>
    <row r="16" spans="2:24" s="1" customFormat="1" x14ac:dyDescent="0.3"/>
    <row r="18" spans="2:24" s="2" customFormat="1" x14ac:dyDescent="0.3">
      <c r="B18" s="2" t="s">
        <v>96</v>
      </c>
      <c r="G18" s="2">
        <v>3300</v>
      </c>
      <c r="J18" s="2">
        <f>AVERAGE(J4,J7,J10,J14)</f>
        <v>2950</v>
      </c>
      <c r="K18" s="2">
        <f t="shared" ref="K18:X18" si="5">AVERAGE(K4,K7,K10,K14)</f>
        <v>3239.2600543919034</v>
      </c>
      <c r="L18" s="2">
        <f t="shared" si="5"/>
        <v>3305.2083732994106</v>
      </c>
      <c r="M18" s="2">
        <f t="shared" si="5"/>
        <v>3832.4604712513519</v>
      </c>
      <c r="N18" s="2">
        <f t="shared" si="5"/>
        <v>4285.9425106290219</v>
      </c>
      <c r="O18" s="2">
        <f t="shared" si="5"/>
        <v>4795.0354236682788</v>
      </c>
      <c r="P18" s="2">
        <f t="shared" si="5"/>
        <v>5369.2179315899812</v>
      </c>
      <c r="Q18" s="2">
        <f t="shared" si="5"/>
        <v>6016.4635166198359</v>
      </c>
      <c r="R18" s="2">
        <f t="shared" si="5"/>
        <v>6747.6526373010829</v>
      </c>
      <c r="S18" s="2">
        <f t="shared" si="5"/>
        <v>6308.6446273045476</v>
      </c>
      <c r="T18" s="2">
        <f t="shared" si="5"/>
        <v>5560</v>
      </c>
      <c r="U18" s="2">
        <f t="shared" si="5"/>
        <v>5980</v>
      </c>
      <c r="V18" s="2">
        <f t="shared" si="5"/>
        <v>6390</v>
      </c>
      <c r="W18" s="2" t="e">
        <f t="shared" si="5"/>
        <v>#DIV/0!</v>
      </c>
      <c r="X18" s="2" t="e">
        <f t="shared" si="5"/>
        <v>#DIV/0!</v>
      </c>
    </row>
    <row r="19" spans="2:24" s="4" customFormat="1" x14ac:dyDescent="0.3">
      <c r="B19" s="4" t="s">
        <v>97</v>
      </c>
      <c r="J19" s="4">
        <f>AVERAGE(J5,J8,J11,J15)</f>
        <v>0.126</v>
      </c>
      <c r="K19" s="4">
        <f t="shared" ref="K19:X19" si="6">AVERAGE(K5,K8,K11,K15)</f>
        <v>9.8181374370136659E-2</v>
      </c>
      <c r="L19" s="4">
        <f t="shared" si="6"/>
        <v>9.8181374370136659E-2</v>
      </c>
      <c r="M19" s="4">
        <f t="shared" si="6"/>
        <v>0.11457142857142855</v>
      </c>
      <c r="N19" s="4">
        <f t="shared" si="6"/>
        <v>0.1009344262295082</v>
      </c>
      <c r="O19" s="4">
        <f t="shared" si="6"/>
        <v>0.10036336336336336</v>
      </c>
      <c r="P19" s="4">
        <f t="shared" si="6"/>
        <v>0.10063636363636362</v>
      </c>
      <c r="Q19" s="4">
        <f t="shared" si="6"/>
        <v>0.10063636363636362</v>
      </c>
      <c r="R19" s="4">
        <f t="shared" si="6"/>
        <v>0.10119753086419753</v>
      </c>
      <c r="S19" s="4">
        <f t="shared" si="6"/>
        <v>0.10070056497175145</v>
      </c>
      <c r="T19" s="4">
        <f t="shared" si="6"/>
        <v>7.9611650485436947E-2</v>
      </c>
      <c r="U19" s="4">
        <f t="shared" si="6"/>
        <v>7.5539568345323715E-2</v>
      </c>
      <c r="V19" s="4">
        <f t="shared" si="6"/>
        <v>6.8561872909699062E-2</v>
      </c>
      <c r="W19" s="4" t="e">
        <f t="shared" si="6"/>
        <v>#DIV/0!</v>
      </c>
      <c r="X19" s="4" t="e">
        <f t="shared" si="6"/>
        <v>#DIV/0!</v>
      </c>
    </row>
    <row r="43" spans="1:1" x14ac:dyDescent="0.3">
      <c r="A43" t="s">
        <v>98</v>
      </c>
    </row>
    <row r="44" spans="1:1" x14ac:dyDescent="0.3">
      <c r="A44" t="s">
        <v>99</v>
      </c>
    </row>
    <row r="45" spans="1:1" x14ac:dyDescent="0.3">
      <c r="A45" t="s">
        <v>100</v>
      </c>
    </row>
    <row r="46" spans="1:1" x14ac:dyDescent="0.3">
      <c r="A46"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FDE4-22A1-41A5-9558-224006BC8FBA}">
  <dimension ref="G1:J7"/>
  <sheetViews>
    <sheetView workbookViewId="0">
      <selection activeCell="I3" sqref="I3"/>
    </sheetView>
  </sheetViews>
  <sheetFormatPr defaultRowHeight="14.4" x14ac:dyDescent="0.3"/>
  <sheetData>
    <row r="1" spans="7:10" x14ac:dyDescent="0.3">
      <c r="J1" t="s">
        <v>101</v>
      </c>
    </row>
    <row r="3" spans="7:10" x14ac:dyDescent="0.3">
      <c r="G3" t="s">
        <v>102</v>
      </c>
    </row>
    <row r="4" spans="7:10" x14ac:dyDescent="0.3">
      <c r="G4" t="s">
        <v>103</v>
      </c>
    </row>
    <row r="5" spans="7:10" x14ac:dyDescent="0.3">
      <c r="G5" t="s">
        <v>104</v>
      </c>
    </row>
    <row r="6" spans="7:10" x14ac:dyDescent="0.3">
      <c r="G6" t="s">
        <v>105</v>
      </c>
    </row>
    <row r="7" spans="7:10" x14ac:dyDescent="0.3">
      <c r="G7" t="s">
        <v>106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F24D5-48C0-4AA3-A9DE-57B286CB81F1}">
  <dimension ref="O16"/>
  <sheetViews>
    <sheetView workbookViewId="0">
      <selection activeCell="H31" sqref="H31"/>
    </sheetView>
  </sheetViews>
  <sheetFormatPr defaultRowHeight="14.4" x14ac:dyDescent="0.3"/>
  <sheetData>
    <row r="16" spans="15:15" x14ac:dyDescent="0.3">
      <c r="O16" t="s">
        <v>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Model</vt:lpstr>
      <vt:lpstr>Sales data</vt:lpstr>
      <vt:lpstr>Market prediction</vt:lpstr>
      <vt:lpstr>Competitors</vt:lpstr>
      <vt:lpstr>XD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Franciszek Kessler</dc:creator>
  <cp:keywords/>
  <dc:description/>
  <cp:lastModifiedBy>Franciszek Kessler</cp:lastModifiedBy>
  <cp:revision/>
  <dcterms:created xsi:type="dcterms:W3CDTF">2024-01-06T21:29:40Z</dcterms:created>
  <dcterms:modified xsi:type="dcterms:W3CDTF">2025-01-16T20:30:33Z</dcterms:modified>
  <cp:category/>
  <cp:contentStatus/>
</cp:coreProperties>
</file>