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a81685cd5063f9d2/Dokumenty/Models stocks/"/>
    </mc:Choice>
  </mc:AlternateContent>
  <xr:revisionPtr revIDLastSave="1226" documentId="8_{24206F12-F0CA-48BE-94F6-68D65490A94F}" xr6:coauthVersionLast="47" xr6:coauthVersionMax="47" xr10:uidLastSave="{F0926CA2-AD43-47C4-B847-23493C53923A}"/>
  <bookViews>
    <workbookView xWindow="24" yWindow="1536" windowWidth="23016" windowHeight="11700" activeTab="1" xr2:uid="{C2A537D2-81CC-41DE-90E3-F8EDF7DA01A3}"/>
  </bookViews>
  <sheets>
    <sheet name="Main" sheetId="1" r:id="rId1"/>
    <sheet name="Model" sheetId="2" r:id="rId2"/>
    <sheet name="Energy" sheetId="3" r:id="rId3"/>
    <sheet name="Log"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7" i="2" l="1"/>
  <c r="I72" i="2"/>
  <c r="I58" i="2"/>
  <c r="M97" i="2"/>
  <c r="M102" i="2"/>
  <c r="M33" i="2"/>
  <c r="M25" i="2"/>
  <c r="M28" i="2" s="1"/>
  <c r="M13" i="2"/>
  <c r="M22" i="2" s="1"/>
  <c r="M29" i="2" s="1"/>
  <c r="M34" i="2" s="1"/>
  <c r="M38" i="2" s="1"/>
  <c r="M40" i="2" s="1"/>
  <c r="M55" i="2" s="1"/>
  <c r="G11" i="1"/>
  <c r="G10" i="1"/>
  <c r="F8" i="1" a="1"/>
  <c r="F8" i="1" s="1"/>
  <c r="H97" i="2"/>
  <c r="L97" i="2"/>
  <c r="H94" i="2"/>
  <c r="H93" i="2"/>
  <c r="H91" i="2"/>
  <c r="H90" i="2"/>
  <c r="H89" i="2"/>
  <c r="H87" i="2"/>
  <c r="L94" i="2"/>
  <c r="L93" i="2"/>
  <c r="L91" i="2"/>
  <c r="L90" i="2"/>
  <c r="L89" i="2"/>
  <c r="L87" i="2"/>
  <c r="L86" i="2"/>
  <c r="H80" i="2"/>
  <c r="H79" i="2"/>
  <c r="H75" i="2"/>
  <c r="H74" i="2"/>
  <c r="L80" i="2"/>
  <c r="L79" i="2"/>
  <c r="L75" i="2"/>
  <c r="M84" i="2" s="1"/>
  <c r="L74" i="2"/>
  <c r="H71" i="2"/>
  <c r="H70" i="2"/>
  <c r="H69" i="2"/>
  <c r="H68" i="2"/>
  <c r="H67" i="2"/>
  <c r="H66" i="2"/>
  <c r="H64" i="2"/>
  <c r="H63" i="2"/>
  <c r="H62" i="2"/>
  <c r="H61" i="2"/>
  <c r="H60" i="2"/>
  <c r="H59" i="2"/>
  <c r="L71" i="2"/>
  <c r="L70" i="2"/>
  <c r="L69" i="2"/>
  <c r="L68" i="2"/>
  <c r="L67" i="2"/>
  <c r="L66" i="2"/>
  <c r="L64" i="2"/>
  <c r="L63" i="2"/>
  <c r="L62" i="2"/>
  <c r="L61" i="2"/>
  <c r="L60" i="2"/>
  <c r="L59" i="2"/>
  <c r="L19" i="2"/>
  <c r="K19" i="2"/>
  <c r="L17" i="2"/>
  <c r="K17" i="2"/>
  <c r="L33" i="2"/>
  <c r="L25" i="2"/>
  <c r="L28" i="2" s="1"/>
  <c r="L8" i="2"/>
  <c r="L7" i="2"/>
  <c r="L21" i="2"/>
  <c r="L13" i="2"/>
  <c r="L22" i="2" s="1"/>
  <c r="L6" i="2"/>
  <c r="L5" i="2"/>
  <c r="G95" i="2"/>
  <c r="K95" i="2"/>
  <c r="G84" i="2"/>
  <c r="K84" i="2"/>
  <c r="K21" i="2"/>
  <c r="K7" i="2"/>
  <c r="K8" i="2"/>
  <c r="H33" i="2"/>
  <c r="H25" i="2"/>
  <c r="H28" i="2" s="1"/>
  <c r="H21" i="2"/>
  <c r="H13" i="2"/>
  <c r="H22" i="2" s="1"/>
  <c r="H52" i="2" s="1"/>
  <c r="C17" i="2"/>
  <c r="E17" i="2"/>
  <c r="C13" i="2"/>
  <c r="C22" i="2" s="1"/>
  <c r="C52" i="2" s="1"/>
  <c r="C33" i="2"/>
  <c r="C25" i="2"/>
  <c r="C28" i="2" s="1"/>
  <c r="C21" i="2"/>
  <c r="E8" i="2"/>
  <c r="G8" i="2"/>
  <c r="I8" i="2"/>
  <c r="E7" i="2"/>
  <c r="G7" i="2"/>
  <c r="I7" i="2"/>
  <c r="C6" i="2"/>
  <c r="D6" i="2"/>
  <c r="E6" i="2"/>
  <c r="F6" i="2"/>
  <c r="G6" i="2"/>
  <c r="H6" i="2"/>
  <c r="K6" i="2"/>
  <c r="I6" i="2"/>
  <c r="J6" i="2"/>
  <c r="G33" i="2"/>
  <c r="G25" i="2"/>
  <c r="G28" i="2" s="1"/>
  <c r="I19" i="2"/>
  <c r="G21" i="2"/>
  <c r="H19" i="2"/>
  <c r="G17" i="2"/>
  <c r="G13" i="2"/>
  <c r="G22" i="2" s="1"/>
  <c r="K33" i="2"/>
  <c r="K25" i="2"/>
  <c r="K28" i="2" s="1"/>
  <c r="K13" i="2"/>
  <c r="K22" i="2" s="1"/>
  <c r="H18" i="2"/>
  <c r="H16" i="2"/>
  <c r="H17" i="2" s="1"/>
  <c r="E21" i="2"/>
  <c r="I21" i="2"/>
  <c r="E13" i="2"/>
  <c r="E22" i="2" s="1"/>
  <c r="E33" i="2"/>
  <c r="E25" i="2"/>
  <c r="E28" i="2" s="1"/>
  <c r="I33" i="2"/>
  <c r="I25" i="2"/>
  <c r="I28" i="2" s="1"/>
  <c r="I13" i="2"/>
  <c r="I22" i="2" s="1"/>
  <c r="K5" i="2"/>
  <c r="H39" i="3"/>
  <c r="F35" i="3"/>
  <c r="G35" i="3"/>
  <c r="H35" i="3"/>
  <c r="E35" i="3"/>
  <c r="F29" i="3"/>
  <c r="G29" i="3"/>
  <c r="H29" i="3"/>
  <c r="I29" i="3"/>
  <c r="J29" i="3"/>
  <c r="K29" i="3"/>
  <c r="L29" i="3"/>
  <c r="M29" i="3"/>
  <c r="N29" i="3"/>
  <c r="E29" i="3"/>
  <c r="H34" i="3"/>
  <c r="G34" i="3"/>
  <c r="F34" i="3"/>
  <c r="E34" i="3"/>
  <c r="H27" i="3"/>
  <c r="G27" i="3"/>
  <c r="F27" i="3"/>
  <c r="E27" i="3"/>
  <c r="H26" i="3"/>
  <c r="G26" i="3"/>
  <c r="F26" i="3"/>
  <c r="E26" i="3"/>
  <c r="H25" i="3"/>
  <c r="G25" i="3"/>
  <c r="F25" i="3"/>
  <c r="E25" i="3"/>
  <c r="I23" i="3"/>
  <c r="J23" i="3" s="1"/>
  <c r="K23" i="3" s="1"/>
  <c r="L23" i="3" s="1"/>
  <c r="M23" i="3" s="1"/>
  <c r="N23" i="3" s="1"/>
  <c r="N35" i="3" s="1"/>
  <c r="I37" i="3"/>
  <c r="J37" i="3" s="1"/>
  <c r="D3" i="3"/>
  <c r="E3" i="3"/>
  <c r="F3" i="3"/>
  <c r="G3" i="3"/>
  <c r="D9" i="3"/>
  <c r="E9" i="3"/>
  <c r="F9" i="3"/>
  <c r="G9" i="3"/>
  <c r="G11" i="3" s="1"/>
  <c r="H9" i="3"/>
  <c r="H3" i="3"/>
  <c r="H11" i="3" s="1"/>
  <c r="I95" i="2" l="1"/>
  <c r="I84" i="2"/>
  <c r="I102" i="2"/>
  <c r="M95" i="2"/>
  <c r="M98" i="2" s="1"/>
  <c r="M100" i="2" s="1"/>
  <c r="M58" i="2"/>
  <c r="M52" i="2"/>
  <c r="M53" i="2"/>
  <c r="M54" i="2"/>
  <c r="M72" i="2"/>
  <c r="L95" i="2"/>
  <c r="L84" i="2"/>
  <c r="L52" i="2"/>
  <c r="L29" i="2"/>
  <c r="H95" i="2"/>
  <c r="H84" i="2"/>
  <c r="G29" i="2"/>
  <c r="K52" i="2"/>
  <c r="K29" i="2"/>
  <c r="H29" i="2"/>
  <c r="G52" i="2"/>
  <c r="C29" i="2"/>
  <c r="I16" i="2"/>
  <c r="I17" i="2" s="1"/>
  <c r="I18" i="2"/>
  <c r="J18" i="2" s="1"/>
  <c r="E52" i="2"/>
  <c r="E29" i="2"/>
  <c r="E54" i="2" s="1"/>
  <c r="N39" i="3"/>
  <c r="O35" i="3"/>
  <c r="K35" i="3"/>
  <c r="K39" i="3" s="1"/>
  <c r="J35" i="3"/>
  <c r="J39" i="3" s="1"/>
  <c r="I35" i="3"/>
  <c r="I39" i="3" s="1"/>
  <c r="M35" i="3"/>
  <c r="M39" i="3" s="1"/>
  <c r="L35" i="3"/>
  <c r="E11" i="3"/>
  <c r="I31" i="3"/>
  <c r="I34" i="3" s="1"/>
  <c r="F11" i="3"/>
  <c r="D11" i="3"/>
  <c r="K37" i="3"/>
  <c r="L37" i="3" s="1"/>
  <c r="M37" i="3" s="1"/>
  <c r="N37" i="3" s="1"/>
  <c r="O37" i="3" s="1"/>
  <c r="P37" i="3" s="1"/>
  <c r="Q37" i="3" s="1"/>
  <c r="R37" i="3" s="1"/>
  <c r="S37" i="3" s="1"/>
  <c r="T37" i="3" s="1"/>
  <c r="U37" i="3" s="1"/>
  <c r="V37" i="3" s="1"/>
  <c r="W37" i="3" s="1"/>
  <c r="X37" i="3" s="1"/>
  <c r="Y37" i="3" s="1"/>
  <c r="Z37" i="3" s="1"/>
  <c r="AA37" i="3" s="1"/>
  <c r="AB37" i="3" s="1"/>
  <c r="AC37" i="3" s="1"/>
  <c r="AD37" i="3" s="1"/>
  <c r="AE37" i="3" s="1"/>
  <c r="AF37" i="3" s="1"/>
  <c r="AG37" i="3" s="1"/>
  <c r="AH37" i="3" s="1"/>
  <c r="AI37" i="3" s="1"/>
  <c r="AJ37" i="3" s="1"/>
  <c r="AK37" i="3" s="1"/>
  <c r="AL37" i="3" s="1"/>
  <c r="AM37" i="3" s="1"/>
  <c r="AN37" i="3" s="1"/>
  <c r="AO37" i="3" s="1"/>
  <c r="AP37" i="3" s="1"/>
  <c r="AQ37" i="3" s="1"/>
  <c r="AR37" i="3" s="1"/>
  <c r="AS37" i="3" s="1"/>
  <c r="AT37" i="3" s="1"/>
  <c r="AU37" i="3" s="1"/>
  <c r="AV37" i="3" s="1"/>
  <c r="AW37" i="3" s="1"/>
  <c r="AX37" i="3" s="1"/>
  <c r="AY37" i="3" s="1"/>
  <c r="AZ37" i="3" s="1"/>
  <c r="BA37" i="3" s="1"/>
  <c r="BB37" i="3" s="1"/>
  <c r="BC37" i="3" s="1"/>
  <c r="BD37" i="3" s="1"/>
  <c r="BE37" i="3" s="1"/>
  <c r="BF37" i="3" s="1"/>
  <c r="BG37" i="3" s="1"/>
  <c r="BH37" i="3" s="1"/>
  <c r="BI37" i="3" s="1"/>
  <c r="BJ37" i="3" s="1"/>
  <c r="BK37" i="3" s="1"/>
  <c r="BL37" i="3" s="1"/>
  <c r="BM37" i="3" s="1"/>
  <c r="BN37" i="3" s="1"/>
  <c r="BO37" i="3" s="1"/>
  <c r="BP37" i="3" s="1"/>
  <c r="BQ37" i="3" s="1"/>
  <c r="BR37" i="3" s="1"/>
  <c r="BS37" i="3" s="1"/>
  <c r="BT37" i="3" s="1"/>
  <c r="BU37" i="3" s="1"/>
  <c r="BV37" i="3" s="1"/>
  <c r="BW37" i="3" s="1"/>
  <c r="BX37" i="3" s="1"/>
  <c r="BY37" i="3" s="1"/>
  <c r="BZ37" i="3" s="1"/>
  <c r="CA37" i="3" s="1"/>
  <c r="CB37" i="3" s="1"/>
  <c r="CC37" i="3" s="1"/>
  <c r="CD37" i="3" s="1"/>
  <c r="CE37" i="3" s="1"/>
  <c r="CF37" i="3" s="1"/>
  <c r="CG37" i="3" s="1"/>
  <c r="CH37" i="3" s="1"/>
  <c r="CI37" i="3" s="1"/>
  <c r="CJ37" i="3" s="1"/>
  <c r="CK37" i="3" s="1"/>
  <c r="CL37" i="3" s="1"/>
  <c r="CM37" i="3" s="1"/>
  <c r="CN37" i="3" s="1"/>
  <c r="CO37" i="3" s="1"/>
  <c r="CP37" i="3" s="1"/>
  <c r="CQ37" i="3" s="1"/>
  <c r="CR37" i="3" s="1"/>
  <c r="CS37" i="3" s="1"/>
  <c r="CT37" i="3" s="1"/>
  <c r="CU37" i="3" s="1"/>
  <c r="CV37" i="3" s="1"/>
  <c r="CW37" i="3" s="1"/>
  <c r="CX37" i="3" s="1"/>
  <c r="CY37" i="3" s="1"/>
  <c r="CZ37" i="3" s="1"/>
  <c r="DA37" i="3" s="1"/>
  <c r="DB37" i="3" s="1"/>
  <c r="DC37" i="3" s="1"/>
  <c r="DD37" i="3" s="1"/>
  <c r="DE37" i="3" s="1"/>
  <c r="DF37" i="3" s="1"/>
  <c r="DG37" i="3" s="1"/>
  <c r="DH37" i="3" s="1"/>
  <c r="DI37" i="3" s="1"/>
  <c r="DJ37" i="3" s="1"/>
  <c r="DK37" i="3" s="1"/>
  <c r="DL37" i="3" s="1"/>
  <c r="DM37" i="3" s="1"/>
  <c r="DN37" i="3" s="1"/>
  <c r="DO37" i="3" s="1"/>
  <c r="DP37" i="3" s="1"/>
  <c r="DQ37" i="3" s="1"/>
  <c r="DR37" i="3" s="1"/>
  <c r="I98" i="2" l="1"/>
  <c r="I100" i="2" s="1"/>
  <c r="L54" i="2"/>
  <c r="L34" i="2"/>
  <c r="L38" i="2" s="1"/>
  <c r="H34" i="2"/>
  <c r="H38" i="2" s="1"/>
  <c r="H54" i="2"/>
  <c r="G34" i="2"/>
  <c r="G38" i="2" s="1"/>
  <c r="G54" i="2"/>
  <c r="K34" i="2"/>
  <c r="K38" i="2" s="1"/>
  <c r="K54" i="2"/>
  <c r="C34" i="2"/>
  <c r="C38" i="2" s="1"/>
  <c r="C54" i="2"/>
  <c r="J16" i="2"/>
  <c r="E34" i="2"/>
  <c r="E38" i="2" s="1"/>
  <c r="E40" i="2" s="1"/>
  <c r="L39" i="3"/>
  <c r="O39" i="3"/>
  <c r="P35" i="3"/>
  <c r="J31" i="3"/>
  <c r="J34" i="3" s="1"/>
  <c r="L53" i="2" l="1"/>
  <c r="L40" i="2"/>
  <c r="G40" i="2"/>
  <c r="G53" i="2"/>
  <c r="H40" i="2"/>
  <c r="H58" i="2" s="1"/>
  <c r="H72" i="2" s="1"/>
  <c r="H53" i="2"/>
  <c r="K53" i="2"/>
  <c r="K40" i="2"/>
  <c r="C53" i="2"/>
  <c r="C40" i="2"/>
  <c r="I29" i="2"/>
  <c r="I52" i="2"/>
  <c r="E53" i="2"/>
  <c r="E55" i="2"/>
  <c r="Q35" i="3"/>
  <c r="P39" i="3"/>
  <c r="K31" i="3"/>
  <c r="K34" i="3" s="1"/>
  <c r="D12" i="3"/>
  <c r="D14" i="3" s="1"/>
  <c r="E12" i="3"/>
  <c r="E14" i="3" s="1"/>
  <c r="F12" i="3"/>
  <c r="F14" i="3" s="1"/>
  <c r="G12" i="3"/>
  <c r="G14" i="3" s="1"/>
  <c r="H12" i="3"/>
  <c r="H14" i="3" s="1"/>
  <c r="C12" i="3"/>
  <c r="C14" i="3" s="1"/>
  <c r="D2" i="3"/>
  <c r="E2" i="3" s="1"/>
  <c r="F2" i="3" s="1"/>
  <c r="G2" i="3" s="1"/>
  <c r="H2" i="3" s="1"/>
  <c r="I2" i="3" s="1"/>
  <c r="H7" i="3"/>
  <c r="G7" i="3"/>
  <c r="F7" i="3"/>
  <c r="E7" i="3"/>
  <c r="D7" i="3"/>
  <c r="T19" i="2"/>
  <c r="Q6" i="2"/>
  <c r="R6" i="2"/>
  <c r="S6" i="2"/>
  <c r="T6" i="2"/>
  <c r="U6" i="2"/>
  <c r="V6" i="2"/>
  <c r="W27" i="2"/>
  <c r="X27" i="2" s="1"/>
  <c r="Y27" i="2" s="1"/>
  <c r="Z27" i="2" s="1"/>
  <c r="AA27" i="2" s="1"/>
  <c r="AB27" i="2" s="1"/>
  <c r="W20" i="2"/>
  <c r="X20" i="2" s="1"/>
  <c r="Y20" i="2" s="1"/>
  <c r="Z20" i="2" s="1"/>
  <c r="AA20" i="2" s="1"/>
  <c r="AB20" i="2" s="1"/>
  <c r="Q8" i="2"/>
  <c r="R8" i="2"/>
  <c r="S8" i="2"/>
  <c r="T8" i="2"/>
  <c r="U8" i="2"/>
  <c r="Q33" i="2"/>
  <c r="R33" i="2"/>
  <c r="S33" i="2"/>
  <c r="S25" i="2"/>
  <c r="S28" i="2" s="1"/>
  <c r="R25" i="2"/>
  <c r="R28" i="2" s="1"/>
  <c r="Q25" i="2"/>
  <c r="Q28" i="2" s="1"/>
  <c r="Q13" i="2"/>
  <c r="Q22" i="2" s="1"/>
  <c r="Q52" i="2" s="1"/>
  <c r="R13" i="2"/>
  <c r="S21" i="2"/>
  <c r="V21" i="2"/>
  <c r="R21" i="2"/>
  <c r="R19" i="2"/>
  <c r="S19" i="2"/>
  <c r="S13" i="2"/>
  <c r="U19" i="2"/>
  <c r="T21" i="2"/>
  <c r="U21" i="2"/>
  <c r="V19" i="2"/>
  <c r="W3" i="2"/>
  <c r="S7" i="2"/>
  <c r="T7" i="2"/>
  <c r="U7" i="2"/>
  <c r="V7" i="2"/>
  <c r="W7" i="2" s="1"/>
  <c r="X7" i="2" s="1"/>
  <c r="C5" i="2"/>
  <c r="D5" i="2"/>
  <c r="E5" i="2"/>
  <c r="F5" i="2"/>
  <c r="G5" i="2"/>
  <c r="H5" i="2"/>
  <c r="I5" i="2"/>
  <c r="J5" i="2"/>
  <c r="S5" i="2"/>
  <c r="T5" i="2"/>
  <c r="U5" i="2"/>
  <c r="V5" i="2"/>
  <c r="S22" i="2" l="1"/>
  <c r="H102" i="2"/>
  <c r="H98" i="2"/>
  <c r="H100" i="2" s="1"/>
  <c r="L55" i="2"/>
  <c r="L44" i="2"/>
  <c r="L48" i="2" s="1"/>
  <c r="L50" i="2" s="1"/>
  <c r="L58" i="2"/>
  <c r="L72" i="2" s="1"/>
  <c r="H44" i="2"/>
  <c r="H48" i="2" s="1"/>
  <c r="H50" i="2" s="1"/>
  <c r="H55" i="2"/>
  <c r="G55" i="2"/>
  <c r="G44" i="2"/>
  <c r="G48" i="2" s="1"/>
  <c r="G50" i="2" s="1"/>
  <c r="G58" i="2"/>
  <c r="G72" i="2" s="1"/>
  <c r="K55" i="2"/>
  <c r="K44" i="2"/>
  <c r="K48" i="2" s="1"/>
  <c r="K50" i="2" s="1"/>
  <c r="K58" i="2"/>
  <c r="K72" i="2" s="1"/>
  <c r="C44" i="2"/>
  <c r="C48" i="2" s="1"/>
  <c r="C50" i="2" s="1"/>
  <c r="C55" i="2"/>
  <c r="W23" i="2"/>
  <c r="W31" i="2"/>
  <c r="I34" i="2"/>
  <c r="I38" i="2" s="1"/>
  <c r="I54" i="2"/>
  <c r="Q39" i="3"/>
  <c r="R35" i="3"/>
  <c r="L31" i="3"/>
  <c r="L34" i="3" s="1"/>
  <c r="I3" i="3"/>
  <c r="I11" i="3"/>
  <c r="I5" i="3"/>
  <c r="I12" i="3"/>
  <c r="I9" i="3"/>
  <c r="J2" i="3"/>
  <c r="Q29" i="2"/>
  <c r="Q54" i="2" s="1"/>
  <c r="S29" i="2"/>
  <c r="S54" i="2" s="1"/>
  <c r="W25" i="2"/>
  <c r="R22" i="2"/>
  <c r="X3" i="2"/>
  <c r="Y7" i="2"/>
  <c r="X10" i="2"/>
  <c r="X13" i="2" s="1"/>
  <c r="W10" i="2"/>
  <c r="W13" i="2" s="1"/>
  <c r="T95" i="2"/>
  <c r="T84" i="2"/>
  <c r="U95" i="2"/>
  <c r="U84" i="2"/>
  <c r="V95" i="2"/>
  <c r="V84" i="2"/>
  <c r="T33" i="2"/>
  <c r="T25" i="2"/>
  <c r="T28" i="2" s="1"/>
  <c r="T13" i="2"/>
  <c r="T22" i="2" s="1"/>
  <c r="U33" i="2"/>
  <c r="U25" i="2"/>
  <c r="U28" i="2" s="1"/>
  <c r="U13" i="2"/>
  <c r="U22" i="2" s="1"/>
  <c r="V33" i="2"/>
  <c r="V13" i="2"/>
  <c r="V22" i="2" s="1"/>
  <c r="F11" i="1"/>
  <c r="F10" i="1"/>
  <c r="F7" i="1" a="1"/>
  <c r="F7" i="1" s="1"/>
  <c r="F9" i="1" s="1"/>
  <c r="R2" i="2"/>
  <c r="S2" i="2" s="1"/>
  <c r="T2" i="2" s="1"/>
  <c r="U2" i="2" s="1"/>
  <c r="V2" i="2" s="1"/>
  <c r="W2" i="2" s="1"/>
  <c r="G12" i="1" l="1"/>
  <c r="F12" i="1"/>
  <c r="G98" i="2"/>
  <c r="G100" i="2" s="1"/>
  <c r="G102" i="2"/>
  <c r="L102" i="2"/>
  <c r="L98" i="2"/>
  <c r="L100" i="2" s="1"/>
  <c r="Q34" i="2"/>
  <c r="Q38" i="2" s="1"/>
  <c r="K98" i="2"/>
  <c r="K100" i="2" s="1"/>
  <c r="K102" i="2"/>
  <c r="W30" i="2"/>
  <c r="W33" i="2" s="1"/>
  <c r="W19" i="2"/>
  <c r="I40" i="2"/>
  <c r="I44" i="2" s="1"/>
  <c r="I53" i="2"/>
  <c r="X31" i="2"/>
  <c r="R39" i="3"/>
  <c r="S35" i="3"/>
  <c r="M31" i="3"/>
  <c r="M34" i="3" s="1"/>
  <c r="N31" i="3"/>
  <c r="N34" i="3" s="1"/>
  <c r="I13" i="3"/>
  <c r="J5" i="3"/>
  <c r="J11" i="3"/>
  <c r="K2" i="3"/>
  <c r="J12" i="3"/>
  <c r="S34" i="2"/>
  <c r="S38" i="2" s="1"/>
  <c r="S40" i="2" s="1"/>
  <c r="Y3" i="2"/>
  <c r="X23" i="2"/>
  <c r="X25" i="2" s="1"/>
  <c r="X2" i="2"/>
  <c r="R52" i="2"/>
  <c r="R29" i="2"/>
  <c r="S52" i="2"/>
  <c r="Q40" i="2"/>
  <c r="Q53" i="2"/>
  <c r="Z7" i="2"/>
  <c r="U29" i="2"/>
  <c r="U34" i="2" s="1"/>
  <c r="T52" i="2"/>
  <c r="T29" i="2"/>
  <c r="V52" i="2"/>
  <c r="U52" i="2"/>
  <c r="X30" i="2" l="1"/>
  <c r="X33" i="2" s="1"/>
  <c r="Y31" i="2"/>
  <c r="I55" i="2"/>
  <c r="X19" i="2"/>
  <c r="Y10" i="2"/>
  <c r="Y13" i="2" s="1"/>
  <c r="S39" i="3"/>
  <c r="T35" i="3"/>
  <c r="O34" i="3"/>
  <c r="J13" i="3"/>
  <c r="K5" i="3"/>
  <c r="K11" i="3"/>
  <c r="L2" i="3"/>
  <c r="K12" i="3"/>
  <c r="S53" i="2"/>
  <c r="W15" i="2"/>
  <c r="W26" i="2"/>
  <c r="Y2" i="2"/>
  <c r="Y30" i="2" s="1"/>
  <c r="Y33" i="2" s="1"/>
  <c r="Y23" i="2"/>
  <c r="Y25" i="2" s="1"/>
  <c r="Z3" i="2"/>
  <c r="R34" i="2"/>
  <c r="R38" i="2" s="1"/>
  <c r="R54" i="2"/>
  <c r="S55" i="2"/>
  <c r="Q55" i="2"/>
  <c r="AA7" i="2"/>
  <c r="T34" i="2"/>
  <c r="T38" i="2" s="1"/>
  <c r="T54" i="2"/>
  <c r="U38" i="2"/>
  <c r="U54" i="2"/>
  <c r="Z10" i="2" l="1"/>
  <c r="Z13" i="2" s="1"/>
  <c r="Z31" i="2"/>
  <c r="Y19" i="2"/>
  <c r="U35" i="3"/>
  <c r="T39" i="3"/>
  <c r="P34" i="3"/>
  <c r="K13" i="3"/>
  <c r="L5" i="3"/>
  <c r="L11" i="3"/>
  <c r="M2" i="3"/>
  <c r="L12" i="3"/>
  <c r="X15" i="2"/>
  <c r="X22" i="2" s="1"/>
  <c r="Z23" i="2"/>
  <c r="Z25" i="2" s="1"/>
  <c r="AA3" i="2"/>
  <c r="Z2" i="2"/>
  <c r="Z30" i="2" s="1"/>
  <c r="Z33" i="2" s="1"/>
  <c r="X26" i="2"/>
  <c r="W28" i="2"/>
  <c r="R40" i="2"/>
  <c r="R53" i="2"/>
  <c r="AB7" i="2"/>
  <c r="T40" i="2"/>
  <c r="T53" i="2"/>
  <c r="U40" i="2"/>
  <c r="U53" i="2"/>
  <c r="Z19" i="2" l="1"/>
  <c r="AA31" i="2"/>
  <c r="Y15" i="2"/>
  <c r="Y22" i="2" s="1"/>
  <c r="Y52" i="2" s="1"/>
  <c r="V35" i="3"/>
  <c r="U39" i="3"/>
  <c r="Q34" i="3"/>
  <c r="L13" i="3"/>
  <c r="M5" i="3"/>
  <c r="M11" i="3"/>
  <c r="N2" i="3"/>
  <c r="M12" i="3"/>
  <c r="AA2" i="2"/>
  <c r="AA30" i="2" s="1"/>
  <c r="AA23" i="2"/>
  <c r="AA25" i="2" s="1"/>
  <c r="AB3" i="2"/>
  <c r="AA10" i="2"/>
  <c r="AA13" i="2" s="1"/>
  <c r="Y26" i="2"/>
  <c r="X28" i="2"/>
  <c r="X29" i="2" s="1"/>
  <c r="X34" i="2" s="1"/>
  <c r="X38" i="2" s="1"/>
  <c r="R55" i="2"/>
  <c r="T58" i="2"/>
  <c r="T72" i="2" s="1"/>
  <c r="U58" i="2"/>
  <c r="U72" i="2" s="1"/>
  <c r="T44" i="2"/>
  <c r="T48" i="2" s="1"/>
  <c r="T50" i="2" s="1"/>
  <c r="T55" i="2"/>
  <c r="U44" i="2"/>
  <c r="U48" i="2" s="1"/>
  <c r="U50" i="2" s="1"/>
  <c r="U55" i="2"/>
  <c r="AB31" i="2" l="1"/>
  <c r="U98" i="2"/>
  <c r="U100" i="2" s="1"/>
  <c r="U102" i="2"/>
  <c r="T98" i="2"/>
  <c r="T100" i="2" s="1"/>
  <c r="T102" i="2"/>
  <c r="AA19" i="2"/>
  <c r="X39" i="2"/>
  <c r="X40" i="2" s="1"/>
  <c r="AA33" i="2"/>
  <c r="Z15" i="2"/>
  <c r="Z22" i="2" s="1"/>
  <c r="Z52" i="2" s="1"/>
  <c r="W35" i="3"/>
  <c r="V39" i="3"/>
  <c r="R34" i="3"/>
  <c r="M13" i="3"/>
  <c r="N11" i="3"/>
  <c r="N5" i="3"/>
  <c r="O2" i="3"/>
  <c r="N12" i="3"/>
  <c r="AB23" i="2"/>
  <c r="AB25" i="2" s="1"/>
  <c r="AB2" i="2"/>
  <c r="Z26" i="2"/>
  <c r="Y28" i="2"/>
  <c r="Y29" i="2" s="1"/>
  <c r="Y34" i="2" s="1"/>
  <c r="Y38" i="2" s="1"/>
  <c r="AB10" i="2"/>
  <c r="AB13" i="2" s="1"/>
  <c r="W22" i="2"/>
  <c r="AB19" i="2" l="1"/>
  <c r="W29" i="2"/>
  <c r="W34" i="2" s="1"/>
  <c r="W38" i="2" s="1"/>
  <c r="W52" i="2"/>
  <c r="X52" i="2"/>
  <c r="Y39" i="2"/>
  <c r="Y40" i="2" s="1"/>
  <c r="AB30" i="2"/>
  <c r="AB33" i="2" s="1"/>
  <c r="AA15" i="2"/>
  <c r="X35" i="3"/>
  <c r="W39" i="3"/>
  <c r="S34" i="3"/>
  <c r="N13" i="3"/>
  <c r="O5" i="3"/>
  <c r="O11" i="3"/>
  <c r="P2" i="3"/>
  <c r="O12" i="3"/>
  <c r="AA26" i="2"/>
  <c r="Z28" i="2"/>
  <c r="Z29" i="2" s="1"/>
  <c r="Z34" i="2" s="1"/>
  <c r="Z38" i="2" s="1"/>
  <c r="AC2" i="2"/>
  <c r="AD2" i="2" s="1"/>
  <c r="AE2" i="2" s="1"/>
  <c r="AF2" i="2" s="1"/>
  <c r="AG2" i="2" s="1"/>
  <c r="AH2" i="2" s="1"/>
  <c r="AI2" i="2" s="1"/>
  <c r="AJ2" i="2" s="1"/>
  <c r="AK2" i="2" s="1"/>
  <c r="AL2" i="2" s="1"/>
  <c r="AM2" i="2" s="1"/>
  <c r="AN2" i="2" s="1"/>
  <c r="AO2" i="2" s="1"/>
  <c r="AP2" i="2" s="1"/>
  <c r="AQ2" i="2" s="1"/>
  <c r="AR2" i="2" s="1"/>
  <c r="AS2" i="2" s="1"/>
  <c r="AT2" i="2" s="1"/>
  <c r="AU2" i="2" s="1"/>
  <c r="AV2" i="2" s="1"/>
  <c r="AW2" i="2" s="1"/>
  <c r="AX2" i="2" s="1"/>
  <c r="AY2" i="2" s="1"/>
  <c r="AZ2" i="2" s="1"/>
  <c r="BA2" i="2" s="1"/>
  <c r="BB2" i="2" s="1"/>
  <c r="BC2" i="2" s="1"/>
  <c r="BD2" i="2" s="1"/>
  <c r="BE2" i="2" s="1"/>
  <c r="BF2" i="2" s="1"/>
  <c r="BG2" i="2" s="1"/>
  <c r="BH2" i="2" s="1"/>
  <c r="BI2" i="2" s="1"/>
  <c r="BJ2" i="2" s="1"/>
  <c r="BK2" i="2" s="1"/>
  <c r="BL2" i="2" s="1"/>
  <c r="BM2" i="2" s="1"/>
  <c r="BN2" i="2" s="1"/>
  <c r="BO2" i="2" s="1"/>
  <c r="BP2" i="2" s="1"/>
  <c r="BQ2" i="2" s="1"/>
  <c r="BR2" i="2" s="1"/>
  <c r="BS2" i="2" s="1"/>
  <c r="BT2" i="2" s="1"/>
  <c r="BU2" i="2" s="1"/>
  <c r="BV2" i="2" s="1"/>
  <c r="BW2" i="2" s="1"/>
  <c r="BX2" i="2" s="1"/>
  <c r="BY2" i="2" s="1"/>
  <c r="BZ2" i="2" s="1"/>
  <c r="CA2" i="2" s="1"/>
  <c r="CB2" i="2" s="1"/>
  <c r="CC2" i="2" s="1"/>
  <c r="CD2" i="2" s="1"/>
  <c r="CE2" i="2" s="1"/>
  <c r="CF2" i="2" s="1"/>
  <c r="CG2" i="2" s="1"/>
  <c r="CH2" i="2" s="1"/>
  <c r="CI2" i="2" s="1"/>
  <c r="CJ2" i="2" s="1"/>
  <c r="CK2" i="2" s="1"/>
  <c r="CL2" i="2" s="1"/>
  <c r="CM2" i="2" s="1"/>
  <c r="CN2" i="2" s="1"/>
  <c r="CO2" i="2" s="1"/>
  <c r="CP2" i="2" s="1"/>
  <c r="CQ2" i="2" s="1"/>
  <c r="CR2" i="2" s="1"/>
  <c r="CS2" i="2" s="1"/>
  <c r="CT2" i="2" s="1"/>
  <c r="CU2" i="2" s="1"/>
  <c r="CV2" i="2" s="1"/>
  <c r="CW2" i="2" s="1"/>
  <c r="CX2" i="2" s="1"/>
  <c r="CY2" i="2" s="1"/>
  <c r="CZ2" i="2" s="1"/>
  <c r="DA2" i="2" s="1"/>
  <c r="DB2" i="2" s="1"/>
  <c r="DC2" i="2" s="1"/>
  <c r="DD2" i="2" s="1"/>
  <c r="DE2" i="2" s="1"/>
  <c r="DF2" i="2" s="1"/>
  <c r="DG2" i="2" s="1"/>
  <c r="DH2" i="2" s="1"/>
  <c r="DI2" i="2" s="1"/>
  <c r="DJ2" i="2" s="1"/>
  <c r="DK2" i="2" s="1"/>
  <c r="DL2" i="2" s="1"/>
  <c r="DM2" i="2" s="1"/>
  <c r="DN2" i="2" s="1"/>
  <c r="DO2" i="2" s="1"/>
  <c r="DP2" i="2" s="1"/>
  <c r="DQ2" i="2" s="1"/>
  <c r="DR2" i="2" s="1"/>
  <c r="DS2" i="2" s="1"/>
  <c r="DT2" i="2" s="1"/>
  <c r="DU2" i="2" s="1"/>
  <c r="DV2" i="2" s="1"/>
  <c r="DW2" i="2" s="1"/>
  <c r="DX2" i="2" s="1"/>
  <c r="DY2" i="2" s="1"/>
  <c r="DZ2" i="2" s="1"/>
  <c r="EA2" i="2" s="1"/>
  <c r="EB2" i="2" s="1"/>
  <c r="EC2" i="2" s="1"/>
  <c r="ED2" i="2" s="1"/>
  <c r="EE2" i="2" s="1"/>
  <c r="AB15" i="2" l="1"/>
  <c r="AB22" i="2" s="1"/>
  <c r="Z39" i="2"/>
  <c r="Z40" i="2" s="1"/>
  <c r="W39" i="2"/>
  <c r="W40" i="2" s="1"/>
  <c r="AA22" i="2"/>
  <c r="AA52" i="2" s="1"/>
  <c r="Y35" i="3"/>
  <c r="X39" i="3"/>
  <c r="T34" i="3"/>
  <c r="O13" i="3"/>
  <c r="P5" i="3"/>
  <c r="P11" i="3"/>
  <c r="Q2" i="3"/>
  <c r="P12" i="3"/>
  <c r="AB26" i="2"/>
  <c r="AB28" i="2" s="1"/>
  <c r="AB29" i="2" s="1"/>
  <c r="AB34" i="2" s="1"/>
  <c r="AB38" i="2" s="1"/>
  <c r="AA28" i="2"/>
  <c r="AB39" i="2" l="1"/>
  <c r="AB40" i="2"/>
  <c r="AB52" i="2"/>
  <c r="AA29" i="2"/>
  <c r="AA34" i="2" s="1"/>
  <c r="AA38" i="2" s="1"/>
  <c r="Z35" i="3"/>
  <c r="Y39" i="3"/>
  <c r="U34" i="3"/>
  <c r="Q5" i="3"/>
  <c r="Q11" i="3"/>
  <c r="P13" i="3"/>
  <c r="R2" i="3"/>
  <c r="Q12" i="3"/>
  <c r="V8" i="2"/>
  <c r="V25" i="2"/>
  <c r="V28" i="2" s="1"/>
  <c r="V29" i="2" s="1"/>
  <c r="AA39" i="2" l="1"/>
  <c r="AA40" i="2" s="1"/>
  <c r="AC40" i="2"/>
  <c r="AD40" i="2" s="1"/>
  <c r="AE40" i="2" s="1"/>
  <c r="AF40" i="2" s="1"/>
  <c r="AG40" i="2" s="1"/>
  <c r="AH40" i="2" s="1"/>
  <c r="AI40" i="2" s="1"/>
  <c r="AJ40" i="2" s="1"/>
  <c r="AK40" i="2" s="1"/>
  <c r="AL40" i="2" s="1"/>
  <c r="AM40" i="2" s="1"/>
  <c r="AN40" i="2" s="1"/>
  <c r="AO40" i="2" s="1"/>
  <c r="AP40" i="2" s="1"/>
  <c r="AQ40" i="2" s="1"/>
  <c r="AR40" i="2" s="1"/>
  <c r="AS40" i="2" s="1"/>
  <c r="AT40" i="2" s="1"/>
  <c r="AU40" i="2" s="1"/>
  <c r="AV40" i="2" s="1"/>
  <c r="AW40" i="2" s="1"/>
  <c r="AX40" i="2" s="1"/>
  <c r="AY40" i="2" s="1"/>
  <c r="AZ40" i="2" s="1"/>
  <c r="BA40" i="2" s="1"/>
  <c r="BB40" i="2" s="1"/>
  <c r="BC40" i="2" s="1"/>
  <c r="BD40" i="2" s="1"/>
  <c r="BE40" i="2" s="1"/>
  <c r="BF40" i="2" s="1"/>
  <c r="BG40" i="2" s="1"/>
  <c r="BH40" i="2" s="1"/>
  <c r="BI40" i="2" s="1"/>
  <c r="BJ40" i="2" s="1"/>
  <c r="BK40" i="2" s="1"/>
  <c r="BL40" i="2" s="1"/>
  <c r="BM40" i="2" s="1"/>
  <c r="BN40" i="2" s="1"/>
  <c r="BO40" i="2" s="1"/>
  <c r="BP40" i="2" s="1"/>
  <c r="BQ40" i="2" s="1"/>
  <c r="BR40" i="2" s="1"/>
  <c r="BS40" i="2" s="1"/>
  <c r="BT40" i="2" s="1"/>
  <c r="BU40" i="2" s="1"/>
  <c r="BV40" i="2" s="1"/>
  <c r="BW40" i="2" s="1"/>
  <c r="BX40" i="2" s="1"/>
  <c r="BY40" i="2" s="1"/>
  <c r="BZ40" i="2" s="1"/>
  <c r="CA40" i="2" s="1"/>
  <c r="CB40" i="2" s="1"/>
  <c r="CC40" i="2" s="1"/>
  <c r="CD40" i="2" s="1"/>
  <c r="CE40" i="2" s="1"/>
  <c r="CF40" i="2" s="1"/>
  <c r="CG40" i="2" s="1"/>
  <c r="CH40" i="2" s="1"/>
  <c r="CI40" i="2" s="1"/>
  <c r="CJ40" i="2" s="1"/>
  <c r="CK40" i="2" s="1"/>
  <c r="CL40" i="2" s="1"/>
  <c r="CM40" i="2" s="1"/>
  <c r="CN40" i="2" s="1"/>
  <c r="CO40" i="2" s="1"/>
  <c r="CP40" i="2" s="1"/>
  <c r="CQ40" i="2" s="1"/>
  <c r="CR40" i="2" s="1"/>
  <c r="CS40" i="2" s="1"/>
  <c r="CT40" i="2" s="1"/>
  <c r="CU40" i="2" s="1"/>
  <c r="CV40" i="2" s="1"/>
  <c r="CW40" i="2" s="1"/>
  <c r="CX40" i="2" s="1"/>
  <c r="CY40" i="2" s="1"/>
  <c r="CZ40" i="2" s="1"/>
  <c r="DA40" i="2" s="1"/>
  <c r="DB40" i="2" s="1"/>
  <c r="DC40" i="2" s="1"/>
  <c r="DD40" i="2" s="1"/>
  <c r="DE40" i="2" s="1"/>
  <c r="DF40" i="2" s="1"/>
  <c r="DG40" i="2" s="1"/>
  <c r="DH40" i="2" s="1"/>
  <c r="DI40" i="2" s="1"/>
  <c r="DJ40" i="2" s="1"/>
  <c r="DK40" i="2" s="1"/>
  <c r="DL40" i="2" s="1"/>
  <c r="DM40" i="2" s="1"/>
  <c r="DN40" i="2" s="1"/>
  <c r="DO40" i="2" s="1"/>
  <c r="DP40" i="2" s="1"/>
  <c r="DQ40" i="2" s="1"/>
  <c r="DR40" i="2" s="1"/>
  <c r="DS40" i="2" s="1"/>
  <c r="DT40" i="2" s="1"/>
  <c r="DU40" i="2" s="1"/>
  <c r="DV40" i="2" s="1"/>
  <c r="DW40" i="2" s="1"/>
  <c r="DX40" i="2" s="1"/>
  <c r="DY40" i="2" s="1"/>
  <c r="DZ40" i="2" s="1"/>
  <c r="EA40" i="2" s="1"/>
  <c r="EB40" i="2" s="1"/>
  <c r="EC40" i="2" s="1"/>
  <c r="ED40" i="2" s="1"/>
  <c r="EE40" i="2" s="1"/>
  <c r="EF40" i="2" s="1"/>
  <c r="EG40" i="2" s="1"/>
  <c r="EH40" i="2" s="1"/>
  <c r="EI40" i="2" s="1"/>
  <c r="EJ40" i="2" s="1"/>
  <c r="EK40" i="2" s="1"/>
  <c r="EL40" i="2" s="1"/>
  <c r="EM40" i="2" s="1"/>
  <c r="EN40" i="2" s="1"/>
  <c r="EO40" i="2" s="1"/>
  <c r="EP40" i="2" s="1"/>
  <c r="EQ40" i="2" s="1"/>
  <c r="ER40" i="2" s="1"/>
  <c r="ES40" i="2" s="1"/>
  <c r="ET40" i="2" s="1"/>
  <c r="EU40" i="2" s="1"/>
  <c r="EV40" i="2" s="1"/>
  <c r="EW40" i="2" s="1"/>
  <c r="EX40" i="2" s="1"/>
  <c r="EY40" i="2" s="1"/>
  <c r="EZ40" i="2" s="1"/>
  <c r="FA40" i="2" s="1"/>
  <c r="AA35" i="3"/>
  <c r="Z39" i="3"/>
  <c r="Q13" i="3"/>
  <c r="V34" i="3"/>
  <c r="R5" i="3"/>
  <c r="R11" i="3"/>
  <c r="S2" i="3"/>
  <c r="R12" i="3"/>
  <c r="V54" i="2"/>
  <c r="V34" i="2"/>
  <c r="V38" i="2" s="1"/>
  <c r="Y46" i="2" l="1"/>
  <c r="Y47" i="2" s="1"/>
  <c r="Y48" i="2" s="1"/>
  <c r="AB35" i="3"/>
  <c r="AA39" i="3"/>
  <c r="R13" i="3"/>
  <c r="W34" i="3"/>
  <c r="S5" i="3"/>
  <c r="S11" i="3"/>
  <c r="T2" i="3"/>
  <c r="S12" i="3"/>
  <c r="V53" i="2"/>
  <c r="V40" i="2"/>
  <c r="AC35" i="3" l="1"/>
  <c r="AB39" i="3"/>
  <c r="X34" i="3"/>
  <c r="S13" i="3"/>
  <c r="T5" i="3"/>
  <c r="T11" i="3"/>
  <c r="U2" i="3"/>
  <c r="T12" i="3"/>
  <c r="V44" i="2"/>
  <c r="V48" i="2" s="1"/>
  <c r="V50" i="2" s="1"/>
  <c r="V55" i="2"/>
  <c r="V58" i="2"/>
  <c r="V72" i="2" s="1"/>
  <c r="V98" i="2" l="1"/>
  <c r="V100" i="2" s="1"/>
  <c r="V102" i="2"/>
  <c r="AD35" i="3"/>
  <c r="AC39" i="3"/>
  <c r="Y34" i="3"/>
  <c r="T13" i="3"/>
  <c r="U5" i="3"/>
  <c r="U11" i="3"/>
  <c r="V2" i="3"/>
  <c r="U12" i="3"/>
  <c r="AE35" i="3" l="1"/>
  <c r="AD39" i="3"/>
  <c r="Z34" i="3"/>
  <c r="U13" i="3"/>
  <c r="V5" i="3"/>
  <c r="V11" i="3"/>
  <c r="W2" i="3"/>
  <c r="V12" i="3"/>
  <c r="AF35" i="3" l="1"/>
  <c r="AE39" i="3"/>
  <c r="V13" i="3"/>
  <c r="AA34" i="3"/>
  <c r="W5" i="3"/>
  <c r="W11" i="3"/>
  <c r="X2" i="3"/>
  <c r="W12" i="3"/>
  <c r="AG35" i="3" l="1"/>
  <c r="AF39" i="3"/>
  <c r="AB34" i="3"/>
  <c r="W13" i="3"/>
  <c r="X5" i="3"/>
  <c r="X11" i="3"/>
  <c r="Y2" i="3"/>
  <c r="X12" i="3"/>
  <c r="AH35" i="3" l="1"/>
  <c r="AG39" i="3"/>
  <c r="X13" i="3"/>
  <c r="AC34" i="3"/>
  <c r="Y5" i="3"/>
  <c r="Y11" i="3"/>
  <c r="Y13" i="3" s="1"/>
  <c r="Z2" i="3"/>
  <c r="Y12" i="3"/>
  <c r="AI35" i="3" l="1"/>
  <c r="AH39" i="3"/>
  <c r="AD34" i="3"/>
  <c r="Z5" i="3"/>
  <c r="Z11" i="3"/>
  <c r="Z12" i="3"/>
  <c r="AA2" i="3"/>
  <c r="AJ35" i="3" l="1"/>
  <c r="AI39" i="3"/>
  <c r="AE34" i="3"/>
  <c r="AA5" i="3"/>
  <c r="AA11" i="3"/>
  <c r="Z13" i="3"/>
  <c r="AB2" i="3"/>
  <c r="AA12" i="3"/>
  <c r="AK35" i="3" l="1"/>
  <c r="AJ39" i="3"/>
  <c r="AF34" i="3"/>
  <c r="AA13" i="3"/>
  <c r="AB5" i="3"/>
  <c r="AB11" i="3"/>
  <c r="AB13" i="3" s="1"/>
  <c r="AC2" i="3"/>
  <c r="AB12" i="3"/>
  <c r="AL35" i="3" l="1"/>
  <c r="AK39" i="3"/>
  <c r="AG34" i="3"/>
  <c r="AC5" i="3"/>
  <c r="AC11" i="3"/>
  <c r="AC13" i="3" s="1"/>
  <c r="AD2" i="3"/>
  <c r="AC12" i="3"/>
  <c r="AM35" i="3" l="1"/>
  <c r="AL39" i="3"/>
  <c r="AH34" i="3"/>
  <c r="AD5" i="3"/>
  <c r="AD11" i="3"/>
  <c r="AD13" i="3" s="1"/>
  <c r="AE2" i="3"/>
  <c r="AD12" i="3"/>
  <c r="AN35" i="3" l="1"/>
  <c r="AM39" i="3"/>
  <c r="AI34" i="3"/>
  <c r="AE5" i="3"/>
  <c r="AE11" i="3"/>
  <c r="AE13" i="3" s="1"/>
  <c r="AF2" i="3"/>
  <c r="AE12" i="3"/>
  <c r="AO35" i="3" l="1"/>
  <c r="AN39" i="3"/>
  <c r="AJ34" i="3"/>
  <c r="AF5" i="3"/>
  <c r="AF11" i="3"/>
  <c r="AF13" i="3" s="1"/>
  <c r="AG2" i="3"/>
  <c r="AF12" i="3"/>
  <c r="AP35" i="3" l="1"/>
  <c r="AO39" i="3"/>
  <c r="AK34" i="3"/>
  <c r="AG5" i="3"/>
  <c r="AG11" i="3"/>
  <c r="AG13" i="3" s="1"/>
  <c r="AH2" i="3"/>
  <c r="AG12" i="3"/>
  <c r="AQ35" i="3" l="1"/>
  <c r="AP39" i="3"/>
  <c r="AL34" i="3"/>
  <c r="AH5" i="3"/>
  <c r="AH11" i="3"/>
  <c r="AI2" i="3"/>
  <c r="AH12" i="3"/>
  <c r="AR35" i="3" l="1"/>
  <c r="AQ39" i="3"/>
  <c r="AM34" i="3"/>
  <c r="AI5" i="3"/>
  <c r="AI11" i="3"/>
  <c r="AI13" i="3" s="1"/>
  <c r="AH13" i="3"/>
  <c r="AJ2" i="3"/>
  <c r="AI12" i="3"/>
  <c r="AS35" i="3" l="1"/>
  <c r="AR39" i="3"/>
  <c r="AN34" i="3"/>
  <c r="AJ5" i="3"/>
  <c r="AJ11" i="3"/>
  <c r="AJ13" i="3" s="1"/>
  <c r="AK2" i="3"/>
  <c r="AJ12" i="3"/>
  <c r="AT35" i="3" l="1"/>
  <c r="AS39" i="3"/>
  <c r="AO34" i="3"/>
  <c r="AK5" i="3"/>
  <c r="AK11" i="3"/>
  <c r="AK13" i="3" s="1"/>
  <c r="AL2" i="3"/>
  <c r="AK12" i="3"/>
  <c r="AU35" i="3" l="1"/>
  <c r="AT39" i="3"/>
  <c r="AP34" i="3"/>
  <c r="AL5" i="3"/>
  <c r="AL11" i="3"/>
  <c r="AL13" i="3" s="1"/>
  <c r="AM2" i="3"/>
  <c r="AL12" i="3"/>
  <c r="AV35" i="3" l="1"/>
  <c r="AU39" i="3"/>
  <c r="AQ34" i="3"/>
  <c r="AM5" i="3"/>
  <c r="AM11" i="3"/>
  <c r="AM13" i="3" s="1"/>
  <c r="AN2" i="3"/>
  <c r="AM12" i="3"/>
  <c r="AW35" i="3" l="1"/>
  <c r="AV39" i="3"/>
  <c r="AR34" i="3"/>
  <c r="AN5" i="3"/>
  <c r="AN11" i="3"/>
  <c r="AN13" i="3" s="1"/>
  <c r="AO2" i="3"/>
  <c r="AN12" i="3"/>
  <c r="AX35" i="3" l="1"/>
  <c r="AW39" i="3"/>
  <c r="AS34" i="3"/>
  <c r="AO5" i="3"/>
  <c r="AO11" i="3"/>
  <c r="AO13" i="3" s="1"/>
  <c r="AP2" i="3"/>
  <c r="AO12" i="3"/>
  <c r="AY35" i="3" l="1"/>
  <c r="AX39" i="3"/>
  <c r="AT34" i="3"/>
  <c r="AP5" i="3"/>
  <c r="AP11" i="3"/>
  <c r="AP13" i="3" s="1"/>
  <c r="AQ2" i="3"/>
  <c r="AP12" i="3"/>
  <c r="AZ35" i="3" l="1"/>
  <c r="AY39" i="3"/>
  <c r="AU34" i="3"/>
  <c r="AQ5" i="3"/>
  <c r="AQ11" i="3"/>
  <c r="AQ13" i="3" s="1"/>
  <c r="AR2" i="3"/>
  <c r="AQ12" i="3"/>
  <c r="BA35" i="3" l="1"/>
  <c r="AZ39" i="3"/>
  <c r="AV34" i="3"/>
  <c r="AR5" i="3"/>
  <c r="AR11" i="3"/>
  <c r="AS2" i="3"/>
  <c r="AS5" i="3" s="1"/>
  <c r="AR12" i="3"/>
  <c r="BB35" i="3" l="1"/>
  <c r="BA39" i="3"/>
  <c r="AW34" i="3"/>
  <c r="AS11" i="3"/>
  <c r="AS13" i="3" s="1"/>
  <c r="AR13" i="3"/>
  <c r="AT2" i="3"/>
  <c r="AS12" i="3"/>
  <c r="BC35" i="3" l="1"/>
  <c r="BB39" i="3"/>
  <c r="AX34" i="3"/>
  <c r="AT5" i="3"/>
  <c r="AT11" i="3"/>
  <c r="AT13" i="3" s="1"/>
  <c r="AU2" i="3"/>
  <c r="AT12" i="3"/>
  <c r="BD35" i="3" l="1"/>
  <c r="BC39" i="3"/>
  <c r="AY34" i="3"/>
  <c r="AU5" i="3"/>
  <c r="AU11" i="3"/>
  <c r="AU13" i="3" s="1"/>
  <c r="AV2" i="3"/>
  <c r="AU12" i="3"/>
  <c r="BE35" i="3" l="1"/>
  <c r="BD39" i="3"/>
  <c r="AZ34" i="3"/>
  <c r="AV5" i="3"/>
  <c r="AV11" i="3"/>
  <c r="AV13" i="3" s="1"/>
  <c r="AW2" i="3"/>
  <c r="AV12" i="3"/>
  <c r="BF35" i="3" l="1"/>
  <c r="BE39" i="3"/>
  <c r="BA34" i="3"/>
  <c r="AW5" i="3"/>
  <c r="AW11" i="3"/>
  <c r="AW13" i="3" s="1"/>
  <c r="AX2" i="3"/>
  <c r="AW12" i="3"/>
  <c r="BG35" i="3" l="1"/>
  <c r="BF39" i="3"/>
  <c r="BB34" i="3"/>
  <c r="AX5" i="3"/>
  <c r="AX11" i="3"/>
  <c r="AX13" i="3" s="1"/>
  <c r="AY2" i="3"/>
  <c r="AX12" i="3"/>
  <c r="BH35" i="3" l="1"/>
  <c r="BG39" i="3"/>
  <c r="BC34" i="3"/>
  <c r="AY5" i="3"/>
  <c r="AY11" i="3"/>
  <c r="AZ2" i="3"/>
  <c r="AY12" i="3"/>
  <c r="BI35" i="3" l="1"/>
  <c r="BH39" i="3"/>
  <c r="BD34" i="3"/>
  <c r="AY13" i="3"/>
  <c r="AZ5" i="3"/>
  <c r="AZ11" i="3"/>
  <c r="AZ13" i="3" s="1"/>
  <c r="BA2" i="3"/>
  <c r="AZ12" i="3"/>
  <c r="BJ35" i="3" l="1"/>
  <c r="BI39" i="3"/>
  <c r="BE34" i="3"/>
  <c r="BA5" i="3"/>
  <c r="BA11" i="3"/>
  <c r="BA13" i="3" s="1"/>
  <c r="BB2" i="3"/>
  <c r="BA12" i="3"/>
  <c r="BK35" i="3" l="1"/>
  <c r="BJ39" i="3"/>
  <c r="BF34" i="3"/>
  <c r="BB5" i="3"/>
  <c r="BB11" i="3"/>
  <c r="BB13" i="3" s="1"/>
  <c r="BC2" i="3"/>
  <c r="BB12" i="3"/>
  <c r="BL35" i="3" l="1"/>
  <c r="BK39" i="3"/>
  <c r="BG34" i="3"/>
  <c r="BC5" i="3"/>
  <c r="BC11" i="3"/>
  <c r="BC13" i="3" s="1"/>
  <c r="BD2" i="3"/>
  <c r="BC12" i="3"/>
  <c r="BM35" i="3" l="1"/>
  <c r="BL39" i="3"/>
  <c r="BH34" i="3"/>
  <c r="BD5" i="3"/>
  <c r="BD11" i="3"/>
  <c r="BD13" i="3" s="1"/>
  <c r="BE2" i="3"/>
  <c r="BD12" i="3"/>
  <c r="BN35" i="3" l="1"/>
  <c r="BM39" i="3"/>
  <c r="BI34" i="3"/>
  <c r="BE5" i="3"/>
  <c r="BE11" i="3"/>
  <c r="BE13" i="3" s="1"/>
  <c r="BF2" i="3"/>
  <c r="BE12" i="3"/>
  <c r="BO35" i="3" l="1"/>
  <c r="BN39" i="3"/>
  <c r="BJ34" i="3"/>
  <c r="BF5" i="3"/>
  <c r="BF11" i="3"/>
  <c r="BF13" i="3" s="1"/>
  <c r="BG2" i="3"/>
  <c r="BF12" i="3"/>
  <c r="BP35" i="3" l="1"/>
  <c r="BO39" i="3"/>
  <c r="BK34" i="3"/>
  <c r="BG5" i="3"/>
  <c r="BG11" i="3"/>
  <c r="BG13" i="3" s="1"/>
  <c r="BH2" i="3"/>
  <c r="BG12" i="3"/>
  <c r="BQ35" i="3" l="1"/>
  <c r="BP39" i="3"/>
  <c r="BL34" i="3"/>
  <c r="BH5" i="3"/>
  <c r="BH11" i="3"/>
  <c r="BH13" i="3" s="1"/>
  <c r="BI2" i="3"/>
  <c r="BH12" i="3"/>
  <c r="BR35" i="3" l="1"/>
  <c r="BQ39" i="3"/>
  <c r="BM34" i="3"/>
  <c r="BI5" i="3"/>
  <c r="BI11" i="3"/>
  <c r="BI13" i="3" s="1"/>
  <c r="BJ2" i="3"/>
  <c r="BI12" i="3"/>
  <c r="BS35" i="3" l="1"/>
  <c r="BR39" i="3"/>
  <c r="BN34" i="3"/>
  <c r="BJ5" i="3"/>
  <c r="BJ11" i="3"/>
  <c r="BJ13" i="3" s="1"/>
  <c r="BK2" i="3"/>
  <c r="BJ12" i="3"/>
  <c r="BT35" i="3" l="1"/>
  <c r="BS39" i="3"/>
  <c r="BO34" i="3"/>
  <c r="BK5" i="3"/>
  <c r="BK11" i="3"/>
  <c r="BK13" i="3" s="1"/>
  <c r="BL2" i="3"/>
  <c r="BK12" i="3"/>
  <c r="BU35" i="3" l="1"/>
  <c r="BT39" i="3"/>
  <c r="BP34" i="3"/>
  <c r="BL5" i="3"/>
  <c r="BL11" i="3"/>
  <c r="BL13" i="3" s="1"/>
  <c r="BM2" i="3"/>
  <c r="BL12" i="3"/>
  <c r="BV35" i="3" l="1"/>
  <c r="BU39" i="3"/>
  <c r="BQ34" i="3"/>
  <c r="BM5" i="3"/>
  <c r="BM11" i="3"/>
  <c r="BM13" i="3" s="1"/>
  <c r="BN2" i="3"/>
  <c r="BM12" i="3"/>
  <c r="BW35" i="3" l="1"/>
  <c r="BV39" i="3"/>
  <c r="BR34" i="3"/>
  <c r="BN5" i="3"/>
  <c r="BN11" i="3"/>
  <c r="BN13" i="3" s="1"/>
  <c r="BO2" i="3"/>
  <c r="BN12" i="3"/>
  <c r="BX35" i="3" l="1"/>
  <c r="BW39" i="3"/>
  <c r="BS34" i="3"/>
  <c r="BO5" i="3"/>
  <c r="BO11" i="3"/>
  <c r="BO13" i="3" s="1"/>
  <c r="BP2" i="3"/>
  <c r="BO12" i="3"/>
  <c r="BY35" i="3" l="1"/>
  <c r="BX39" i="3"/>
  <c r="BT34" i="3"/>
  <c r="BP5" i="3"/>
  <c r="BP11" i="3"/>
  <c r="BP13" i="3" s="1"/>
  <c r="BQ2" i="3"/>
  <c r="BP12" i="3"/>
  <c r="BZ35" i="3" l="1"/>
  <c r="BY39" i="3"/>
  <c r="BU34" i="3"/>
  <c r="BQ5" i="3"/>
  <c r="BQ11" i="3"/>
  <c r="BQ13" i="3" s="1"/>
  <c r="BR2" i="3"/>
  <c r="BQ12" i="3"/>
  <c r="CA35" i="3" l="1"/>
  <c r="BZ39" i="3"/>
  <c r="BV34" i="3"/>
  <c r="BR5" i="3"/>
  <c r="BR11" i="3"/>
  <c r="BR13" i="3" s="1"/>
  <c r="BS2" i="3"/>
  <c r="BR12" i="3"/>
  <c r="CB35" i="3" l="1"/>
  <c r="CA39" i="3"/>
  <c r="BW34" i="3"/>
  <c r="BS5" i="3"/>
  <c r="BS11" i="3"/>
  <c r="BS13" i="3" s="1"/>
  <c r="BT2" i="3"/>
  <c r="BS12" i="3"/>
  <c r="CC35" i="3" l="1"/>
  <c r="CB39" i="3"/>
  <c r="BX34" i="3"/>
  <c r="BT5" i="3"/>
  <c r="BT11" i="3"/>
  <c r="BT13" i="3" s="1"/>
  <c r="BU2" i="3"/>
  <c r="BT12" i="3"/>
  <c r="CD35" i="3" l="1"/>
  <c r="CC39" i="3"/>
  <c r="BY34" i="3"/>
  <c r="BU5" i="3"/>
  <c r="BU11" i="3"/>
  <c r="BU13" i="3" s="1"/>
  <c r="BV2" i="3"/>
  <c r="BU12" i="3"/>
  <c r="CE35" i="3" l="1"/>
  <c r="CD39" i="3"/>
  <c r="BZ34" i="3"/>
  <c r="BV5" i="3"/>
  <c r="BV11" i="3"/>
  <c r="BV13" i="3" s="1"/>
  <c r="BW2" i="3"/>
  <c r="BV12" i="3"/>
  <c r="CF35" i="3" l="1"/>
  <c r="CE39" i="3"/>
  <c r="CA34" i="3"/>
  <c r="BW5" i="3"/>
  <c r="BW11" i="3"/>
  <c r="BX2" i="3"/>
  <c r="BW12" i="3"/>
  <c r="CG35" i="3" l="1"/>
  <c r="CF39" i="3"/>
  <c r="CB34" i="3"/>
  <c r="BX5" i="3"/>
  <c r="BX11" i="3"/>
  <c r="BX13" i="3" s="1"/>
  <c r="BW13" i="3"/>
  <c r="BY2" i="3"/>
  <c r="BX12" i="3"/>
  <c r="CH35" i="3" l="1"/>
  <c r="CG39" i="3"/>
  <c r="CC34" i="3"/>
  <c r="BY5" i="3"/>
  <c r="BY11" i="3"/>
  <c r="BY13" i="3" s="1"/>
  <c r="BZ2" i="3"/>
  <c r="BY12" i="3"/>
  <c r="CI35" i="3" l="1"/>
  <c r="CH39" i="3"/>
  <c r="CD34" i="3"/>
  <c r="BZ5" i="3"/>
  <c r="BZ11" i="3"/>
  <c r="BZ13" i="3" s="1"/>
  <c r="CA2" i="3"/>
  <c r="BZ12" i="3"/>
  <c r="CJ35" i="3" l="1"/>
  <c r="CI39" i="3"/>
  <c r="CE34" i="3"/>
  <c r="CA5" i="3"/>
  <c r="CA11" i="3"/>
  <c r="CA13" i="3" s="1"/>
  <c r="CB2" i="3"/>
  <c r="CA12" i="3"/>
  <c r="CK35" i="3" l="1"/>
  <c r="CJ39" i="3"/>
  <c r="CF34" i="3"/>
  <c r="CB5" i="3"/>
  <c r="CB11" i="3"/>
  <c r="CB13" i="3" s="1"/>
  <c r="CC2" i="3"/>
  <c r="CB12" i="3"/>
  <c r="CL35" i="3" l="1"/>
  <c r="CK39" i="3"/>
  <c r="CG34" i="3"/>
  <c r="CC5" i="3"/>
  <c r="CC11" i="3"/>
  <c r="CC13" i="3" s="1"/>
  <c r="CD2" i="3"/>
  <c r="CC12" i="3"/>
  <c r="CM35" i="3" l="1"/>
  <c r="CL39" i="3"/>
  <c r="CH34" i="3"/>
  <c r="CD5" i="3"/>
  <c r="CD11" i="3"/>
  <c r="CD13" i="3" s="1"/>
  <c r="CE2" i="3"/>
  <c r="CD12" i="3"/>
  <c r="CN35" i="3" l="1"/>
  <c r="CM39" i="3"/>
  <c r="CI34" i="3"/>
  <c r="CE5" i="3"/>
  <c r="CE11" i="3"/>
  <c r="CF2" i="3"/>
  <c r="CE12" i="3"/>
  <c r="CO35" i="3" l="1"/>
  <c r="CN39" i="3"/>
  <c r="CJ34" i="3"/>
  <c r="CE13" i="3"/>
  <c r="CF5" i="3"/>
  <c r="CF11" i="3"/>
  <c r="CF13" i="3" s="1"/>
  <c r="CG2" i="3"/>
  <c r="CF12" i="3"/>
  <c r="CP35" i="3" l="1"/>
  <c r="CO39" i="3"/>
  <c r="CK34" i="3"/>
  <c r="CG5" i="3"/>
  <c r="CG11" i="3"/>
  <c r="CG13" i="3" s="1"/>
  <c r="CH2" i="3"/>
  <c r="CG12" i="3"/>
  <c r="CQ35" i="3" l="1"/>
  <c r="CP39" i="3"/>
  <c r="CL34" i="3"/>
  <c r="CH5" i="3"/>
  <c r="CH11" i="3"/>
  <c r="CH13" i="3" s="1"/>
  <c r="CI2" i="3"/>
  <c r="CH12" i="3"/>
  <c r="CR35" i="3" l="1"/>
  <c r="CQ39" i="3"/>
  <c r="CM34" i="3"/>
  <c r="CI5" i="3"/>
  <c r="CI11" i="3"/>
  <c r="CI13" i="3" s="1"/>
  <c r="CJ2" i="3"/>
  <c r="CI12" i="3"/>
  <c r="CS35" i="3" l="1"/>
  <c r="CR39" i="3"/>
  <c r="CN34" i="3"/>
  <c r="CJ5" i="3"/>
  <c r="CJ11" i="3"/>
  <c r="CJ13" i="3" s="1"/>
  <c r="CK2" i="3"/>
  <c r="CJ12" i="3"/>
  <c r="CT35" i="3" l="1"/>
  <c r="CS39" i="3"/>
  <c r="CO34" i="3"/>
  <c r="CK5" i="3"/>
  <c r="CK11" i="3"/>
  <c r="CK13" i="3" s="1"/>
  <c r="CL2" i="3"/>
  <c r="CK12" i="3"/>
  <c r="CU35" i="3" l="1"/>
  <c r="CT39" i="3"/>
  <c r="CP34" i="3"/>
  <c r="CL5" i="3"/>
  <c r="CL11" i="3"/>
  <c r="CL13" i="3" s="1"/>
  <c r="CM2" i="3"/>
  <c r="CL12" i="3"/>
  <c r="CV35" i="3" l="1"/>
  <c r="CU39" i="3"/>
  <c r="CQ34" i="3"/>
  <c r="CM5" i="3"/>
  <c r="CM11" i="3"/>
  <c r="CM13" i="3" s="1"/>
  <c r="CN2" i="3"/>
  <c r="CM12" i="3"/>
  <c r="CW35" i="3" l="1"/>
  <c r="CV39" i="3"/>
  <c r="CR34" i="3"/>
  <c r="CN5" i="3"/>
  <c r="CN11" i="3"/>
  <c r="CN13" i="3" s="1"/>
  <c r="CO2" i="3"/>
  <c r="CN12" i="3"/>
  <c r="CX35" i="3" l="1"/>
  <c r="CW39" i="3"/>
  <c r="CS34" i="3"/>
  <c r="CO5" i="3"/>
  <c r="CO11" i="3"/>
  <c r="CP2" i="3"/>
  <c r="CO12" i="3"/>
  <c r="CY35" i="3" l="1"/>
  <c r="CX39" i="3"/>
  <c r="CT34" i="3"/>
  <c r="CO13" i="3"/>
  <c r="CP5" i="3"/>
  <c r="CP11" i="3"/>
  <c r="CP13" i="3" s="1"/>
  <c r="CQ2" i="3"/>
  <c r="CP12" i="3"/>
  <c r="CZ35" i="3" l="1"/>
  <c r="CY39" i="3"/>
  <c r="CU34" i="3"/>
  <c r="CQ5" i="3"/>
  <c r="CQ11" i="3"/>
  <c r="CR2" i="3"/>
  <c r="CQ12" i="3"/>
  <c r="DA35" i="3" l="1"/>
  <c r="CZ39" i="3"/>
  <c r="CV34" i="3"/>
  <c r="CQ13" i="3"/>
  <c r="CR5" i="3"/>
  <c r="CR11" i="3"/>
  <c r="CR13" i="3" s="1"/>
  <c r="CS2" i="3"/>
  <c r="CR12" i="3"/>
  <c r="DB35" i="3" l="1"/>
  <c r="DA39" i="3"/>
  <c r="CW34" i="3"/>
  <c r="CS5" i="3"/>
  <c r="CS11" i="3"/>
  <c r="CT2" i="3"/>
  <c r="CS12" i="3"/>
  <c r="DC35" i="3" l="1"/>
  <c r="DB39" i="3"/>
  <c r="CX34" i="3"/>
  <c r="CS13" i="3"/>
  <c r="CT5" i="3"/>
  <c r="CT11" i="3"/>
  <c r="CT13" i="3" s="1"/>
  <c r="CU2" i="3"/>
  <c r="CT12" i="3"/>
  <c r="DD35" i="3" l="1"/>
  <c r="DC39" i="3"/>
  <c r="CY34" i="3"/>
  <c r="CU5" i="3"/>
  <c r="CU11" i="3"/>
  <c r="CV2" i="3"/>
  <c r="CU12" i="3"/>
  <c r="DE35" i="3" l="1"/>
  <c r="DD39" i="3"/>
  <c r="CZ34" i="3"/>
  <c r="CU13" i="3"/>
  <c r="CV5" i="3"/>
  <c r="CV11" i="3"/>
  <c r="CV13" i="3" s="1"/>
  <c r="CW2" i="3"/>
  <c r="CV12" i="3"/>
  <c r="DF35" i="3" l="1"/>
  <c r="DE39" i="3"/>
  <c r="DA34" i="3"/>
  <c r="CW5" i="3"/>
  <c r="CW11" i="3"/>
  <c r="CX2" i="3"/>
  <c r="CW12" i="3"/>
  <c r="DG35" i="3" l="1"/>
  <c r="DF39" i="3"/>
  <c r="DB34" i="3"/>
  <c r="CW13" i="3"/>
  <c r="CX5" i="3"/>
  <c r="CX11" i="3"/>
  <c r="CX13" i="3" s="1"/>
  <c r="CY2" i="3"/>
  <c r="CX12" i="3"/>
  <c r="DH35" i="3" l="1"/>
  <c r="DG39" i="3"/>
  <c r="DC34" i="3"/>
  <c r="CY5" i="3"/>
  <c r="CY11" i="3"/>
  <c r="CY13" i="3" s="1"/>
  <c r="CZ2" i="3"/>
  <c r="CY12" i="3"/>
  <c r="DI35" i="3" l="1"/>
  <c r="DH39" i="3"/>
  <c r="DD34" i="3"/>
  <c r="CZ5" i="3"/>
  <c r="CZ11" i="3"/>
  <c r="CZ13" i="3" s="1"/>
  <c r="DA2" i="3"/>
  <c r="CZ12" i="3"/>
  <c r="DJ35" i="3" l="1"/>
  <c r="DI39" i="3"/>
  <c r="DE34" i="3"/>
  <c r="DA5" i="3"/>
  <c r="DA11" i="3"/>
  <c r="DA13" i="3" s="1"/>
  <c r="DB2" i="3"/>
  <c r="DA12" i="3"/>
  <c r="DK35" i="3" l="1"/>
  <c r="DJ39" i="3"/>
  <c r="DF34" i="3"/>
  <c r="DB5" i="3"/>
  <c r="DB11" i="3"/>
  <c r="DB13" i="3" s="1"/>
  <c r="DC2" i="3"/>
  <c r="DB12" i="3"/>
  <c r="DL35" i="3" l="1"/>
  <c r="DK39" i="3"/>
  <c r="DG34" i="3"/>
  <c r="DC5" i="3"/>
  <c r="DC11" i="3"/>
  <c r="DC13" i="3" s="1"/>
  <c r="DD2" i="3"/>
  <c r="DC12" i="3"/>
  <c r="DM35" i="3" l="1"/>
  <c r="DL39" i="3"/>
  <c r="DH34" i="3"/>
  <c r="DD5" i="3"/>
  <c r="DD11" i="3"/>
  <c r="DD13" i="3" s="1"/>
  <c r="DE2" i="3"/>
  <c r="DD12" i="3"/>
  <c r="DN35" i="3" l="1"/>
  <c r="DM39" i="3"/>
  <c r="DI34" i="3"/>
  <c r="DE5" i="3"/>
  <c r="DE11" i="3"/>
  <c r="DE13" i="3" s="1"/>
  <c r="DF2" i="3"/>
  <c r="DE12" i="3"/>
  <c r="DO35" i="3" l="1"/>
  <c r="DN39" i="3"/>
  <c r="DJ34" i="3"/>
  <c r="DF5" i="3"/>
  <c r="DF11" i="3"/>
  <c r="DF13" i="3" s="1"/>
  <c r="DG2" i="3"/>
  <c r="DF12" i="3"/>
  <c r="DP35" i="3" l="1"/>
  <c r="DO39" i="3"/>
  <c r="DK34" i="3"/>
  <c r="DG5" i="3"/>
  <c r="DG11" i="3"/>
  <c r="DG13" i="3" s="1"/>
  <c r="DH2" i="3"/>
  <c r="DG12" i="3"/>
  <c r="DQ35" i="3" l="1"/>
  <c r="DP39" i="3"/>
  <c r="DL34" i="3"/>
  <c r="DH5" i="3"/>
  <c r="DH11" i="3"/>
  <c r="DH13" i="3" s="1"/>
  <c r="DI2" i="3"/>
  <c r="DH12" i="3"/>
  <c r="DR35" i="3" l="1"/>
  <c r="DR39" i="3" s="1"/>
  <c r="DQ39" i="3"/>
  <c r="DM34" i="3"/>
  <c r="DI5" i="3"/>
  <c r="DI11" i="3"/>
  <c r="DI13" i="3" s="1"/>
  <c r="DJ2" i="3"/>
  <c r="DI12" i="3"/>
  <c r="DN34" i="3" l="1"/>
  <c r="DJ5" i="3"/>
  <c r="DJ11" i="3"/>
  <c r="DJ13" i="3" s="1"/>
  <c r="DK2" i="3"/>
  <c r="DJ12" i="3"/>
  <c r="DO34" i="3" l="1"/>
  <c r="DK5" i="3"/>
  <c r="DK11" i="3"/>
  <c r="DL2" i="3"/>
  <c r="DL5" i="3" s="1"/>
  <c r="DK12" i="3"/>
  <c r="DP34" i="3" l="1"/>
  <c r="DL11" i="3"/>
  <c r="DL13" i="3" s="1"/>
  <c r="DK13" i="3"/>
  <c r="DM2" i="3"/>
  <c r="DL12" i="3"/>
  <c r="DQ34" i="3" l="1"/>
  <c r="DM5" i="3"/>
  <c r="DM11" i="3"/>
  <c r="DM13" i="3" s="1"/>
  <c r="DN2" i="3"/>
  <c r="DM12" i="3"/>
  <c r="DR34" i="3" l="1"/>
  <c r="K43" i="3" s="1"/>
  <c r="K44" i="3" s="1"/>
  <c r="K45" i="3" s="1"/>
  <c r="DN5" i="3"/>
  <c r="DN11" i="3"/>
  <c r="DN13" i="3" s="1"/>
  <c r="DO2" i="3"/>
  <c r="DN12" i="3"/>
  <c r="DO5" i="3" l="1"/>
  <c r="DO11" i="3"/>
  <c r="DO13" i="3" s="1"/>
  <c r="DP2" i="3"/>
  <c r="DO12" i="3"/>
  <c r="DP5" i="3" l="1"/>
  <c r="DP11" i="3"/>
  <c r="DP13" i="3" s="1"/>
  <c r="DQ2" i="3"/>
  <c r="DP12" i="3"/>
  <c r="DQ5" i="3" l="1"/>
  <c r="DQ11" i="3"/>
  <c r="DR2" i="3"/>
  <c r="DQ12" i="3"/>
  <c r="DR12" i="3" s="1"/>
  <c r="DR5" i="3" l="1"/>
  <c r="DR11" i="3"/>
  <c r="DR13" i="3" s="1"/>
  <c r="J19" i="3" s="1"/>
  <c r="J20" i="3" s="1"/>
  <c r="DQ1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Franciszek Kessler</author>
  </authors>
  <commentList>
    <comment ref="L13" authorId="0" shapeId="0" xr:uid="{24DE1FB6-A4AE-405D-9B51-91967488BCF1}">
      <text>
        <r>
          <rPr>
            <b/>
            <sz val="9"/>
            <color indexed="81"/>
            <rFont val="Tahoma"/>
            <family val="2"/>
            <charset val="238"/>
          </rPr>
          <t>Franciszek Kessler:</t>
        </r>
        <r>
          <rPr>
            <sz val="9"/>
            <color indexed="81"/>
            <rFont val="Tahoma"/>
            <family val="2"/>
            <charset val="238"/>
          </rPr>
          <t xml:space="preserve">
obstawialem 19448</t>
        </r>
      </text>
    </comment>
    <comment ref="B15" authorId="0" shapeId="0" xr:uid="{809ABFFE-47F4-4EC9-84DB-CFF8909CCF28}">
      <text>
        <r>
          <rPr>
            <sz val="9"/>
            <color indexed="81"/>
            <rFont val="Tahoma"/>
            <family val="2"/>
          </rPr>
          <t>includes the design, manufacture, installation, sales and leasing of solar energy generation and energy storage products and related services and sales of solar energy systems incentives.</t>
        </r>
      </text>
    </comment>
    <comment ref="B20" authorId="0" shapeId="0" xr:uid="{DF367B35-7F38-4808-99C1-7DB22DC287E9}">
      <text>
        <r>
          <rPr>
            <sz val="9"/>
            <color indexed="81"/>
            <rFont val="Tahoma"/>
            <family val="2"/>
          </rPr>
          <t xml:space="preserve"> includes sales of used vehicles, non-warranty after-sales vehicle services, body shop and parts, paid Supercharging, vehicle insurance revenue and retail merchandise.</t>
        </r>
      </text>
    </comment>
    <comment ref="K40" authorId="0" shapeId="0" xr:uid="{0A3A7925-272A-4929-B2D8-A60D1B75F755}">
      <text>
        <r>
          <rPr>
            <b/>
            <sz val="9"/>
            <color indexed="81"/>
            <rFont val="Tahoma"/>
            <family val="2"/>
            <charset val="238"/>
          </rPr>
          <t>Franciszek Kessler:</t>
        </r>
        <r>
          <rPr>
            <sz val="9"/>
            <color indexed="81"/>
            <rFont val="Tahoma"/>
            <family val="2"/>
            <charset val="238"/>
          </rPr>
          <t xml:space="preserve">
1461 estimated </t>
        </r>
      </text>
    </comment>
    <comment ref="K41" authorId="0" shapeId="0" xr:uid="{58897DD0-CF0D-4B69-85AB-CF7DB5BA3EA1}">
      <text>
        <r>
          <rPr>
            <b/>
            <sz val="9"/>
            <color indexed="81"/>
            <rFont val="Tahoma"/>
            <family val="2"/>
            <charset val="238"/>
          </rPr>
          <t>Franciszek Kessler:</t>
        </r>
        <r>
          <rPr>
            <sz val="9"/>
            <color indexed="81"/>
            <rFont val="Tahoma"/>
            <family val="2"/>
            <charset val="238"/>
          </rPr>
          <t xml:space="preserve">
estimated 0,46</t>
        </r>
      </text>
    </comment>
    <comment ref="K79" authorId="0" shapeId="0" xr:uid="{A11B57A0-9F78-4E99-A7F0-6F4910DD2DB2}">
      <text>
        <r>
          <rPr>
            <b/>
            <sz val="9"/>
            <color indexed="81"/>
            <rFont val="Tahoma"/>
            <family val="2"/>
          </rPr>
          <t>Franciszek Kessler:</t>
        </r>
        <r>
          <rPr>
            <sz val="9"/>
            <color indexed="81"/>
            <rFont val="Tahoma"/>
            <family val="2"/>
          </rPr>
          <t xml:space="preserve">
tf you investing in? 
It trippled in a year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Franciszek Kessler</author>
  </authors>
  <commentList>
    <comment ref="B4" authorId="0" shapeId="0" xr:uid="{11C2F98F-ACB9-4860-8996-5A5500C041BD}">
      <text>
        <r>
          <rPr>
            <sz val="9"/>
            <color indexed="81"/>
            <rFont val="Tahoma"/>
            <family val="2"/>
          </rPr>
          <t>includes the design, manufacture, installation, sales and leasing of solar energy generation and energy storage products and related services and sales of solar energy systems incentives.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<sst xmlns="http://schemas.openxmlformats.org/spreadsheetml/2006/main" count="246" uniqueCount="130">
  <si>
    <t>Price</t>
  </si>
  <si>
    <t>Shares</t>
  </si>
  <si>
    <t>MC</t>
  </si>
  <si>
    <t>Cash</t>
  </si>
  <si>
    <t>Debt</t>
  </si>
  <si>
    <t>EV</t>
  </si>
  <si>
    <t>Q122</t>
  </si>
  <si>
    <t>Q222</t>
  </si>
  <si>
    <t>Q322</t>
  </si>
  <si>
    <t>Q422</t>
  </si>
  <si>
    <t>Q123</t>
  </si>
  <si>
    <t>Q223</t>
  </si>
  <si>
    <t>Q323</t>
  </si>
  <si>
    <t>Q423</t>
  </si>
  <si>
    <t>Q124</t>
  </si>
  <si>
    <t>in M</t>
  </si>
  <si>
    <t>Automotive sales</t>
  </si>
  <si>
    <t>Main</t>
  </si>
  <si>
    <t>Automotive regulatory credits</t>
  </si>
  <si>
    <t>Automotive leasing</t>
  </si>
  <si>
    <t>Total automotive revenues</t>
  </si>
  <si>
    <t>Energy generation and storage</t>
  </si>
  <si>
    <t>Services and other</t>
  </si>
  <si>
    <t>Total revenues</t>
  </si>
  <si>
    <t>Cost of automotive sales</t>
  </si>
  <si>
    <t>Cost of automotive leasing</t>
  </si>
  <si>
    <t>Total automotive cost of revenues</t>
  </si>
  <si>
    <t>Cost of generation and storage</t>
  </si>
  <si>
    <t>Cost of services and other</t>
  </si>
  <si>
    <t>Total cost of revenues</t>
  </si>
  <si>
    <t>Gross profit</t>
  </si>
  <si>
    <t>R&amp;D</t>
  </si>
  <si>
    <t>Restructuring and other</t>
  </si>
  <si>
    <t>Total operating expenses</t>
  </si>
  <si>
    <t>Interest income</t>
  </si>
  <si>
    <t>Interest expense</t>
  </si>
  <si>
    <t>Other income (expense) net</t>
  </si>
  <si>
    <t>Income before income taxes</t>
  </si>
  <si>
    <t>Net income</t>
  </si>
  <si>
    <t>Foreign currency translation adjustment</t>
  </si>
  <si>
    <t>Unrealized net gain (loss) on investments</t>
  </si>
  <si>
    <t>Adjustment for net loss realized and included in net income</t>
  </si>
  <si>
    <t>Comprehensive income</t>
  </si>
  <si>
    <t>Comprehensive (loss) income att. To noncontrol</t>
  </si>
  <si>
    <t>Comprehensive income att. To common stockholders</t>
  </si>
  <si>
    <t>-</t>
  </si>
  <si>
    <t>Revenue y/y</t>
  </si>
  <si>
    <t>Tax rate %</t>
  </si>
  <si>
    <t>GM %</t>
  </si>
  <si>
    <t>PM %</t>
  </si>
  <si>
    <t>Deferred income taxes</t>
  </si>
  <si>
    <t xml:space="preserve">Inventory  </t>
  </si>
  <si>
    <t>Operating lease vehicles</t>
  </si>
  <si>
    <t>Prepaid expenses and other assets</t>
  </si>
  <si>
    <t>Deferred revenue</t>
  </si>
  <si>
    <t>Growth</t>
  </si>
  <si>
    <t>Discount</t>
  </si>
  <si>
    <t>NPV</t>
  </si>
  <si>
    <t>NPV share</t>
  </si>
  <si>
    <t>Upside</t>
  </si>
  <si>
    <t>Vehicles produced in units</t>
  </si>
  <si>
    <t>Vehicles delivered in units</t>
  </si>
  <si>
    <t>Production growth y/y</t>
  </si>
  <si>
    <t>Price per vehicle in USD</t>
  </si>
  <si>
    <t>Średni koszt wyprodukowania jednej tesli</t>
  </si>
  <si>
    <t>avg</t>
  </si>
  <si>
    <t>if you factor in inflation the production cost actually went down</t>
  </si>
  <si>
    <t>Services and other grotwh y/y</t>
  </si>
  <si>
    <t>Energy generation and storage growth y/y</t>
  </si>
  <si>
    <t>Manufacturing cost per vehicle in USD</t>
  </si>
  <si>
    <t>Delivered/produced y/y</t>
  </si>
  <si>
    <t>Energy storage products deployed in GWh</t>
  </si>
  <si>
    <t>Solar energy systems deployed in megawatts</t>
  </si>
  <si>
    <t>Net profit</t>
  </si>
  <si>
    <t>Profit margin</t>
  </si>
  <si>
    <t>discount</t>
  </si>
  <si>
    <t>npv</t>
  </si>
  <si>
    <t>per share</t>
  </si>
  <si>
    <t>Price per GWh</t>
  </si>
  <si>
    <t>Cost per GWh</t>
  </si>
  <si>
    <t>Profit per GWh</t>
  </si>
  <si>
    <t>f</t>
  </si>
  <si>
    <t>Energy net profit</t>
  </si>
  <si>
    <t>growth ele</t>
  </si>
  <si>
    <t>upside</t>
  </si>
  <si>
    <t>Profit per car</t>
  </si>
  <si>
    <t>Total automotive profit</t>
  </si>
  <si>
    <t>Revenue per GWh</t>
  </si>
  <si>
    <t>in M USD</t>
  </si>
  <si>
    <t>Q224</t>
  </si>
  <si>
    <t>Q324</t>
  </si>
  <si>
    <t>FCF</t>
  </si>
  <si>
    <t>Debt issuance costs</t>
  </si>
  <si>
    <t>Q424</t>
  </si>
  <si>
    <t>in M usd</t>
  </si>
  <si>
    <t>PP&amp;E</t>
  </si>
  <si>
    <t>SG&amp;A</t>
  </si>
  <si>
    <t>income taxes</t>
  </si>
  <si>
    <t>operating profit</t>
  </si>
  <si>
    <t>eps</t>
  </si>
  <si>
    <t>s/o</t>
  </si>
  <si>
    <t>d&amp;a</t>
  </si>
  <si>
    <t>share comp</t>
  </si>
  <si>
    <t>fx</t>
  </si>
  <si>
    <t>interest</t>
  </si>
  <si>
    <t>digital assets</t>
  </si>
  <si>
    <t>AP</t>
  </si>
  <si>
    <t>CFFO</t>
  </si>
  <si>
    <t>CFFI</t>
  </si>
  <si>
    <t>AR</t>
  </si>
  <si>
    <t>capex</t>
  </si>
  <si>
    <t>solar energy</t>
  </si>
  <si>
    <t>sale of digital ass</t>
  </si>
  <si>
    <t>intangible assets</t>
  </si>
  <si>
    <t>investments</t>
  </si>
  <si>
    <t>maturities of inv</t>
  </si>
  <si>
    <t>sales of inv</t>
  </si>
  <si>
    <t>gov grants</t>
  </si>
  <si>
    <t>acquisitions</t>
  </si>
  <si>
    <t xml:space="preserve">debt  </t>
  </si>
  <si>
    <t>repayment of debt</t>
  </si>
  <si>
    <t>lease repayment</t>
  </si>
  <si>
    <t>stock options</t>
  </si>
  <si>
    <t>finance leases</t>
  </si>
  <si>
    <t>distributions</t>
  </si>
  <si>
    <t>buy-outs</t>
  </si>
  <si>
    <t>CFFA</t>
  </si>
  <si>
    <t>cash change</t>
  </si>
  <si>
    <t>cash beg</t>
  </si>
  <si>
    <t>cash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</si>
</sst>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0.0%"/>
    <numFmt numFmtId="166" formatCode="d\-mm;@"/>
  </numFmts>
  <fonts count="12" x14ac:knownFonts="1">
    <font>
      <sz val="11"/>
      <color theme="1"/>
      <name val="Calibri"/>
      <family val="2"/>
      <charset val="238"/>
      <scheme val="minor"/>
    </font>
    <font>
      <sz val="10"/>
      <color theme="1"/>
      <name val="Arial"/>
      <family val="2"/>
      <charset val="238"/>
    </font>
    <font>
      <sz val="10"/>
      <color theme="1"/>
      <name val="Arial"/>
      <family val="2"/>
      <charset val="238"/>
    </font>
    <font>
      <sz val="8"/>
      <name val="Calibri"/>
      <family val="2"/>
      <charset val="238"/>
      <scheme val="minor"/>
    </font>
    <font>
      <u/>
      <sz val="11"/>
      <color theme="10"/>
      <name val="Calibri"/>
      <family val="2"/>
      <charset val="238"/>
      <scheme val="minor"/>
    </font>
    <font>
      <sz val="9"/>
      <color indexed="81"/>
      <name val="Tahoma"/>
      <family val="2"/>
    </font>
    <font>
      <sz val="9"/>
      <color indexed="81"/>
      <name val="Tahoma"/>
      <family val="2"/>
      <charset val="238"/>
    </font>
    <font>
      <b/>
      <sz val="9"/>
      <color indexed="81"/>
      <name val="Tahoma"/>
      <family val="2"/>
      <charset val="238"/>
    </font>
    <font>
      <b/>
      <sz val="9"/>
      <color indexed="81"/>
      <name val="Tahoma"/>
      <family val="2"/>
    </font>
    <font>
      <b/>
      <sz val="10"/>
      <color theme="1"/>
      <name val="Arial"/>
      <family val="2"/>
      <charset val="238"/>
    </font>
    <font>
      <u/>
      <sz val="10"/>
      <color theme="10"/>
      <name val="Arial"/>
      <family val="2"/>
      <charset val="238"/>
    </font>
    <font>
      <b/>
      <sz val="10"/>
      <color indexed="8"/>
      <name val="Arial"/>
      <family val="2"/>
      <charset val="238"/>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2" fillId="0" borderId="0" xfId="0" applyFont="1"/>
    <xf numFmtId="3" fontId="9" fillId="0" borderId="0" xfId="0" applyNumberFormat="1" applyFont="1"/>
    <xf numFmtId="3" fontId="2" fillId="0" borderId="0" xfId="0" applyNumberFormat="1" applyFont="1"/>
    <xf numFmtId="9" fontId="2" fillId="0" borderId="0" xfId="0" applyNumberFormat="1" applyFont="1"/>
    <xf numFmtId="0" fontId="9" fillId="0" borderId="0" xfId="0" applyFont="1"/>
    <xf numFmtId="2" fontId="2" fillId="0" borderId="0" xfId="0" applyNumberFormat="1" applyFont="1"/>
    <xf numFmtId="164" fontId="2" fillId="0" borderId="0" xfId="0" applyNumberFormat="1" applyFont="1"/>
    <xf numFmtId="0" fontId="11" fillId="0" borderId="0" xfId="0" applyFont="1"/>
    <xf numFmtId="4" fontId="2" fillId="0" borderId="0" xfId="0" applyNumberFormat="1" applyFont="1"/>
    <xf numFmtId="4" fontId="9" fillId="0" borderId="0" xfId="0" applyNumberFormat="1" applyFont="1"/>
    <xf numFmtId="165" fontId="2" fillId="0" borderId="0" xfId="0" applyNumberFormat="1" applyFont="1"/>
    <xf numFmtId="1" fontId="2" fillId="0" borderId="0" xfId="0" applyNumberFormat="1" applyFont="1"/>
    <xf numFmtId="14" fontId="2" fillId="0" borderId="0" xfId="0" applyNumberFormat="1" applyFont="1"/>
    <xf numFmtId="0" fontId="1" fillId="0" borderId="0" xfId="0" applyFont="1"/>
    <xf numFmtId="3" fontId="11" fillId="0" borderId="0" xfId="0" applyNumberFormat="1" applyFont="1"/>
    <xf numFmtId="3" fontId="1" fillId="0" borderId="0" xfId="0" applyNumberFormat="1" applyFont="1"/>
    <xf numFmtId="166" fontId="10" fillId="0" borderId="0" xfId="1" applyNumberFormat="1" applyFont="1" applyAlignment="1">
      <alignment horizontal="center"/>
    </xf>
    <xf numFmtId="166" fontId="2" fillId="0" borderId="0" xfId="0" applyNumberFormat="1" applyFont="1"/>
    <xf numFmtId="9"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13</xdr:col>
      <xdr:colOff>51456</xdr:colOff>
      <xdr:row>1</xdr:row>
      <xdr:rowOff>64313</xdr:rowOff>
    </xdr:from>
    <xdr:to>
      <xdr:col>13</xdr:col>
      <xdr:colOff>51456</xdr:colOff>
      <xdr:row>132</xdr:row>
      <xdr:rowOff>73202</xdr:rowOff>
    </xdr:to>
    <xdr:cxnSp macro="">
      <xdr:nvCxnSpPr>
        <xdr:cNvPr id="6" name="Straight Connector 2">
          <a:extLst>
            <a:ext uri="{FF2B5EF4-FFF2-40B4-BE49-F238E27FC236}">
              <a16:creationId xmlns:a16="http://schemas.microsoft.com/office/drawing/2014/main" id="{AB974397-2621-224F-51AE-B64322E22395}"/>
            </a:ext>
          </a:extLst>
        </xdr:cNvPr>
        <xdr:cNvCxnSpPr/>
      </xdr:nvCxnSpPr>
      <xdr:spPr>
        <a:xfrm>
          <a:off x="8528011" y="231174"/>
          <a:ext cx="0" cy="2303575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27710</xdr:colOff>
      <xdr:row>0</xdr:row>
      <xdr:rowOff>0</xdr:rowOff>
    </xdr:from>
    <xdr:to>
      <xdr:col>22</xdr:col>
      <xdr:colOff>27710</xdr:colOff>
      <xdr:row>139</xdr:row>
      <xdr:rowOff>43526</xdr:rowOff>
    </xdr:to>
    <xdr:cxnSp macro="">
      <xdr:nvCxnSpPr>
        <xdr:cNvPr id="5" name="Straight Connector 4">
          <a:extLst>
            <a:ext uri="{FF2B5EF4-FFF2-40B4-BE49-F238E27FC236}">
              <a16:creationId xmlns:a16="http://schemas.microsoft.com/office/drawing/2014/main" id="{B0EE9528-761F-4EF3-BEE3-E462C1297277}"/>
            </a:ext>
          </a:extLst>
        </xdr:cNvPr>
        <xdr:cNvCxnSpPr/>
      </xdr:nvCxnSpPr>
      <xdr:spPr>
        <a:xfrm>
          <a:off x="14661574" y="0"/>
          <a:ext cx="0" cy="257610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586740</xdr:colOff>
      <xdr:row>0</xdr:row>
      <xdr:rowOff>144780</xdr:rowOff>
    </xdr:from>
    <xdr:to>
      <xdr:col>7</xdr:col>
      <xdr:colOff>586740</xdr:colOff>
      <xdr:row>44</xdr:row>
      <xdr:rowOff>175260</xdr:rowOff>
    </xdr:to>
    <xdr:cxnSp macro="">
      <xdr:nvCxnSpPr>
        <xdr:cNvPr id="3" name="Straight Connector 2">
          <a:extLst>
            <a:ext uri="{FF2B5EF4-FFF2-40B4-BE49-F238E27FC236}">
              <a16:creationId xmlns:a16="http://schemas.microsoft.com/office/drawing/2014/main" id="{5CE074B7-9B79-B4B0-2DBE-5AA58323D08E}"/>
            </a:ext>
          </a:extLst>
        </xdr:cNvPr>
        <xdr:cNvCxnSpPr/>
      </xdr:nvCxnSpPr>
      <xdr:spPr>
        <a:xfrm>
          <a:off x="6629400" y="144780"/>
          <a:ext cx="0" cy="64312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en-GB</v>
    <v>a24kar</v>
    <v>268435456</v>
    <v>1</v>
    <v>Powered by Refinitiv</v>
    <v>0</v>
    <v>TESLA, INC. (XNAS:TSLA)</v>
    <v>2</v>
    <v>3</v>
    <v>Finance</v>
    <v>4</v>
    <v>488.53989999999999</v>
    <v>138.80250000000001</v>
    <v>2.3386</v>
    <v>-14.58</v>
    <v>-3.4047999999999995E-2</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423.565</v>
    <v>Automobiles &amp; Auto Parts</v>
    <v>Stock</v>
    <v>45673.858671376562</v>
    <v>0</v>
    <v>409.13</v>
    <v>1327809218400</v>
    <v>TESLA, INC.</v>
    <v>TESLA, INC.</v>
    <v>423.27</v>
    <v>117.41160000000001</v>
    <v>428.22</v>
    <v>413.64</v>
    <v>3210060000</v>
    <v>TSLA</v>
    <v>TESLA, INC. (XNAS:TSLA)</v>
    <v>58454460</v>
    <v>91556952</v>
    <v>2024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9F600-D258-4A06-817C-411221231C5A}">
  <dimension ref="E4:N22"/>
  <sheetViews>
    <sheetView workbookViewId="0">
      <selection activeCell="G13" sqref="G13"/>
    </sheetView>
  </sheetViews>
  <sheetFormatPr defaultRowHeight="13.2" x14ac:dyDescent="0.25"/>
  <cols>
    <col min="1" max="1" width="8.88671875" style="1"/>
    <col min="2" max="2" width="8.88671875" style="1" customWidth="1"/>
    <col min="3" max="5" width="8.88671875" style="1"/>
    <col min="6" max="6" width="10.44140625" style="1" customWidth="1"/>
    <col min="7" max="7" width="9.109375" style="3" bestFit="1" customWidth="1"/>
    <col min="8" max="11" width="8.88671875" style="1"/>
    <col min="12" max="14" width="9" style="1" bestFit="1" customWidth="1"/>
    <col min="15" max="16384" width="8.88671875" style="1"/>
  </cols>
  <sheetData>
    <row r="4" spans="5:14" x14ac:dyDescent="0.25">
      <c r="F4" s="1" t="e" vm="1">
        <v>#VALUE!</v>
      </c>
      <c r="L4" s="1" t="s">
        <v>64</v>
      </c>
    </row>
    <row r="5" spans="5:14" x14ac:dyDescent="0.25">
      <c r="L5" s="1">
        <v>2021</v>
      </c>
      <c r="M5" s="1">
        <v>2022</v>
      </c>
      <c r="N5" s="1">
        <v>2023</v>
      </c>
    </row>
    <row r="6" spans="5:14" x14ac:dyDescent="0.25">
      <c r="F6" s="1" t="s">
        <v>14</v>
      </c>
      <c r="G6" s="16" t="s">
        <v>90</v>
      </c>
      <c r="L6" s="3">
        <v>34839.030031534079</v>
      </c>
      <c r="M6" s="3">
        <v>36213.932277121021</v>
      </c>
      <c r="N6" s="3">
        <v>35277.101384897491</v>
      </c>
    </row>
    <row r="7" spans="5:14" x14ac:dyDescent="0.25">
      <c r="E7" s="1" t="s">
        <v>0</v>
      </c>
      <c r="F7" s="7" cm="1">
        <f t="array" aca="1" ref="F7" ca="1">_FV(F4,"Price")</f>
        <v>413.64</v>
      </c>
      <c r="L7" s="1" t="s">
        <v>66</v>
      </c>
    </row>
    <row r="8" spans="5:14" x14ac:dyDescent="0.25">
      <c r="E8" s="1" t="s">
        <v>1</v>
      </c>
      <c r="F8" s="3" cm="1">
        <f t="array" aca="1" ref="F8" ca="1">+_FV(F4,"Shares outstanding",TRUE)/1000000</f>
        <v>3210.06</v>
      </c>
      <c r="H8" s="14" t="s">
        <v>15</v>
      </c>
    </row>
    <row r="9" spans="5:14" x14ac:dyDescent="0.25">
      <c r="E9" s="1" t="s">
        <v>2</v>
      </c>
      <c r="F9" s="3">
        <f ca="1">+F8*F7</f>
        <v>1327809.2183999999</v>
      </c>
      <c r="H9" s="14" t="s">
        <v>94</v>
      </c>
      <c r="M9" s="1" t="s">
        <v>65</v>
      </c>
      <c r="N9" s="3">
        <v>35443</v>
      </c>
    </row>
    <row r="10" spans="5:14" x14ac:dyDescent="0.25">
      <c r="E10" s="1" t="s">
        <v>3</v>
      </c>
      <c r="F10" s="3">
        <f>16398+3508+13626+3388</f>
        <v>36920</v>
      </c>
      <c r="G10" s="3">
        <f>18111+15537+3313</f>
        <v>36961</v>
      </c>
      <c r="H10" s="14" t="s">
        <v>94</v>
      </c>
    </row>
    <row r="11" spans="5:14" x14ac:dyDescent="0.25">
      <c r="E11" s="1" t="s">
        <v>4</v>
      </c>
      <c r="F11" s="3">
        <f>14431+2857+8153</f>
        <v>25441</v>
      </c>
      <c r="G11" s="3">
        <f>14654+5405</f>
        <v>20059</v>
      </c>
      <c r="H11" s="14" t="s">
        <v>94</v>
      </c>
    </row>
    <row r="12" spans="5:14" x14ac:dyDescent="0.25">
      <c r="E12" s="1" t="s">
        <v>5</v>
      </c>
      <c r="F12" s="3">
        <f ca="1">+F11+F9-F10</f>
        <v>1316330.2183999999</v>
      </c>
      <c r="G12" s="3">
        <f ca="1">+G11+F9-G10</f>
        <v>1310907.2183999999</v>
      </c>
      <c r="H12" s="14" t="s">
        <v>94</v>
      </c>
    </row>
    <row r="16" spans="5:14" x14ac:dyDescent="0.25">
      <c r="E16" s="14" t="s">
        <v>95</v>
      </c>
      <c r="G16" s="3">
        <v>36116</v>
      </c>
    </row>
    <row r="22" spans="7:7" s="8" customFormat="1" x14ac:dyDescent="0.25">
      <c r="G22"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63057-3870-4DFD-8E06-88FDDED23778}">
  <dimension ref="A1:FA102"/>
  <sheetViews>
    <sheetView tabSelected="1" zoomScale="91" zoomScaleNormal="100" workbookViewId="0">
      <pane xSplit="2" ySplit="2" topLeftCell="I5" activePane="bottomRight" state="frozen"/>
      <selection activeCell="W1" sqref="W1"/>
      <selection pane="topRight" activeCell="W1" sqref="W1"/>
      <selection pane="bottomLeft" activeCell="W1" sqref="W1"/>
      <selection pane="bottomRight" activeCell="V102" sqref="V102"/>
    </sheetView>
  </sheetViews>
  <sheetFormatPr defaultRowHeight="13.2" x14ac:dyDescent="0.25"/>
  <cols>
    <col min="1" max="1" width="5.44140625" style="1" bestFit="1" customWidth="1"/>
    <col min="2" max="2" width="19.77734375" style="1" customWidth="1"/>
    <col min="3" max="5" width="9" style="1" bestFit="1" customWidth="1"/>
    <col min="6" max="6" width="9.109375" style="1" bestFit="1" customWidth="1"/>
    <col min="7" max="10" width="9" style="1" bestFit="1" customWidth="1"/>
    <col min="11" max="11" width="8.33203125" style="1" bestFit="1" customWidth="1"/>
    <col min="12" max="12" width="9" style="1" bestFit="1" customWidth="1"/>
    <col min="13" max="16" width="8.88671875" style="1"/>
    <col min="17" max="20" width="9" style="1" bestFit="1" customWidth="1"/>
    <col min="21" max="23" width="10" style="1" bestFit="1" customWidth="1"/>
    <col min="24" max="24" width="10.21875" style="1" bestFit="1" customWidth="1"/>
    <col min="25" max="28" width="10" style="1" bestFit="1" customWidth="1"/>
    <col min="29" max="157" width="9" style="1" bestFit="1" customWidth="1"/>
    <col min="158" max="16384" width="8.88671875" style="1"/>
  </cols>
  <sheetData>
    <row r="1" spans="1:135" s="18" customFormat="1" x14ac:dyDescent="0.25">
      <c r="A1" s="17" t="s">
        <v>17</v>
      </c>
      <c r="I1" s="18">
        <v>45565</v>
      </c>
      <c r="M1" s="18">
        <v>45565</v>
      </c>
    </row>
    <row r="2" spans="1:135" x14ac:dyDescent="0.25">
      <c r="B2" s="1" t="s">
        <v>88</v>
      </c>
      <c r="C2" s="1" t="s">
        <v>6</v>
      </c>
      <c r="D2" s="1" t="s">
        <v>7</v>
      </c>
      <c r="E2" s="1" t="s">
        <v>8</v>
      </c>
      <c r="F2" s="1" t="s">
        <v>9</v>
      </c>
      <c r="G2" s="1" t="s">
        <v>10</v>
      </c>
      <c r="H2" s="1" t="s">
        <v>11</v>
      </c>
      <c r="I2" s="1" t="s">
        <v>12</v>
      </c>
      <c r="J2" s="1" t="s">
        <v>13</v>
      </c>
      <c r="K2" s="1" t="s">
        <v>14</v>
      </c>
      <c r="L2" s="1" t="s">
        <v>89</v>
      </c>
      <c r="M2" s="1" t="s">
        <v>90</v>
      </c>
      <c r="N2" s="14" t="s">
        <v>93</v>
      </c>
      <c r="Q2" s="1">
        <v>2018</v>
      </c>
      <c r="R2" s="1">
        <f>Q2+1</f>
        <v>2019</v>
      </c>
      <c r="S2" s="1">
        <f t="shared" ref="S2:AA2" si="0">R2+1</f>
        <v>2020</v>
      </c>
      <c r="T2" s="1">
        <f t="shared" si="0"/>
        <v>2021</v>
      </c>
      <c r="U2" s="1">
        <f t="shared" si="0"/>
        <v>2022</v>
      </c>
      <c r="V2" s="1">
        <f t="shared" si="0"/>
        <v>2023</v>
      </c>
      <c r="W2" s="1">
        <f t="shared" si="0"/>
        <v>2024</v>
      </c>
      <c r="X2" s="1">
        <f t="shared" si="0"/>
        <v>2025</v>
      </c>
      <c r="Y2" s="1">
        <f t="shared" si="0"/>
        <v>2026</v>
      </c>
      <c r="Z2" s="1">
        <f t="shared" si="0"/>
        <v>2027</v>
      </c>
      <c r="AA2" s="1">
        <f t="shared" si="0"/>
        <v>2028</v>
      </c>
      <c r="AB2" s="1">
        <f t="shared" ref="AB2" si="1">AA2+1</f>
        <v>2029</v>
      </c>
      <c r="AC2" s="1">
        <f t="shared" ref="AC2" si="2">AB2+1</f>
        <v>2030</v>
      </c>
      <c r="AD2" s="1">
        <f t="shared" ref="AD2" si="3">AC2+1</f>
        <v>2031</v>
      </c>
      <c r="AE2" s="1">
        <f t="shared" ref="AE2" si="4">AD2+1</f>
        <v>2032</v>
      </c>
      <c r="AF2" s="1">
        <f t="shared" ref="AF2" si="5">AE2+1</f>
        <v>2033</v>
      </c>
      <c r="AG2" s="1">
        <f t="shared" ref="AG2" si="6">AF2+1</f>
        <v>2034</v>
      </c>
      <c r="AH2" s="1">
        <f t="shared" ref="AH2" si="7">AG2+1</f>
        <v>2035</v>
      </c>
      <c r="AI2" s="1">
        <f t="shared" ref="AI2" si="8">AH2+1</f>
        <v>2036</v>
      </c>
      <c r="AJ2" s="1">
        <f t="shared" ref="AJ2" si="9">AI2+1</f>
        <v>2037</v>
      </c>
      <c r="AK2" s="1">
        <f t="shared" ref="AK2" si="10">AJ2+1</f>
        <v>2038</v>
      </c>
      <c r="AL2" s="1">
        <f t="shared" ref="AL2" si="11">AK2+1</f>
        <v>2039</v>
      </c>
      <c r="AM2" s="1">
        <f t="shared" ref="AM2" si="12">AL2+1</f>
        <v>2040</v>
      </c>
      <c r="AN2" s="1">
        <f t="shared" ref="AN2" si="13">AM2+1</f>
        <v>2041</v>
      </c>
      <c r="AO2" s="1">
        <f t="shared" ref="AO2" si="14">AN2+1</f>
        <v>2042</v>
      </c>
      <c r="AP2" s="1">
        <f t="shared" ref="AP2" si="15">AO2+1</f>
        <v>2043</v>
      </c>
      <c r="AQ2" s="1">
        <f t="shared" ref="AQ2" si="16">AP2+1</f>
        <v>2044</v>
      </c>
      <c r="AR2" s="1">
        <f t="shared" ref="AR2" si="17">AQ2+1</f>
        <v>2045</v>
      </c>
      <c r="AS2" s="1">
        <f t="shared" ref="AS2" si="18">AR2+1</f>
        <v>2046</v>
      </c>
      <c r="AT2" s="1">
        <f t="shared" ref="AT2" si="19">AS2+1</f>
        <v>2047</v>
      </c>
      <c r="AU2" s="1">
        <f t="shared" ref="AU2" si="20">AT2+1</f>
        <v>2048</v>
      </c>
      <c r="AV2" s="1">
        <f t="shared" ref="AV2" si="21">AU2+1</f>
        <v>2049</v>
      </c>
      <c r="AW2" s="1">
        <f t="shared" ref="AW2" si="22">AV2+1</f>
        <v>2050</v>
      </c>
      <c r="AX2" s="1">
        <f t="shared" ref="AX2" si="23">AW2+1</f>
        <v>2051</v>
      </c>
      <c r="AY2" s="1">
        <f t="shared" ref="AY2" si="24">AX2+1</f>
        <v>2052</v>
      </c>
      <c r="AZ2" s="1">
        <f t="shared" ref="AZ2" si="25">AY2+1</f>
        <v>2053</v>
      </c>
      <c r="BA2" s="1">
        <f t="shared" ref="BA2" si="26">AZ2+1</f>
        <v>2054</v>
      </c>
      <c r="BB2" s="1">
        <f t="shared" ref="BB2" si="27">BA2+1</f>
        <v>2055</v>
      </c>
      <c r="BC2" s="1">
        <f t="shared" ref="BC2" si="28">BB2+1</f>
        <v>2056</v>
      </c>
      <c r="BD2" s="1">
        <f t="shared" ref="BD2" si="29">BC2+1</f>
        <v>2057</v>
      </c>
      <c r="BE2" s="1">
        <f t="shared" ref="BE2" si="30">BD2+1</f>
        <v>2058</v>
      </c>
      <c r="BF2" s="1">
        <f t="shared" ref="BF2" si="31">BE2+1</f>
        <v>2059</v>
      </c>
      <c r="BG2" s="1">
        <f t="shared" ref="BG2" si="32">BF2+1</f>
        <v>2060</v>
      </c>
      <c r="BH2" s="1">
        <f t="shared" ref="BH2" si="33">BG2+1</f>
        <v>2061</v>
      </c>
      <c r="BI2" s="1">
        <f t="shared" ref="BI2" si="34">BH2+1</f>
        <v>2062</v>
      </c>
      <c r="BJ2" s="1">
        <f t="shared" ref="BJ2" si="35">BI2+1</f>
        <v>2063</v>
      </c>
      <c r="BK2" s="1">
        <f t="shared" ref="BK2" si="36">BJ2+1</f>
        <v>2064</v>
      </c>
      <c r="BL2" s="1">
        <f t="shared" ref="BL2" si="37">BK2+1</f>
        <v>2065</v>
      </c>
      <c r="BM2" s="1">
        <f t="shared" ref="BM2" si="38">BL2+1</f>
        <v>2066</v>
      </c>
      <c r="BN2" s="1">
        <f t="shared" ref="BN2" si="39">BM2+1</f>
        <v>2067</v>
      </c>
      <c r="BO2" s="1">
        <f t="shared" ref="BO2" si="40">BN2+1</f>
        <v>2068</v>
      </c>
      <c r="BP2" s="1">
        <f t="shared" ref="BP2" si="41">BO2+1</f>
        <v>2069</v>
      </c>
      <c r="BQ2" s="1">
        <f t="shared" ref="BQ2" si="42">BP2+1</f>
        <v>2070</v>
      </c>
      <c r="BR2" s="1">
        <f t="shared" ref="BR2" si="43">BQ2+1</f>
        <v>2071</v>
      </c>
      <c r="BS2" s="1">
        <f t="shared" ref="BS2" si="44">BR2+1</f>
        <v>2072</v>
      </c>
      <c r="BT2" s="1">
        <f t="shared" ref="BT2" si="45">BS2+1</f>
        <v>2073</v>
      </c>
      <c r="BU2" s="1">
        <f t="shared" ref="BU2" si="46">BT2+1</f>
        <v>2074</v>
      </c>
      <c r="BV2" s="1">
        <f t="shared" ref="BV2" si="47">BU2+1</f>
        <v>2075</v>
      </c>
      <c r="BW2" s="1">
        <f t="shared" ref="BW2" si="48">BV2+1</f>
        <v>2076</v>
      </c>
      <c r="BX2" s="1">
        <f t="shared" ref="BX2" si="49">BW2+1</f>
        <v>2077</v>
      </c>
      <c r="BY2" s="1">
        <f t="shared" ref="BY2" si="50">BX2+1</f>
        <v>2078</v>
      </c>
      <c r="BZ2" s="1">
        <f t="shared" ref="BZ2" si="51">BY2+1</f>
        <v>2079</v>
      </c>
      <c r="CA2" s="1">
        <f t="shared" ref="CA2" si="52">BZ2+1</f>
        <v>2080</v>
      </c>
      <c r="CB2" s="1">
        <f t="shared" ref="CB2" si="53">CA2+1</f>
        <v>2081</v>
      </c>
      <c r="CC2" s="1">
        <f t="shared" ref="CC2" si="54">CB2+1</f>
        <v>2082</v>
      </c>
      <c r="CD2" s="1">
        <f t="shared" ref="CD2" si="55">CC2+1</f>
        <v>2083</v>
      </c>
      <c r="CE2" s="1">
        <f t="shared" ref="CE2" si="56">CD2+1</f>
        <v>2084</v>
      </c>
      <c r="CF2" s="1">
        <f t="shared" ref="CF2" si="57">CE2+1</f>
        <v>2085</v>
      </c>
      <c r="CG2" s="1">
        <f t="shared" ref="CG2" si="58">CF2+1</f>
        <v>2086</v>
      </c>
      <c r="CH2" s="1">
        <f t="shared" ref="CH2" si="59">CG2+1</f>
        <v>2087</v>
      </c>
      <c r="CI2" s="1">
        <f t="shared" ref="CI2" si="60">CH2+1</f>
        <v>2088</v>
      </c>
      <c r="CJ2" s="1">
        <f t="shared" ref="CJ2" si="61">CI2+1</f>
        <v>2089</v>
      </c>
      <c r="CK2" s="1">
        <f t="shared" ref="CK2" si="62">CJ2+1</f>
        <v>2090</v>
      </c>
      <c r="CL2" s="1">
        <f t="shared" ref="CL2" si="63">CK2+1</f>
        <v>2091</v>
      </c>
      <c r="CM2" s="1">
        <f t="shared" ref="CM2" si="64">CL2+1</f>
        <v>2092</v>
      </c>
      <c r="CN2" s="1">
        <f t="shared" ref="CN2" si="65">CM2+1</f>
        <v>2093</v>
      </c>
      <c r="CO2" s="1">
        <f t="shared" ref="CO2" si="66">CN2+1</f>
        <v>2094</v>
      </c>
      <c r="CP2" s="1">
        <f t="shared" ref="CP2" si="67">CO2+1</f>
        <v>2095</v>
      </c>
      <c r="CQ2" s="1">
        <f t="shared" ref="CQ2" si="68">CP2+1</f>
        <v>2096</v>
      </c>
      <c r="CR2" s="1">
        <f t="shared" ref="CR2" si="69">CQ2+1</f>
        <v>2097</v>
      </c>
      <c r="CS2" s="1">
        <f t="shared" ref="CS2" si="70">CR2+1</f>
        <v>2098</v>
      </c>
      <c r="CT2" s="1">
        <f t="shared" ref="CT2" si="71">CS2+1</f>
        <v>2099</v>
      </c>
      <c r="CU2" s="1">
        <f t="shared" ref="CU2" si="72">CT2+1</f>
        <v>2100</v>
      </c>
      <c r="CV2" s="1">
        <f t="shared" ref="CV2" si="73">CU2+1</f>
        <v>2101</v>
      </c>
      <c r="CW2" s="1">
        <f t="shared" ref="CW2" si="74">CV2+1</f>
        <v>2102</v>
      </c>
      <c r="CX2" s="1">
        <f t="shared" ref="CX2" si="75">CW2+1</f>
        <v>2103</v>
      </c>
      <c r="CY2" s="1">
        <f t="shared" ref="CY2" si="76">CX2+1</f>
        <v>2104</v>
      </c>
      <c r="CZ2" s="1">
        <f t="shared" ref="CZ2" si="77">CY2+1</f>
        <v>2105</v>
      </c>
      <c r="DA2" s="1">
        <f t="shared" ref="DA2" si="78">CZ2+1</f>
        <v>2106</v>
      </c>
      <c r="DB2" s="1">
        <f t="shared" ref="DB2" si="79">DA2+1</f>
        <v>2107</v>
      </c>
      <c r="DC2" s="1">
        <f t="shared" ref="DC2" si="80">DB2+1</f>
        <v>2108</v>
      </c>
      <c r="DD2" s="1">
        <f t="shared" ref="DD2" si="81">DC2+1</f>
        <v>2109</v>
      </c>
      <c r="DE2" s="1">
        <f t="shared" ref="DE2" si="82">DD2+1</f>
        <v>2110</v>
      </c>
      <c r="DF2" s="1">
        <f t="shared" ref="DF2" si="83">DE2+1</f>
        <v>2111</v>
      </c>
      <c r="DG2" s="1">
        <f t="shared" ref="DG2" si="84">DF2+1</f>
        <v>2112</v>
      </c>
      <c r="DH2" s="1">
        <f t="shared" ref="DH2" si="85">DG2+1</f>
        <v>2113</v>
      </c>
      <c r="DI2" s="1">
        <f t="shared" ref="DI2" si="86">DH2+1</f>
        <v>2114</v>
      </c>
      <c r="DJ2" s="1">
        <f t="shared" ref="DJ2" si="87">DI2+1</f>
        <v>2115</v>
      </c>
      <c r="DK2" s="1">
        <f t="shared" ref="DK2" si="88">DJ2+1</f>
        <v>2116</v>
      </c>
      <c r="DL2" s="1">
        <f t="shared" ref="DL2" si="89">DK2+1</f>
        <v>2117</v>
      </c>
      <c r="DM2" s="1">
        <f t="shared" ref="DM2" si="90">DL2+1</f>
        <v>2118</v>
      </c>
      <c r="DN2" s="1">
        <f t="shared" ref="DN2" si="91">DM2+1</f>
        <v>2119</v>
      </c>
      <c r="DO2" s="1">
        <f t="shared" ref="DO2" si="92">DN2+1</f>
        <v>2120</v>
      </c>
      <c r="DP2" s="1">
        <f t="shared" ref="DP2" si="93">DO2+1</f>
        <v>2121</v>
      </c>
      <c r="DQ2" s="1">
        <f t="shared" ref="DQ2" si="94">DP2+1</f>
        <v>2122</v>
      </c>
      <c r="DR2" s="1">
        <f t="shared" ref="DR2" si="95">DQ2+1</f>
        <v>2123</v>
      </c>
      <c r="DS2" s="1">
        <f t="shared" ref="DS2" si="96">DR2+1</f>
        <v>2124</v>
      </c>
      <c r="DT2" s="1">
        <f t="shared" ref="DT2" si="97">DS2+1</f>
        <v>2125</v>
      </c>
      <c r="DU2" s="1">
        <f t="shared" ref="DU2" si="98">DT2+1</f>
        <v>2126</v>
      </c>
      <c r="DV2" s="1">
        <f t="shared" ref="DV2" si="99">DU2+1</f>
        <v>2127</v>
      </c>
      <c r="DW2" s="1">
        <f t="shared" ref="DW2" si="100">DV2+1</f>
        <v>2128</v>
      </c>
      <c r="DX2" s="1">
        <f t="shared" ref="DX2" si="101">DW2+1</f>
        <v>2129</v>
      </c>
      <c r="DY2" s="1">
        <f t="shared" ref="DY2" si="102">DX2+1</f>
        <v>2130</v>
      </c>
      <c r="DZ2" s="1">
        <f t="shared" ref="DZ2" si="103">DY2+1</f>
        <v>2131</v>
      </c>
      <c r="EA2" s="1">
        <f t="shared" ref="EA2" si="104">DZ2+1</f>
        <v>2132</v>
      </c>
      <c r="EB2" s="1">
        <f t="shared" ref="EB2" si="105">EA2+1</f>
        <v>2133</v>
      </c>
      <c r="EC2" s="1">
        <f t="shared" ref="EC2" si="106">EB2+1</f>
        <v>2134</v>
      </c>
      <c r="ED2" s="1">
        <f t="shared" ref="ED2" si="107">EC2+1</f>
        <v>2135</v>
      </c>
      <c r="EE2" s="1">
        <f t="shared" ref="EE2" si="108">ED2+1</f>
        <v>2136</v>
      </c>
    </row>
    <row r="3" spans="1:135" s="3" customFormat="1" x14ac:dyDescent="0.25">
      <c r="B3" s="3" t="s">
        <v>60</v>
      </c>
      <c r="C3" s="3">
        <v>305407</v>
      </c>
      <c r="D3" s="3">
        <v>258580</v>
      </c>
      <c r="E3" s="3">
        <v>365923</v>
      </c>
      <c r="F3" s="3">
        <v>439701</v>
      </c>
      <c r="G3" s="3">
        <v>440808</v>
      </c>
      <c r="H3" s="3">
        <v>479700</v>
      </c>
      <c r="I3" s="3">
        <v>430488</v>
      </c>
      <c r="J3" s="3">
        <v>494989</v>
      </c>
      <c r="K3" s="3">
        <v>433371</v>
      </c>
      <c r="L3" s="3">
        <v>410831</v>
      </c>
      <c r="S3" s="3">
        <v>509737</v>
      </c>
      <c r="T3" s="3">
        <v>930422</v>
      </c>
      <c r="U3" s="3">
        <v>1369611</v>
      </c>
      <c r="V3" s="3">
        <v>1845985</v>
      </c>
      <c r="W3" s="3">
        <f t="shared" ref="W3:AB3" si="109">V3*(1+W5)</f>
        <v>2233641.85</v>
      </c>
      <c r="X3" s="3">
        <f t="shared" si="109"/>
        <v>2613360.9644999998</v>
      </c>
      <c r="Y3" s="3">
        <f t="shared" si="109"/>
        <v>2926964.2802400002</v>
      </c>
      <c r="Z3" s="3">
        <f t="shared" si="109"/>
        <v>3131851.7798568006</v>
      </c>
      <c r="AA3" s="3">
        <f t="shared" si="109"/>
        <v>3194488.8154539368</v>
      </c>
      <c r="AB3" s="3">
        <f t="shared" si="109"/>
        <v>3194488.8154539368</v>
      </c>
    </row>
    <row r="4" spans="1:135" s="3" customFormat="1" x14ac:dyDescent="0.25">
      <c r="B4" s="3" t="s">
        <v>61</v>
      </c>
      <c r="C4" s="3">
        <v>310048</v>
      </c>
      <c r="D4" s="3">
        <v>254965</v>
      </c>
      <c r="E4" s="3">
        <v>343830</v>
      </c>
      <c r="F4" s="3">
        <v>405278</v>
      </c>
      <c r="G4" s="3">
        <v>422875</v>
      </c>
      <c r="H4" s="3">
        <v>466140</v>
      </c>
      <c r="I4" s="3">
        <v>435059</v>
      </c>
      <c r="J4" s="3">
        <v>484507</v>
      </c>
      <c r="K4" s="3">
        <v>386810</v>
      </c>
      <c r="L4" s="3">
        <v>553956</v>
      </c>
      <c r="S4" s="3">
        <v>499550</v>
      </c>
      <c r="T4" s="3">
        <v>936172</v>
      </c>
      <c r="U4" s="3">
        <v>1313851</v>
      </c>
      <c r="V4" s="3">
        <v>1808851</v>
      </c>
    </row>
    <row r="5" spans="1:135" s="4" customFormat="1" x14ac:dyDescent="0.25">
      <c r="B5" s="4" t="s">
        <v>62</v>
      </c>
      <c r="C5" s="4" t="e">
        <f>C3/#REF!-1</f>
        <v>#REF!</v>
      </c>
      <c r="D5" s="4" t="e">
        <f>D3/#REF!-1</f>
        <v>#REF!</v>
      </c>
      <c r="E5" s="4" t="e">
        <f t="shared" ref="E5:L5" si="110">E3/A3-1</f>
        <v>#DIV/0!</v>
      </c>
      <c r="F5" s="4" t="e">
        <f t="shared" si="110"/>
        <v>#VALUE!</v>
      </c>
      <c r="G5" s="4">
        <f t="shared" si="110"/>
        <v>0.44334609226376598</v>
      </c>
      <c r="H5" s="4">
        <f t="shared" si="110"/>
        <v>0.85513187408152214</v>
      </c>
      <c r="I5" s="4">
        <f t="shared" si="110"/>
        <v>0.17644422460462983</v>
      </c>
      <c r="J5" s="4">
        <f t="shared" si="110"/>
        <v>0.12573999149421988</v>
      </c>
      <c r="K5" s="4">
        <f t="shared" si="110"/>
        <v>-1.687129090216144E-2</v>
      </c>
      <c r="L5" s="4">
        <f t="shared" si="110"/>
        <v>-0.14356681259120285</v>
      </c>
      <c r="S5" s="4" t="e">
        <f>S3/R3-1</f>
        <v>#DIV/0!</v>
      </c>
      <c r="T5" s="4">
        <f>T3/S3-1</f>
        <v>0.8252981439448186</v>
      </c>
      <c r="U5" s="4">
        <f>U3/T3-1</f>
        <v>0.47203204567389845</v>
      </c>
      <c r="V5" s="4">
        <f>V3/U3-1</f>
        <v>0.34781700789494252</v>
      </c>
      <c r="W5" s="4">
        <v>0.21</v>
      </c>
      <c r="X5" s="4">
        <v>0.17</v>
      </c>
      <c r="Y5" s="4">
        <v>0.12</v>
      </c>
      <c r="Z5" s="4">
        <v>7.0000000000000007E-2</v>
      </c>
      <c r="AA5" s="4">
        <v>0.02</v>
      </c>
      <c r="AB5" s="4">
        <v>0</v>
      </c>
    </row>
    <row r="6" spans="1:135" s="4" customFormat="1" x14ac:dyDescent="0.25">
      <c r="B6" s="4" t="s">
        <v>70</v>
      </c>
      <c r="C6" s="4">
        <f t="shared" ref="C6:K6" si="111">C4/C3</f>
        <v>1.0151961153477163</v>
      </c>
      <c r="D6" s="4">
        <f t="shared" si="111"/>
        <v>0.98601980044860393</v>
      </c>
      <c r="E6" s="4">
        <f t="shared" si="111"/>
        <v>0.93962390994826783</v>
      </c>
      <c r="F6" s="4">
        <f t="shared" si="111"/>
        <v>0.92171270931837768</v>
      </c>
      <c r="G6" s="4">
        <f t="shared" si="111"/>
        <v>0.95931788896753234</v>
      </c>
      <c r="H6" s="4">
        <f t="shared" si="111"/>
        <v>0.97173233270794246</v>
      </c>
      <c r="I6" s="4">
        <f t="shared" si="111"/>
        <v>1.0106181821560647</v>
      </c>
      <c r="J6" s="4">
        <f t="shared" si="111"/>
        <v>0.97882377184139446</v>
      </c>
      <c r="K6" s="4">
        <f t="shared" si="111"/>
        <v>0.8925608774006567</v>
      </c>
      <c r="L6" s="4">
        <f t="shared" ref="L6" si="112">L4/L3</f>
        <v>1.3483792605718654</v>
      </c>
      <c r="Q6" s="4" t="e">
        <f t="shared" ref="Q6:V6" si="113">Q4/Q3</f>
        <v>#DIV/0!</v>
      </c>
      <c r="R6" s="4" t="e">
        <f t="shared" si="113"/>
        <v>#DIV/0!</v>
      </c>
      <c r="S6" s="4">
        <f t="shared" si="113"/>
        <v>0.98001518430092383</v>
      </c>
      <c r="T6" s="4">
        <f t="shared" si="113"/>
        <v>1.0061799914447422</v>
      </c>
      <c r="U6" s="4">
        <f t="shared" si="113"/>
        <v>0.95928771016003811</v>
      </c>
      <c r="V6" s="4">
        <f t="shared" si="113"/>
        <v>0.97988391021595522</v>
      </c>
    </row>
    <row r="7" spans="1:135" s="3" customFormat="1" x14ac:dyDescent="0.25">
      <c r="B7" s="3" t="s">
        <v>63</v>
      </c>
      <c r="E7" s="3">
        <f>E10*1000000/E3</f>
        <v>48603.121421719872</v>
      </c>
      <c r="G7" s="3">
        <f>G10*1000000/G3</f>
        <v>42825.901526288086</v>
      </c>
      <c r="I7" s="3">
        <f>I10*1000000/I3</f>
        <v>43164.96627083682</v>
      </c>
      <c r="K7" s="3">
        <f>K10*1000000/K3</f>
        <v>37981.313931942837</v>
      </c>
      <c r="L7" s="3">
        <f>L10*1000000/L3</f>
        <v>45103.704442946124</v>
      </c>
      <c r="S7" s="3">
        <f>S10*1000000/S3</f>
        <v>51367.666070934618</v>
      </c>
      <c r="T7" s="3">
        <f>T10*1000000/T3</f>
        <v>47424.716956391829</v>
      </c>
      <c r="U7" s="3">
        <f>U10*1000000/U3</f>
        <v>49072.327836152013</v>
      </c>
      <c r="V7" s="3">
        <f>V10*1000000/V3</f>
        <v>42529.598019485529</v>
      </c>
      <c r="W7" s="3">
        <f>V7*1.03</f>
        <v>43805.485960070095</v>
      </c>
      <c r="X7" s="3">
        <f t="shared" ref="X7:AB7" si="114">W7*1.03</f>
        <v>45119.6505388722</v>
      </c>
      <c r="Y7" s="3">
        <f t="shared" si="114"/>
        <v>46473.240055038368</v>
      </c>
      <c r="Z7" s="3">
        <f t="shared" si="114"/>
        <v>47867.437256689518</v>
      </c>
      <c r="AA7" s="3">
        <f t="shared" si="114"/>
        <v>49303.460374390204</v>
      </c>
      <c r="AB7" s="3">
        <f t="shared" si="114"/>
        <v>50782.564185621915</v>
      </c>
    </row>
    <row r="8" spans="1:135" s="3" customFormat="1" x14ac:dyDescent="0.25">
      <c r="B8" s="3" t="s">
        <v>69</v>
      </c>
      <c r="E8" s="3">
        <f t="shared" ref="E8" si="115">E23*1000000/E3</f>
        <v>35797.148580439054</v>
      </c>
      <c r="G8" s="3">
        <f t="shared" ref="G8" si="116">G23*1000000/G3</f>
        <v>34985.753434601909</v>
      </c>
      <c r="I8" s="3">
        <f t="shared" ref="I8" si="117">I23*1000000/I3</f>
        <v>36368.028841686646</v>
      </c>
      <c r="J8" s="1"/>
      <c r="K8" s="3">
        <f>K23*1000000/K3</f>
        <v>32067.212619210793</v>
      </c>
      <c r="L8" s="3">
        <f>L23*1000000/L3</f>
        <v>38852.959002606913</v>
      </c>
      <c r="Q8" s="3" t="e">
        <f t="shared" ref="Q8:V8" si="118">Q23*1000000/Q3</f>
        <v>#DIV/0!</v>
      </c>
      <c r="R8" s="3" t="e">
        <f t="shared" si="118"/>
        <v>#DIV/0!</v>
      </c>
      <c r="S8" s="3">
        <f t="shared" si="118"/>
        <v>38639.533720330292</v>
      </c>
      <c r="T8" s="3">
        <f t="shared" si="118"/>
        <v>34839.030031534079</v>
      </c>
      <c r="U8" s="3">
        <f t="shared" si="118"/>
        <v>36213.932277121021</v>
      </c>
      <c r="V8" s="3">
        <f t="shared" si="118"/>
        <v>35277.101384897491</v>
      </c>
      <c r="W8" s="3">
        <v>36242</v>
      </c>
      <c r="X8" s="3">
        <v>36242</v>
      </c>
      <c r="Y8" s="3">
        <v>36242</v>
      </c>
      <c r="Z8" s="3">
        <v>36242</v>
      </c>
      <c r="AA8" s="3">
        <v>36242</v>
      </c>
      <c r="AB8" s="3">
        <v>36242</v>
      </c>
    </row>
    <row r="9" spans="1:135" s="3" customFormat="1" x14ac:dyDescent="0.25"/>
    <row r="10" spans="1:135" x14ac:dyDescent="0.25">
      <c r="B10" s="1" t="s">
        <v>16</v>
      </c>
      <c r="C10" s="3">
        <v>15514</v>
      </c>
      <c r="D10" s="3"/>
      <c r="E10" s="3">
        <v>17785</v>
      </c>
      <c r="F10" s="3"/>
      <c r="G10" s="3">
        <v>18878</v>
      </c>
      <c r="H10" s="3">
        <v>20419</v>
      </c>
      <c r="I10" s="3">
        <v>18582</v>
      </c>
      <c r="K10" s="3">
        <v>16460</v>
      </c>
      <c r="L10" s="3">
        <v>18530</v>
      </c>
      <c r="M10" s="3">
        <v>18831</v>
      </c>
      <c r="N10" s="3"/>
      <c r="O10" s="3"/>
      <c r="P10" s="3"/>
      <c r="Q10" s="3">
        <v>17632</v>
      </c>
      <c r="R10" s="3">
        <v>19952</v>
      </c>
      <c r="S10" s="3">
        <v>26184</v>
      </c>
      <c r="T10" s="3">
        <v>44125</v>
      </c>
      <c r="U10" s="3">
        <v>67210</v>
      </c>
      <c r="V10" s="3">
        <v>78509</v>
      </c>
      <c r="W10" s="3">
        <f t="shared" ref="W10:AB10" si="119">W7*W3/1000000</f>
        <v>97845.766699999993</v>
      </c>
      <c r="X10" s="3">
        <f t="shared" si="119"/>
        <v>117913.93345016998</v>
      </c>
      <c r="Y10" s="3">
        <f t="shared" si="119"/>
        <v>136025.51362811611</v>
      </c>
      <c r="Z10" s="3">
        <f t="shared" si="119"/>
        <v>149913.71856954679</v>
      </c>
      <c r="AA10" s="3">
        <f t="shared" si="119"/>
        <v>157499.35272916587</v>
      </c>
      <c r="AB10" s="3">
        <f t="shared" si="119"/>
        <v>162224.33331104086</v>
      </c>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row>
    <row r="11" spans="1:135" x14ac:dyDescent="0.25">
      <c r="B11" s="1" t="s">
        <v>18</v>
      </c>
      <c r="C11" s="3">
        <v>679</v>
      </c>
      <c r="D11" s="3"/>
      <c r="E11" s="3">
        <v>286</v>
      </c>
      <c r="F11" s="3"/>
      <c r="G11" s="3">
        <v>521</v>
      </c>
      <c r="H11" s="3">
        <v>282</v>
      </c>
      <c r="I11" s="3">
        <v>554</v>
      </c>
      <c r="K11" s="3">
        <v>442</v>
      </c>
      <c r="L11" s="3">
        <v>890</v>
      </c>
      <c r="M11" s="3">
        <v>739</v>
      </c>
      <c r="N11" s="3"/>
      <c r="O11" s="3"/>
      <c r="P11" s="3"/>
      <c r="Q11" s="3" t="s">
        <v>45</v>
      </c>
      <c r="R11" s="3" t="s">
        <v>45</v>
      </c>
      <c r="S11" s="3" t="s">
        <v>45</v>
      </c>
      <c r="T11" s="3">
        <v>1465</v>
      </c>
      <c r="U11" s="3">
        <v>1776</v>
      </c>
      <c r="V11" s="3">
        <v>1790</v>
      </c>
      <c r="W11" s="3">
        <v>1790</v>
      </c>
      <c r="X11" s="3">
        <v>1790</v>
      </c>
      <c r="Y11" s="3">
        <v>1790</v>
      </c>
      <c r="Z11" s="3">
        <v>1790</v>
      </c>
      <c r="AA11" s="3">
        <v>1790</v>
      </c>
      <c r="AB11" s="3">
        <v>1790</v>
      </c>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row>
    <row r="12" spans="1:135" x14ac:dyDescent="0.25">
      <c r="B12" s="1" t="s">
        <v>19</v>
      </c>
      <c r="C12" s="3">
        <v>668</v>
      </c>
      <c r="D12" s="3"/>
      <c r="E12" s="3">
        <v>621</v>
      </c>
      <c r="F12" s="3"/>
      <c r="G12" s="3">
        <v>564</v>
      </c>
      <c r="H12" s="3">
        <v>567</v>
      </c>
      <c r="I12" s="3">
        <v>489</v>
      </c>
      <c r="K12" s="3">
        <v>476</v>
      </c>
      <c r="L12" s="3">
        <v>458</v>
      </c>
      <c r="M12" s="3">
        <v>446</v>
      </c>
      <c r="N12" s="3"/>
      <c r="O12" s="3"/>
      <c r="P12" s="3"/>
      <c r="Q12" s="3">
        <v>883</v>
      </c>
      <c r="R12" s="3">
        <v>869</v>
      </c>
      <c r="S12" s="3">
        <v>1052</v>
      </c>
      <c r="T12" s="3">
        <v>1642</v>
      </c>
      <c r="U12" s="3">
        <v>2476</v>
      </c>
      <c r="V12" s="3">
        <v>2120</v>
      </c>
      <c r="W12" s="3">
        <v>2120</v>
      </c>
      <c r="X12" s="3">
        <v>2120</v>
      </c>
      <c r="Y12" s="3">
        <v>2120</v>
      </c>
      <c r="Z12" s="3">
        <v>2120</v>
      </c>
      <c r="AA12" s="3">
        <v>2120</v>
      </c>
      <c r="AB12" s="3">
        <v>2120</v>
      </c>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row>
    <row r="13" spans="1:135" x14ac:dyDescent="0.25">
      <c r="B13" s="1" t="s">
        <v>20</v>
      </c>
      <c r="C13" s="3">
        <f>SUM(C10:C12)</f>
        <v>16861</v>
      </c>
      <c r="D13" s="3"/>
      <c r="E13" s="3">
        <f>SUM(E10:E12)</f>
        <v>18692</v>
      </c>
      <c r="F13" s="3"/>
      <c r="G13" s="3">
        <f>SUM(G10:G12)</f>
        <v>19963</v>
      </c>
      <c r="H13" s="3">
        <f>SUM(H10:H12)</f>
        <v>21268</v>
      </c>
      <c r="I13" s="3">
        <f>SUM(I10:I12)</f>
        <v>19625</v>
      </c>
      <c r="K13" s="3">
        <f>SUM(K10:K12)</f>
        <v>17378</v>
      </c>
      <c r="L13" s="3">
        <f>SUM(L10:L12)</f>
        <v>19878</v>
      </c>
      <c r="M13" s="3">
        <f>SUM(M10:M12)</f>
        <v>20016</v>
      </c>
      <c r="N13" s="3"/>
      <c r="O13" s="3"/>
      <c r="P13" s="3"/>
      <c r="Q13" s="3">
        <f t="shared" ref="Q13:W13" si="120">SUM(Q10:Q12)</f>
        <v>18515</v>
      </c>
      <c r="R13" s="3">
        <f t="shared" si="120"/>
        <v>20821</v>
      </c>
      <c r="S13" s="3">
        <f t="shared" si="120"/>
        <v>27236</v>
      </c>
      <c r="T13" s="3">
        <f t="shared" si="120"/>
        <v>47232</v>
      </c>
      <c r="U13" s="3">
        <f t="shared" si="120"/>
        <v>71462</v>
      </c>
      <c r="V13" s="3">
        <f t="shared" si="120"/>
        <v>82419</v>
      </c>
      <c r="W13" s="3">
        <f t="shared" si="120"/>
        <v>101755.76669999999</v>
      </c>
      <c r="X13" s="3">
        <f t="shared" ref="X13:AB13" si="121">SUM(X10:X12)</f>
        <v>121823.93345016998</v>
      </c>
      <c r="Y13" s="3">
        <f t="shared" si="121"/>
        <v>139935.51362811611</v>
      </c>
      <c r="Z13" s="3">
        <f t="shared" si="121"/>
        <v>153823.71856954679</v>
      </c>
      <c r="AA13" s="3">
        <f t="shared" si="121"/>
        <v>161409.35272916587</v>
      </c>
      <c r="AB13" s="3">
        <f t="shared" si="121"/>
        <v>166134.33331104086</v>
      </c>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row>
    <row r="14" spans="1:135" x14ac:dyDescent="0.25">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row>
    <row r="15" spans="1:135" x14ac:dyDescent="0.25">
      <c r="B15" s="1" t="s">
        <v>21</v>
      </c>
      <c r="C15" s="3">
        <v>616</v>
      </c>
      <c r="D15" s="3"/>
      <c r="E15" s="3">
        <v>1117</v>
      </c>
      <c r="F15" s="3"/>
      <c r="G15" s="3">
        <v>1529</v>
      </c>
      <c r="H15" s="3">
        <v>1509</v>
      </c>
      <c r="I15" s="3">
        <v>1559</v>
      </c>
      <c r="J15" s="3"/>
      <c r="K15" s="3">
        <v>1635</v>
      </c>
      <c r="L15" s="3">
        <v>3014</v>
      </c>
      <c r="M15" s="3">
        <v>2376</v>
      </c>
      <c r="N15" s="3"/>
      <c r="O15" s="3"/>
      <c r="P15" s="3"/>
      <c r="Q15" s="3">
        <v>1555</v>
      </c>
      <c r="R15" s="3">
        <v>1531</v>
      </c>
      <c r="S15" s="3">
        <v>1994</v>
      </c>
      <c r="T15" s="3">
        <v>2789</v>
      </c>
      <c r="U15" s="3">
        <v>3909</v>
      </c>
      <c r="V15" s="3">
        <v>6035</v>
      </c>
      <c r="W15" s="3">
        <f>V15*(1+W19)</f>
        <v>10208.555443945455</v>
      </c>
      <c r="X15" s="3">
        <f t="shared" ref="X15:AB15" si="122">W15*(1+X19)</f>
        <v>18511.541224723736</v>
      </c>
      <c r="Y15" s="3">
        <f t="shared" si="122"/>
        <v>35821.934119679441</v>
      </c>
      <c r="Z15" s="3">
        <f t="shared" si="122"/>
        <v>73681.816493544102</v>
      </c>
      <c r="AA15" s="3">
        <f t="shared" si="122"/>
        <v>160528.26016975669</v>
      </c>
      <c r="AB15" s="3">
        <f t="shared" si="122"/>
        <v>369286.61525107274</v>
      </c>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row>
    <row r="16" spans="1:135" x14ac:dyDescent="0.25">
      <c r="B16" s="1" t="s">
        <v>71</v>
      </c>
      <c r="G16" s="1">
        <v>3.89</v>
      </c>
      <c r="H16" s="1">
        <f>7.54-G16</f>
        <v>3.65</v>
      </c>
      <c r="I16" s="1">
        <f>11.52-H16-G16</f>
        <v>3.9799999999999991</v>
      </c>
      <c r="J16" s="1">
        <f>14.72-SUM(G16:I16)</f>
        <v>3.2000000000000011</v>
      </c>
      <c r="K16" s="1">
        <v>4.0529999999999999</v>
      </c>
      <c r="L16" s="1">
        <v>9.4</v>
      </c>
      <c r="S16" s="1">
        <v>3.02</v>
      </c>
      <c r="T16" s="1">
        <v>3.99</v>
      </c>
      <c r="U16" s="1">
        <v>6.5</v>
      </c>
      <c r="V16" s="1">
        <v>14.72</v>
      </c>
    </row>
    <row r="17" spans="2:61" s="6" customFormat="1" x14ac:dyDescent="0.25">
      <c r="B17" s="6" t="s">
        <v>87</v>
      </c>
      <c r="C17" s="6" t="e">
        <f>C15/C16</f>
        <v>#DIV/0!</v>
      </c>
      <c r="E17" s="6" t="e">
        <f>E15/E16</f>
        <v>#DIV/0!</v>
      </c>
      <c r="G17" s="6">
        <f>G15/G16</f>
        <v>393.05912596401026</v>
      </c>
      <c r="H17" s="6">
        <f>H15/H16</f>
        <v>413.42465753424659</v>
      </c>
      <c r="I17" s="6">
        <f>I15/I16</f>
        <v>391.70854271356791</v>
      </c>
      <c r="K17" s="6">
        <f>K15/K16</f>
        <v>403.40488527017027</v>
      </c>
      <c r="L17" s="6">
        <f>L15/L16</f>
        <v>320.63829787234039</v>
      </c>
    </row>
    <row r="18" spans="2:61" x14ac:dyDescent="0.25">
      <c r="B18" s="1" t="s">
        <v>72</v>
      </c>
      <c r="G18" s="1">
        <v>67</v>
      </c>
      <c r="H18" s="1">
        <f>133-G18</f>
        <v>66</v>
      </c>
      <c r="I18" s="1">
        <f>182-H18-G18</f>
        <v>49</v>
      </c>
      <c r="J18" s="1">
        <f>223-SUM(G18:I18)</f>
        <v>41</v>
      </c>
      <c r="S18" s="1">
        <v>205</v>
      </c>
      <c r="T18" s="1">
        <v>345</v>
      </c>
      <c r="U18" s="1">
        <v>348</v>
      </c>
      <c r="V18" s="1">
        <v>223</v>
      </c>
    </row>
    <row r="19" spans="2:61" s="4" customFormat="1" x14ac:dyDescent="0.25">
      <c r="B19" s="4" t="s">
        <v>68</v>
      </c>
      <c r="H19" s="4" t="e">
        <f>H15/D15-1</f>
        <v>#DIV/0!</v>
      </c>
      <c r="I19" s="4">
        <f>I15/E15-1</f>
        <v>0.39570277529095788</v>
      </c>
      <c r="K19" s="4">
        <f>K15/G15-1</f>
        <v>6.9326357096141322E-2</v>
      </c>
      <c r="L19" s="4">
        <f>L15/H15-1</f>
        <v>0.99734923790589791</v>
      </c>
      <c r="R19" s="4">
        <f>R15/Q15-1</f>
        <v>-1.5434083601286175E-2</v>
      </c>
      <c r="S19" s="4">
        <f>S15/R15-1</f>
        <v>0.30241672109732209</v>
      </c>
      <c r="T19" s="4">
        <f>T15/S15-1</f>
        <v>0.3986960882647943</v>
      </c>
      <c r="U19" s="4">
        <f>U15/T15-1</f>
        <v>0.40157762638938688</v>
      </c>
      <c r="V19" s="4">
        <f>V15/U15-1</f>
        <v>0.54387311332821686</v>
      </c>
      <c r="W19" s="4">
        <f>FORECAST(W2,R19:V19,R2:V2)</f>
        <v>0.6915584828410033</v>
      </c>
      <c r="X19" s="4">
        <f>FORECAST(X2,R19:W19,R2:W2)</f>
        <v>0.81333601275611045</v>
      </c>
      <c r="Y19" s="4">
        <f>FORECAST(Y2,R19:X19,R2:X2)</f>
        <v>0.9351135426712176</v>
      </c>
      <c r="Z19" s="4">
        <f>FORECAST(Z2,R19:Y19,R2:Y2)</f>
        <v>1.0568910725863248</v>
      </c>
      <c r="AA19" s="4">
        <f>FORECAST(AA2,R19:Z19,R2:Z2)</f>
        <v>1.1786686025014319</v>
      </c>
      <c r="AB19" s="4">
        <f>FORECAST(AB2,R19:AA19,R2:AA2)</f>
        <v>1.3004461324165391</v>
      </c>
    </row>
    <row r="20" spans="2:61" x14ac:dyDescent="0.25">
      <c r="B20" s="1" t="s">
        <v>22</v>
      </c>
      <c r="C20" s="3">
        <v>1279</v>
      </c>
      <c r="D20" s="3"/>
      <c r="E20" s="3">
        <v>1645</v>
      </c>
      <c r="F20" s="3"/>
      <c r="G20" s="3">
        <v>1837</v>
      </c>
      <c r="H20" s="3">
        <v>2150</v>
      </c>
      <c r="I20" s="3">
        <v>2166</v>
      </c>
      <c r="J20" s="3"/>
      <c r="K20" s="3">
        <v>2288</v>
      </c>
      <c r="L20" s="3">
        <v>2608</v>
      </c>
      <c r="M20" s="3">
        <v>2790</v>
      </c>
      <c r="N20" s="3"/>
      <c r="O20" s="3"/>
      <c r="P20" s="3"/>
      <c r="Q20" s="3">
        <v>1391</v>
      </c>
      <c r="R20" s="3">
        <v>2226</v>
      </c>
      <c r="S20" s="3">
        <v>2306</v>
      </c>
      <c r="T20" s="3">
        <v>3802</v>
      </c>
      <c r="U20" s="3">
        <v>6091</v>
      </c>
      <c r="V20" s="3">
        <v>8319</v>
      </c>
      <c r="W20" s="3">
        <f>V20*(1+W21)</f>
        <v>11064.27</v>
      </c>
      <c r="X20" s="3">
        <f t="shared" ref="X20:AB20" si="123">W20*(1+X21)</f>
        <v>14051.6229</v>
      </c>
      <c r="Y20" s="3">
        <f t="shared" si="123"/>
        <v>17002.463709</v>
      </c>
      <c r="Z20" s="3">
        <f t="shared" si="123"/>
        <v>19552.833265349997</v>
      </c>
      <c r="AA20" s="3">
        <f t="shared" si="123"/>
        <v>21117.059926577997</v>
      </c>
      <c r="AB20" s="3">
        <f t="shared" si="123"/>
        <v>21328.230525843777</v>
      </c>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row>
    <row r="21" spans="2:61" s="4" customFormat="1" x14ac:dyDescent="0.25">
      <c r="B21" s="4" t="s">
        <v>67</v>
      </c>
      <c r="C21" s="4" t="e">
        <f>C20/#REF!-1</f>
        <v>#REF!</v>
      </c>
      <c r="E21" s="4" t="e">
        <f>E20/A20-1</f>
        <v>#DIV/0!</v>
      </c>
      <c r="G21" s="4">
        <f>G20/C20-1</f>
        <v>0.43627834245504293</v>
      </c>
      <c r="H21" s="4" t="e">
        <f>H20/D20-1</f>
        <v>#DIV/0!</v>
      </c>
      <c r="I21" s="4">
        <f>I20/E20-1</f>
        <v>0.31671732522796359</v>
      </c>
      <c r="K21" s="4">
        <f>K20/G20-1</f>
        <v>0.24550898203592819</v>
      </c>
      <c r="L21" s="4">
        <f>L20/H20-1</f>
        <v>0.21302325581395354</v>
      </c>
      <c r="R21" s="4">
        <f>R20/Q20-1</f>
        <v>0.60028756290438534</v>
      </c>
      <c r="S21" s="4">
        <f>S20/R20-1</f>
        <v>3.5938903863432126E-2</v>
      </c>
      <c r="T21" s="4">
        <f>T20/S20-1</f>
        <v>0.64874241110147435</v>
      </c>
      <c r="U21" s="4">
        <f>U20/T20-1</f>
        <v>0.60205155181483438</v>
      </c>
      <c r="V21" s="4">
        <f>V20/U20-1</f>
        <v>0.36578558528977179</v>
      </c>
      <c r="W21" s="4">
        <v>0.33</v>
      </c>
      <c r="X21" s="4">
        <v>0.27</v>
      </c>
      <c r="Y21" s="4">
        <v>0.21</v>
      </c>
      <c r="Z21" s="4">
        <v>0.15</v>
      </c>
      <c r="AA21" s="4">
        <v>0.08</v>
      </c>
      <c r="AB21" s="4">
        <v>0.01</v>
      </c>
    </row>
    <row r="22" spans="2:61" s="5" customFormat="1" x14ac:dyDescent="0.25">
      <c r="B22" s="5" t="s">
        <v>23</v>
      </c>
      <c r="C22" s="2">
        <f>C20+C15+C13</f>
        <v>18756</v>
      </c>
      <c r="D22" s="2"/>
      <c r="E22" s="2">
        <f>E20+E15+E13</f>
        <v>21454</v>
      </c>
      <c r="F22" s="2"/>
      <c r="G22" s="2">
        <f>G20+G15+G13</f>
        <v>23329</v>
      </c>
      <c r="H22" s="2">
        <f>H20+H15+H13</f>
        <v>24927</v>
      </c>
      <c r="I22" s="2">
        <f>I20+I15+I13</f>
        <v>23350</v>
      </c>
      <c r="J22" s="2"/>
      <c r="K22" s="2">
        <f>K20+K15+K13</f>
        <v>21301</v>
      </c>
      <c r="L22" s="2">
        <f>L20+L15+L13</f>
        <v>25500</v>
      </c>
      <c r="M22" s="2">
        <f>M20+M15+M13</f>
        <v>25182</v>
      </c>
      <c r="N22" s="2"/>
      <c r="O22" s="2"/>
      <c r="P22" s="2"/>
      <c r="Q22" s="2">
        <f t="shared" ref="Q22:AB22" si="124">SUM(Q13:Q20)</f>
        <v>21461</v>
      </c>
      <c r="R22" s="2">
        <f t="shared" si="124"/>
        <v>24577.984565916398</v>
      </c>
      <c r="S22" s="2">
        <f t="shared" si="124"/>
        <v>31744.322416721097</v>
      </c>
      <c r="T22" s="2">
        <f t="shared" si="124"/>
        <v>54172.388696088259</v>
      </c>
      <c r="U22" s="2">
        <f t="shared" si="124"/>
        <v>81816.901577626384</v>
      </c>
      <c r="V22" s="2">
        <f t="shared" si="124"/>
        <v>97011.263873113334</v>
      </c>
      <c r="W22" s="2">
        <f t="shared" si="124"/>
        <v>123029.28370242829</v>
      </c>
      <c r="X22" s="2">
        <f t="shared" si="124"/>
        <v>154387.91091090647</v>
      </c>
      <c r="Y22" s="2">
        <f t="shared" si="124"/>
        <v>192760.84657033824</v>
      </c>
      <c r="Z22" s="2">
        <f t="shared" si="124"/>
        <v>247059.4252195135</v>
      </c>
      <c r="AA22" s="2">
        <f t="shared" si="124"/>
        <v>343055.85149410303</v>
      </c>
      <c r="AB22" s="2">
        <f t="shared" si="124"/>
        <v>556750.4795340898</v>
      </c>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row>
    <row r="23" spans="2:61" x14ac:dyDescent="0.25">
      <c r="B23" s="1" t="s">
        <v>24</v>
      </c>
      <c r="C23" s="3">
        <v>15422</v>
      </c>
      <c r="D23" s="3"/>
      <c r="E23" s="3">
        <v>13099</v>
      </c>
      <c r="F23" s="3"/>
      <c r="G23" s="3">
        <v>15422</v>
      </c>
      <c r="H23" s="3">
        <v>16841</v>
      </c>
      <c r="I23" s="3">
        <v>15656</v>
      </c>
      <c r="J23" s="3"/>
      <c r="K23" s="3">
        <v>13897</v>
      </c>
      <c r="L23" s="3">
        <v>15962</v>
      </c>
      <c r="M23" s="3">
        <v>15743</v>
      </c>
      <c r="N23" s="3"/>
      <c r="O23" s="3"/>
      <c r="P23" s="3"/>
      <c r="Q23" s="3">
        <v>13686</v>
      </c>
      <c r="R23" s="3">
        <v>15939</v>
      </c>
      <c r="S23" s="3">
        <v>19696</v>
      </c>
      <c r="T23" s="3">
        <v>32415</v>
      </c>
      <c r="U23" s="3">
        <v>49599</v>
      </c>
      <c r="V23" s="3">
        <v>65121</v>
      </c>
      <c r="W23" s="3">
        <f t="shared" ref="W23:AB23" si="125">W8*W3/1000000</f>
        <v>80951.647927700003</v>
      </c>
      <c r="X23" s="3">
        <f t="shared" si="125"/>
        <v>94713.428075409</v>
      </c>
      <c r="Y23" s="3">
        <f t="shared" si="125"/>
        <v>106079.03944445809</v>
      </c>
      <c r="Z23" s="3">
        <f t="shared" si="125"/>
        <v>113504.57220557016</v>
      </c>
      <c r="AA23" s="3">
        <f t="shared" si="125"/>
        <v>115774.66364968158</v>
      </c>
      <c r="AB23" s="3">
        <f t="shared" si="125"/>
        <v>115774.66364968158</v>
      </c>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row>
    <row r="24" spans="2:61" x14ac:dyDescent="0.25">
      <c r="B24" s="1" t="s">
        <v>25</v>
      </c>
      <c r="C24" s="3">
        <v>333</v>
      </c>
      <c r="D24" s="3"/>
      <c r="E24" s="3">
        <v>381</v>
      </c>
      <c r="F24" s="3"/>
      <c r="G24" s="3">
        <v>333</v>
      </c>
      <c r="H24" s="3">
        <v>338</v>
      </c>
      <c r="I24" s="3">
        <v>301</v>
      </c>
      <c r="J24" s="3"/>
      <c r="K24" s="3">
        <v>269</v>
      </c>
      <c r="L24" s="3">
        <v>245</v>
      </c>
      <c r="M24" s="3">
        <v>247</v>
      </c>
      <c r="N24" s="3"/>
      <c r="O24" s="3"/>
      <c r="P24" s="3"/>
      <c r="Q24" s="3">
        <v>488</v>
      </c>
      <c r="R24" s="3">
        <v>459</v>
      </c>
      <c r="S24" s="3">
        <v>563</v>
      </c>
      <c r="T24" s="3">
        <v>978</v>
      </c>
      <c r="U24" s="3">
        <v>1509</v>
      </c>
      <c r="V24" s="3">
        <v>1268</v>
      </c>
      <c r="W24" s="3">
        <v>1268</v>
      </c>
      <c r="X24" s="3">
        <v>1268</v>
      </c>
      <c r="Y24" s="3">
        <v>1268</v>
      </c>
      <c r="Z24" s="3">
        <v>1268</v>
      </c>
      <c r="AA24" s="3">
        <v>1268</v>
      </c>
      <c r="AB24" s="3">
        <v>1268</v>
      </c>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row>
    <row r="25" spans="2:61" x14ac:dyDescent="0.25">
      <c r="B25" s="1" t="s">
        <v>26</v>
      </c>
      <c r="C25" s="3">
        <f>SUM(C23:C24)</f>
        <v>15755</v>
      </c>
      <c r="D25" s="3"/>
      <c r="E25" s="3">
        <f>SUM(E23:E24)</f>
        <v>13480</v>
      </c>
      <c r="F25" s="3"/>
      <c r="G25" s="3">
        <f>SUM(G23:G24)</f>
        <v>15755</v>
      </c>
      <c r="H25" s="3">
        <f>SUM(H23:H24)</f>
        <v>17179</v>
      </c>
      <c r="I25" s="3">
        <f>SUM(I23:I24)</f>
        <v>15957</v>
      </c>
      <c r="J25" s="3"/>
      <c r="K25" s="3">
        <f>SUM(K23:K24)</f>
        <v>14166</v>
      </c>
      <c r="L25" s="3">
        <f>SUM(L23:L24)</f>
        <v>16207</v>
      </c>
      <c r="M25" s="3">
        <f>SUM(M23:M24)</f>
        <v>15990</v>
      </c>
      <c r="N25" s="3"/>
      <c r="O25" s="3"/>
      <c r="P25" s="3"/>
      <c r="Q25" s="3">
        <f t="shared" ref="Q25:X25" si="126">SUM(Q23:Q24)</f>
        <v>14174</v>
      </c>
      <c r="R25" s="3">
        <f t="shared" si="126"/>
        <v>16398</v>
      </c>
      <c r="S25" s="3">
        <f t="shared" si="126"/>
        <v>20259</v>
      </c>
      <c r="T25" s="3">
        <f t="shared" si="126"/>
        <v>33393</v>
      </c>
      <c r="U25" s="3">
        <f t="shared" si="126"/>
        <v>51108</v>
      </c>
      <c r="V25" s="3">
        <f t="shared" si="126"/>
        <v>66389</v>
      </c>
      <c r="W25" s="3">
        <f t="shared" si="126"/>
        <v>82219.647927700003</v>
      </c>
      <c r="X25" s="3">
        <f t="shared" si="126"/>
        <v>95981.428075409</v>
      </c>
      <c r="Y25" s="3">
        <f t="shared" ref="Y25:AB25" si="127">SUM(Y23:Y24)</f>
        <v>107347.03944445809</v>
      </c>
      <c r="Z25" s="3">
        <f t="shared" si="127"/>
        <v>114772.57220557016</v>
      </c>
      <c r="AA25" s="3">
        <f t="shared" si="127"/>
        <v>117042.66364968158</v>
      </c>
      <c r="AB25" s="3">
        <f t="shared" si="127"/>
        <v>117042.66364968158</v>
      </c>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row>
    <row r="26" spans="2:61" x14ac:dyDescent="0.25">
      <c r="B26" s="1" t="s">
        <v>27</v>
      </c>
      <c r="C26" s="3">
        <v>1361</v>
      </c>
      <c r="D26" s="3"/>
      <c r="E26" s="3">
        <v>1013</v>
      </c>
      <c r="F26" s="3"/>
      <c r="G26" s="3">
        <v>1361</v>
      </c>
      <c r="H26" s="3">
        <v>1231</v>
      </c>
      <c r="I26" s="3">
        <v>1178</v>
      </c>
      <c r="J26" s="3"/>
      <c r="K26" s="3">
        <v>1232</v>
      </c>
      <c r="L26" s="3">
        <v>2274</v>
      </c>
      <c r="M26" s="3">
        <v>1651</v>
      </c>
      <c r="N26" s="3"/>
      <c r="O26" s="3"/>
      <c r="P26" s="3"/>
      <c r="Q26" s="3">
        <v>1365</v>
      </c>
      <c r="R26" s="3">
        <v>1341</v>
      </c>
      <c r="S26" s="3">
        <v>1976</v>
      </c>
      <c r="T26" s="3">
        <v>2918</v>
      </c>
      <c r="U26" s="3">
        <v>3621</v>
      </c>
      <c r="V26" s="3">
        <v>4894</v>
      </c>
      <c r="W26" s="3">
        <f>V26*(1+W19)</f>
        <v>8278.4872150238698</v>
      </c>
      <c r="X26" s="3">
        <f t="shared" ref="X26:AB26" si="128">W26*(1+X19)</f>
        <v>15011.678998143821</v>
      </c>
      <c r="Y26" s="3">
        <f t="shared" si="128"/>
        <v>29049.303327541205</v>
      </c>
      <c r="Z26" s="3">
        <f t="shared" si="128"/>
        <v>59751.252679271725</v>
      </c>
      <c r="AA26" s="3">
        <f t="shared" si="128"/>
        <v>130178.17817245887</v>
      </c>
      <c r="AB26" s="3">
        <f t="shared" si="128"/>
        <v>299467.88650186412</v>
      </c>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row>
    <row r="27" spans="2:61" x14ac:dyDescent="0.25">
      <c r="B27" s="1" t="s">
        <v>28</v>
      </c>
      <c r="C27" s="3">
        <v>1702</v>
      </c>
      <c r="D27" s="3"/>
      <c r="E27" s="3">
        <v>1579</v>
      </c>
      <c r="F27" s="3"/>
      <c r="G27" s="3">
        <v>1702</v>
      </c>
      <c r="H27" s="3">
        <v>1984</v>
      </c>
      <c r="I27" s="3">
        <v>2037</v>
      </c>
      <c r="J27" s="3"/>
      <c r="K27" s="3">
        <v>2207</v>
      </c>
      <c r="L27" s="3">
        <v>2441</v>
      </c>
      <c r="M27" s="3">
        <v>2544</v>
      </c>
      <c r="N27" s="3"/>
      <c r="O27" s="3"/>
      <c r="P27" s="3"/>
      <c r="Q27" s="3">
        <v>1880</v>
      </c>
      <c r="R27" s="3">
        <v>2770</v>
      </c>
      <c r="S27" s="3">
        <v>2671</v>
      </c>
      <c r="T27" s="3">
        <v>3906</v>
      </c>
      <c r="U27" s="3">
        <v>5880</v>
      </c>
      <c r="V27" s="3">
        <v>7830</v>
      </c>
      <c r="W27" s="3">
        <f>V27*(1+W21)</f>
        <v>10413.900000000001</v>
      </c>
      <c r="X27" s="3">
        <f t="shared" ref="X27:AB27" si="129">W27*(1+X21)</f>
        <v>13225.653000000002</v>
      </c>
      <c r="Y27" s="3">
        <f t="shared" si="129"/>
        <v>16003.040130000001</v>
      </c>
      <c r="Z27" s="3">
        <f t="shared" si="129"/>
        <v>18403.496149499999</v>
      </c>
      <c r="AA27" s="3">
        <f t="shared" si="129"/>
        <v>19875.775841459999</v>
      </c>
      <c r="AB27" s="3">
        <f t="shared" si="129"/>
        <v>20074.533599874598</v>
      </c>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row>
    <row r="28" spans="2:61" x14ac:dyDescent="0.25">
      <c r="B28" s="1" t="s">
        <v>29</v>
      </c>
      <c r="C28" s="3">
        <f t="shared" ref="C28" si="130">SUM(C25:C27)</f>
        <v>18818</v>
      </c>
      <c r="D28" s="3"/>
      <c r="E28" s="3">
        <f t="shared" ref="E28" si="131">SUM(E25:E27)</f>
        <v>16072</v>
      </c>
      <c r="F28" s="3"/>
      <c r="G28" s="3">
        <f t="shared" ref="G28:I28" si="132">SUM(G25:G27)</f>
        <v>18818</v>
      </c>
      <c r="H28" s="3">
        <f t="shared" ref="H28" si="133">SUM(H25:H27)</f>
        <v>20394</v>
      </c>
      <c r="I28" s="3">
        <f t="shared" si="132"/>
        <v>19172</v>
      </c>
      <c r="J28" s="3"/>
      <c r="K28" s="3">
        <f t="shared" ref="K28:M28" si="134">SUM(K25:K27)</f>
        <v>17605</v>
      </c>
      <c r="L28" s="3">
        <f t="shared" si="134"/>
        <v>20922</v>
      </c>
      <c r="M28" s="3">
        <f t="shared" si="134"/>
        <v>20185</v>
      </c>
      <c r="N28" s="3"/>
      <c r="O28" s="3"/>
      <c r="P28" s="3"/>
      <c r="Q28" s="3">
        <f t="shared" ref="Q28:X28" si="135">SUM(Q25:Q27)</f>
        <v>17419</v>
      </c>
      <c r="R28" s="3">
        <f t="shared" si="135"/>
        <v>20509</v>
      </c>
      <c r="S28" s="3">
        <f t="shared" si="135"/>
        <v>24906</v>
      </c>
      <c r="T28" s="3">
        <f t="shared" si="135"/>
        <v>40217</v>
      </c>
      <c r="U28" s="3">
        <f t="shared" si="135"/>
        <v>60609</v>
      </c>
      <c r="V28" s="3">
        <f t="shared" si="135"/>
        <v>79113</v>
      </c>
      <c r="W28" s="3">
        <f t="shared" si="135"/>
        <v>100912.03514272388</v>
      </c>
      <c r="X28" s="3">
        <f t="shared" si="135"/>
        <v>124218.76007355282</v>
      </c>
      <c r="Y28" s="3">
        <f t="shared" ref="Y28:AB28" si="136">SUM(Y25:Y27)</f>
        <v>152399.38290199931</v>
      </c>
      <c r="Z28" s="3">
        <f t="shared" si="136"/>
        <v>192927.32103434188</v>
      </c>
      <c r="AA28" s="3">
        <f t="shared" si="136"/>
        <v>267096.61766360042</v>
      </c>
      <c r="AB28" s="3">
        <f t="shared" si="136"/>
        <v>436585.08375142026</v>
      </c>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row>
    <row r="29" spans="2:61" x14ac:dyDescent="0.25">
      <c r="B29" s="1" t="s">
        <v>30</v>
      </c>
      <c r="C29" s="3">
        <f t="shared" ref="C29" si="137">C22-C28</f>
        <v>-62</v>
      </c>
      <c r="D29" s="3"/>
      <c r="E29" s="3">
        <f t="shared" ref="E29" si="138">E22-E28</f>
        <v>5382</v>
      </c>
      <c r="F29" s="3"/>
      <c r="G29" s="3">
        <f t="shared" ref="G29:I29" si="139">G22-G28</f>
        <v>4511</v>
      </c>
      <c r="H29" s="3">
        <f t="shared" ref="H29" si="140">H22-H28</f>
        <v>4533</v>
      </c>
      <c r="I29" s="3">
        <f t="shared" si="139"/>
        <v>4178</v>
      </c>
      <c r="J29" s="3"/>
      <c r="K29" s="3">
        <f t="shared" ref="K29:M29" si="141">K22-K28</f>
        <v>3696</v>
      </c>
      <c r="L29" s="3">
        <f t="shared" si="141"/>
        <v>4578</v>
      </c>
      <c r="M29" s="3">
        <f t="shared" si="141"/>
        <v>4997</v>
      </c>
      <c r="N29" s="3"/>
      <c r="O29" s="3"/>
      <c r="P29" s="3"/>
      <c r="Q29" s="3">
        <f t="shared" ref="Q29:W29" si="142">Q22-Q28</f>
        <v>4042</v>
      </c>
      <c r="R29" s="3">
        <f t="shared" si="142"/>
        <v>4068.9845659163984</v>
      </c>
      <c r="S29" s="3">
        <f t="shared" si="142"/>
        <v>6838.3224167210974</v>
      </c>
      <c r="T29" s="3">
        <f t="shared" si="142"/>
        <v>13955.388696088259</v>
      </c>
      <c r="U29" s="3">
        <f t="shared" si="142"/>
        <v>21207.901577626384</v>
      </c>
      <c r="V29" s="3">
        <f t="shared" si="142"/>
        <v>17898.263873113334</v>
      </c>
      <c r="W29" s="3">
        <f t="shared" si="142"/>
        <v>22117.248559704414</v>
      </c>
      <c r="X29" s="3">
        <f t="shared" ref="X29:AB29" si="143">X22-X28</f>
        <v>30169.150837353649</v>
      </c>
      <c r="Y29" s="3">
        <f t="shared" si="143"/>
        <v>40361.463668338925</v>
      </c>
      <c r="Z29" s="3">
        <f t="shared" si="143"/>
        <v>54132.104185171629</v>
      </c>
      <c r="AA29" s="3">
        <f t="shared" si="143"/>
        <v>75959.233830502606</v>
      </c>
      <c r="AB29" s="3">
        <f t="shared" si="143"/>
        <v>120165.39578266954</v>
      </c>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row>
    <row r="30" spans="2:61" x14ac:dyDescent="0.25">
      <c r="B30" s="1" t="s">
        <v>31</v>
      </c>
      <c r="C30" s="3">
        <v>771</v>
      </c>
      <c r="D30" s="3"/>
      <c r="E30" s="3">
        <v>733</v>
      </c>
      <c r="F30" s="3"/>
      <c r="G30" s="3">
        <v>771</v>
      </c>
      <c r="H30" s="3">
        <v>943</v>
      </c>
      <c r="I30" s="3">
        <v>1161</v>
      </c>
      <c r="J30" s="3"/>
      <c r="K30" s="3">
        <v>1151</v>
      </c>
      <c r="L30" s="3">
        <v>1074</v>
      </c>
      <c r="M30" s="3">
        <v>1039</v>
      </c>
      <c r="N30" s="3"/>
      <c r="O30" s="3"/>
      <c r="P30" s="3"/>
      <c r="Q30" s="3">
        <v>1460</v>
      </c>
      <c r="R30" s="3">
        <v>1343</v>
      </c>
      <c r="S30" s="3">
        <v>1491</v>
      </c>
      <c r="T30" s="3">
        <v>2593</v>
      </c>
      <c r="U30" s="3">
        <v>3075</v>
      </c>
      <c r="V30" s="3">
        <v>3969</v>
      </c>
      <c r="W30" s="3">
        <f>FORECAST(W2,T30:V30,T2:V2)</f>
        <v>4588.3333333332557</v>
      </c>
      <c r="X30" s="3">
        <f t="shared" ref="X30:AB30" si="144">FORECAST(X2,U30:W30,U2:W2)</f>
        <v>5390.7777777775191</v>
      </c>
      <c r="Y30" s="3">
        <f t="shared" si="144"/>
        <v>6071.148148147855</v>
      </c>
      <c r="Z30" s="3">
        <f t="shared" si="144"/>
        <v>6832.901234567631</v>
      </c>
      <c r="AA30" s="3">
        <f t="shared" si="144"/>
        <v>7540.3991769545246</v>
      </c>
      <c r="AB30" s="3">
        <f t="shared" si="144"/>
        <v>8284.0672153634951</v>
      </c>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row>
    <row r="31" spans="2:61" x14ac:dyDescent="0.25">
      <c r="B31" s="14" t="s">
        <v>96</v>
      </c>
      <c r="C31" s="3">
        <v>1076</v>
      </c>
      <c r="D31" s="3"/>
      <c r="E31" s="3">
        <v>961</v>
      </c>
      <c r="F31" s="3"/>
      <c r="G31" s="3">
        <v>1076</v>
      </c>
      <c r="H31" s="3">
        <v>1191</v>
      </c>
      <c r="I31" s="3">
        <v>1253</v>
      </c>
      <c r="J31" s="3"/>
      <c r="K31" s="3">
        <v>1374</v>
      </c>
      <c r="L31" s="3">
        <v>1277</v>
      </c>
      <c r="M31" s="3">
        <v>1186</v>
      </c>
      <c r="N31" s="3"/>
      <c r="O31" s="3"/>
      <c r="P31" s="3"/>
      <c r="Q31" s="3">
        <v>2835</v>
      </c>
      <c r="R31" s="3">
        <v>2646</v>
      </c>
      <c r="S31" s="3">
        <v>3145</v>
      </c>
      <c r="T31" s="3">
        <v>4517</v>
      </c>
      <c r="U31" s="3">
        <v>3946</v>
      </c>
      <c r="V31" s="3">
        <v>4800</v>
      </c>
      <c r="W31" s="3">
        <f>FORECAST(W3,T31:V31,T3:V3)</f>
        <v>4702.0304421134451</v>
      </c>
      <c r="X31" s="3">
        <f t="shared" ref="X31" si="145">FORECAST(X3,U31:W31,U3:W3)</f>
        <v>5207.5150517987549</v>
      </c>
      <c r="Y31" s="3">
        <f t="shared" ref="Y31" si="146">FORECAST(Y3,V31:X31,V3:X3)</f>
        <v>5270.8756561040409</v>
      </c>
      <c r="Z31" s="3">
        <f t="shared" ref="Z31" si="147">FORECAST(Z3,W31:Y31,W3:Y3)</f>
        <v>5513.2078995966131</v>
      </c>
      <c r="AA31" s="3">
        <f t="shared" ref="AA31" si="148">FORECAST(AA3,X31:Z31,X3:Z3)</f>
        <v>5499.8169194292386</v>
      </c>
      <c r="AB31" s="3">
        <f t="shared" ref="AB31" si="149">FORECAST(AB3,Y31:AA31,Y3:AA3)</f>
        <v>5531.0765463503412</v>
      </c>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row>
    <row r="32" spans="2:61" x14ac:dyDescent="0.25">
      <c r="B32" s="1" t="s">
        <v>32</v>
      </c>
      <c r="C32" s="3" t="s">
        <v>45</v>
      </c>
      <c r="D32" s="3"/>
      <c r="E32" s="3" t="s">
        <v>45</v>
      </c>
      <c r="F32" s="3"/>
      <c r="G32" s="3" t="s">
        <v>45</v>
      </c>
      <c r="H32" s="3" t="s">
        <v>45</v>
      </c>
      <c r="I32" s="3" t="s">
        <v>45</v>
      </c>
      <c r="J32" s="3"/>
      <c r="K32" s="3" t="s">
        <v>45</v>
      </c>
      <c r="L32" s="3">
        <v>622</v>
      </c>
      <c r="M32" s="3">
        <v>55</v>
      </c>
      <c r="N32" s="3"/>
      <c r="O32" s="3"/>
      <c r="P32" s="3"/>
      <c r="Q32" s="3">
        <v>135</v>
      </c>
      <c r="R32" s="3">
        <v>149</v>
      </c>
      <c r="S32" s="3" t="s">
        <v>45</v>
      </c>
      <c r="T32" s="3">
        <v>-27</v>
      </c>
      <c r="U32" s="3">
        <v>176</v>
      </c>
      <c r="V32" s="3" t="s">
        <v>45</v>
      </c>
      <c r="W32" s="3" t="s">
        <v>45</v>
      </c>
      <c r="X32" s="3" t="s">
        <v>45</v>
      </c>
      <c r="Y32" s="3" t="s">
        <v>45</v>
      </c>
      <c r="Z32" s="3" t="s">
        <v>45</v>
      </c>
      <c r="AA32" s="3" t="s">
        <v>45</v>
      </c>
      <c r="AB32" s="3" t="s">
        <v>45</v>
      </c>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row>
    <row r="33" spans="2:157" x14ac:dyDescent="0.25">
      <c r="B33" s="1" t="s">
        <v>33</v>
      </c>
      <c r="C33" s="3">
        <f>SUM(C30:C32)</f>
        <v>1847</v>
      </c>
      <c r="D33" s="3"/>
      <c r="E33" s="3">
        <f>SUM(E30:E32)</f>
        <v>1694</v>
      </c>
      <c r="F33" s="3"/>
      <c r="G33" s="3">
        <f>SUM(G30:G32)</f>
        <v>1847</v>
      </c>
      <c r="H33" s="3">
        <f>SUM(H30:H32)</f>
        <v>2134</v>
      </c>
      <c r="I33" s="3">
        <f>SUM(I30:I32)</f>
        <v>2414</v>
      </c>
      <c r="J33" s="3"/>
      <c r="K33" s="3">
        <f>SUM(K30:K32)</f>
        <v>2525</v>
      </c>
      <c r="L33" s="3">
        <f>SUM(L30:L32)</f>
        <v>2973</v>
      </c>
      <c r="M33" s="3">
        <f>SUM(M30:M32)</f>
        <v>2280</v>
      </c>
      <c r="N33" s="3"/>
      <c r="O33" s="3"/>
      <c r="P33" s="3"/>
      <c r="Q33" s="3">
        <f t="shared" ref="Q33:W33" si="150">SUM(Q30:Q32)</f>
        <v>4430</v>
      </c>
      <c r="R33" s="3">
        <f t="shared" si="150"/>
        <v>4138</v>
      </c>
      <c r="S33" s="3">
        <f t="shared" si="150"/>
        <v>4636</v>
      </c>
      <c r="T33" s="3">
        <f t="shared" si="150"/>
        <v>7083</v>
      </c>
      <c r="U33" s="3">
        <f t="shared" si="150"/>
        <v>7197</v>
      </c>
      <c r="V33" s="3">
        <f t="shared" si="150"/>
        <v>8769</v>
      </c>
      <c r="W33" s="3">
        <f t="shared" si="150"/>
        <v>9290.3637754467018</v>
      </c>
      <c r="X33" s="3">
        <f t="shared" ref="X33:AB33" si="151">SUM(X30:X32)</f>
        <v>10598.292829576274</v>
      </c>
      <c r="Y33" s="3">
        <f t="shared" si="151"/>
        <v>11342.023804251896</v>
      </c>
      <c r="Z33" s="3">
        <f t="shared" si="151"/>
        <v>12346.109134164244</v>
      </c>
      <c r="AA33" s="3">
        <f t="shared" si="151"/>
        <v>13040.216096383763</v>
      </c>
      <c r="AB33" s="3">
        <f t="shared" si="151"/>
        <v>13815.143761713836</v>
      </c>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row>
    <row r="34" spans="2:157" x14ac:dyDescent="0.25">
      <c r="B34" s="14" t="s">
        <v>98</v>
      </c>
      <c r="C34" s="3">
        <f t="shared" ref="C34" si="152">C29-C33</f>
        <v>-1909</v>
      </c>
      <c r="D34" s="3"/>
      <c r="E34" s="3">
        <f t="shared" ref="E34" si="153">E29-E33</f>
        <v>3688</v>
      </c>
      <c r="F34" s="3"/>
      <c r="G34" s="3">
        <f t="shared" ref="G34:M34" si="154">G29-G33</f>
        <v>2664</v>
      </c>
      <c r="H34" s="3">
        <f t="shared" ref="H34" si="155">H29-H33</f>
        <v>2399</v>
      </c>
      <c r="I34" s="3">
        <f t="shared" si="154"/>
        <v>1764</v>
      </c>
      <c r="J34" s="3"/>
      <c r="K34" s="3">
        <f t="shared" si="154"/>
        <v>1171</v>
      </c>
      <c r="L34" s="3">
        <f t="shared" si="154"/>
        <v>1605</v>
      </c>
      <c r="M34" s="3">
        <f t="shared" si="154"/>
        <v>2717</v>
      </c>
      <c r="N34" s="3"/>
      <c r="O34" s="3"/>
      <c r="P34" s="3"/>
      <c r="Q34" s="3">
        <f t="shared" ref="Q34:W34" si="156">Q29-Q33</f>
        <v>-388</v>
      </c>
      <c r="R34" s="3">
        <f t="shared" si="156"/>
        <v>-69.015434083601576</v>
      </c>
      <c r="S34" s="3">
        <f t="shared" si="156"/>
        <v>2202.3224167210974</v>
      </c>
      <c r="T34" s="3">
        <f t="shared" si="156"/>
        <v>6872.3886960882592</v>
      </c>
      <c r="U34" s="3">
        <f t="shared" si="156"/>
        <v>14010.901577626384</v>
      </c>
      <c r="V34" s="3">
        <f t="shared" si="156"/>
        <v>9129.2638731133338</v>
      </c>
      <c r="W34" s="3">
        <f t="shared" si="156"/>
        <v>12826.884784257712</v>
      </c>
      <c r="X34" s="3">
        <f t="shared" ref="X34:AB34" si="157">X29-X33</f>
        <v>19570.858007777373</v>
      </c>
      <c r="Y34" s="3">
        <f t="shared" si="157"/>
        <v>29019.439864087028</v>
      </c>
      <c r="Z34" s="3">
        <f t="shared" si="157"/>
        <v>41785.995051007383</v>
      </c>
      <c r="AA34" s="3">
        <f t="shared" si="157"/>
        <v>62919.017734118839</v>
      </c>
      <c r="AB34" s="3">
        <f t="shared" si="157"/>
        <v>106350.2520209557</v>
      </c>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row>
    <row r="35" spans="2:157" x14ac:dyDescent="0.25">
      <c r="B35" s="1" t="s">
        <v>34</v>
      </c>
      <c r="C35" s="3">
        <v>213</v>
      </c>
      <c r="D35" s="3"/>
      <c r="E35" s="3">
        <v>86</v>
      </c>
      <c r="F35" s="3"/>
      <c r="G35" s="3">
        <v>213</v>
      </c>
      <c r="H35" s="3">
        <v>238</v>
      </c>
      <c r="I35" s="3">
        <v>282</v>
      </c>
      <c r="J35" s="3"/>
      <c r="K35" s="3">
        <v>350</v>
      </c>
      <c r="L35" s="3">
        <v>348</v>
      </c>
      <c r="M35" s="3">
        <v>429</v>
      </c>
      <c r="N35" s="3"/>
      <c r="O35" s="3"/>
      <c r="P35" s="3"/>
      <c r="Q35" s="3">
        <v>24</v>
      </c>
      <c r="R35" s="3">
        <v>44</v>
      </c>
      <c r="S35" s="3">
        <v>30</v>
      </c>
      <c r="T35" s="3">
        <v>56</v>
      </c>
      <c r="U35" s="3">
        <v>297</v>
      </c>
      <c r="V35" s="3">
        <v>1066</v>
      </c>
      <c r="W35" s="3">
        <v>1066</v>
      </c>
      <c r="X35" s="3">
        <v>1066</v>
      </c>
      <c r="Y35" s="3">
        <v>1066</v>
      </c>
      <c r="Z35" s="3">
        <v>1066</v>
      </c>
      <c r="AA35" s="3">
        <v>1066</v>
      </c>
      <c r="AB35" s="3">
        <v>1066</v>
      </c>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row>
    <row r="36" spans="2:157" x14ac:dyDescent="0.25">
      <c r="B36" s="1" t="s">
        <v>35</v>
      </c>
      <c r="C36" s="3">
        <v>-29</v>
      </c>
      <c r="D36" s="3"/>
      <c r="E36" s="3">
        <v>-53</v>
      </c>
      <c r="F36" s="3"/>
      <c r="G36" s="3">
        <v>-29</v>
      </c>
      <c r="H36" s="3">
        <v>-28</v>
      </c>
      <c r="I36" s="3">
        <v>-38</v>
      </c>
      <c r="J36" s="3"/>
      <c r="K36" s="3">
        <v>-76</v>
      </c>
      <c r="L36" s="3">
        <v>-86</v>
      </c>
      <c r="M36" s="3">
        <v>-92</v>
      </c>
      <c r="N36" s="3"/>
      <c r="O36" s="3"/>
      <c r="P36" s="3"/>
      <c r="Q36" s="3">
        <v>-663</v>
      </c>
      <c r="R36" s="3">
        <v>-685</v>
      </c>
      <c r="S36" s="3">
        <v>-748</v>
      </c>
      <c r="T36" s="3">
        <v>-371</v>
      </c>
      <c r="U36" s="3">
        <v>-191</v>
      </c>
      <c r="V36" s="3">
        <v>-156</v>
      </c>
      <c r="W36" s="3">
        <v>-156</v>
      </c>
      <c r="X36" s="3">
        <v>-156</v>
      </c>
      <c r="Y36" s="3">
        <v>-156</v>
      </c>
      <c r="Z36" s="3">
        <v>-156</v>
      </c>
      <c r="AA36" s="3">
        <v>-156</v>
      </c>
      <c r="AB36" s="3">
        <v>-156</v>
      </c>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row>
    <row r="37" spans="2:157" x14ac:dyDescent="0.25">
      <c r="B37" s="1" t="s">
        <v>36</v>
      </c>
      <c r="C37" s="3">
        <v>-48</v>
      </c>
      <c r="D37" s="3"/>
      <c r="E37" s="3">
        <v>-85</v>
      </c>
      <c r="F37" s="3"/>
      <c r="G37" s="3">
        <v>-48</v>
      </c>
      <c r="H37" s="3">
        <v>328</v>
      </c>
      <c r="I37" s="3">
        <v>37</v>
      </c>
      <c r="J37" s="3"/>
      <c r="K37" s="3">
        <v>108</v>
      </c>
      <c r="L37" s="3">
        <v>20</v>
      </c>
      <c r="M37" s="3">
        <v>-270</v>
      </c>
      <c r="N37" s="3"/>
      <c r="O37" s="3"/>
      <c r="P37" s="3"/>
      <c r="Q37" s="3">
        <v>22</v>
      </c>
      <c r="R37" s="3">
        <v>45</v>
      </c>
      <c r="S37" s="3">
        <v>-122</v>
      </c>
      <c r="T37" s="3">
        <v>135</v>
      </c>
      <c r="U37" s="3">
        <v>-43</v>
      </c>
      <c r="V37" s="3">
        <v>172</v>
      </c>
      <c r="W37" s="3">
        <v>172</v>
      </c>
      <c r="X37" s="3">
        <v>172</v>
      </c>
      <c r="Y37" s="3">
        <v>172</v>
      </c>
      <c r="Z37" s="3">
        <v>172</v>
      </c>
      <c r="AA37" s="3">
        <v>172</v>
      </c>
      <c r="AB37" s="3">
        <v>172</v>
      </c>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row>
    <row r="38" spans="2:157" x14ac:dyDescent="0.25">
      <c r="B38" s="1" t="s">
        <v>37</v>
      </c>
      <c r="C38" s="3">
        <f t="shared" ref="C38" si="158">SUM(C34:C37)</f>
        <v>-1773</v>
      </c>
      <c r="D38" s="3"/>
      <c r="E38" s="3">
        <f t="shared" ref="E38" si="159">SUM(E34:E37)</f>
        <v>3636</v>
      </c>
      <c r="F38" s="3"/>
      <c r="G38" s="3">
        <f t="shared" ref="G38:M38" si="160">SUM(G34:G37)</f>
        <v>2800</v>
      </c>
      <c r="H38" s="3">
        <f t="shared" ref="H38" si="161">SUM(H34:H37)</f>
        <v>2937</v>
      </c>
      <c r="I38" s="3">
        <f t="shared" si="160"/>
        <v>2045</v>
      </c>
      <c r="J38" s="3"/>
      <c r="K38" s="3">
        <f t="shared" si="160"/>
        <v>1553</v>
      </c>
      <c r="L38" s="3">
        <f t="shared" si="160"/>
        <v>1887</v>
      </c>
      <c r="M38" s="3">
        <f t="shared" si="160"/>
        <v>2784</v>
      </c>
      <c r="N38" s="3"/>
      <c r="O38" s="3"/>
      <c r="P38" s="3"/>
      <c r="Q38" s="3">
        <f t="shared" ref="Q38:W38" si="162">SUM(Q34:Q37)</f>
        <v>-1005</v>
      </c>
      <c r="R38" s="3">
        <f t="shared" si="162"/>
        <v>-665.01543408360158</v>
      </c>
      <c r="S38" s="3">
        <f t="shared" si="162"/>
        <v>1362.3224167210974</v>
      </c>
      <c r="T38" s="3">
        <f t="shared" si="162"/>
        <v>6692.3886960882592</v>
      </c>
      <c r="U38" s="3">
        <f t="shared" si="162"/>
        <v>14073.901577626384</v>
      </c>
      <c r="V38" s="3">
        <f t="shared" si="162"/>
        <v>10211.263873113334</v>
      </c>
      <c r="W38" s="3">
        <f t="shared" si="162"/>
        <v>13908.884784257712</v>
      </c>
      <c r="X38" s="3">
        <f t="shared" ref="X38:AB38" si="163">SUM(X34:X37)</f>
        <v>20652.858007777373</v>
      </c>
      <c r="Y38" s="3">
        <f t="shared" si="163"/>
        <v>30101.439864087028</v>
      </c>
      <c r="Z38" s="3">
        <f t="shared" si="163"/>
        <v>42867.995051007383</v>
      </c>
      <c r="AA38" s="3">
        <f t="shared" si="163"/>
        <v>64001.017734118839</v>
      </c>
      <c r="AB38" s="3">
        <f t="shared" si="163"/>
        <v>107432.2520209557</v>
      </c>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row>
    <row r="39" spans="2:157" x14ac:dyDescent="0.25">
      <c r="B39" s="14" t="s">
        <v>97</v>
      </c>
      <c r="C39" s="3">
        <v>261</v>
      </c>
      <c r="D39" s="3"/>
      <c r="E39" s="3">
        <v>305</v>
      </c>
      <c r="F39" s="3"/>
      <c r="G39" s="3">
        <v>261</v>
      </c>
      <c r="H39" s="3">
        <v>323</v>
      </c>
      <c r="I39" s="3">
        <v>167</v>
      </c>
      <c r="J39" s="3"/>
      <c r="K39" s="3">
        <v>409</v>
      </c>
      <c r="L39" s="3">
        <v>393</v>
      </c>
      <c r="M39" s="3">
        <v>601</v>
      </c>
      <c r="N39" s="3"/>
      <c r="O39" s="3"/>
      <c r="P39" s="3"/>
      <c r="Q39" s="3">
        <v>58</v>
      </c>
      <c r="R39" s="3">
        <v>110</v>
      </c>
      <c r="S39" s="3">
        <v>292</v>
      </c>
      <c r="T39" s="3">
        <v>699</v>
      </c>
      <c r="U39" s="3">
        <v>1132</v>
      </c>
      <c r="V39" s="3">
        <v>-5001</v>
      </c>
      <c r="W39" s="3">
        <f>W38*0.08</f>
        <v>1112.7107827406171</v>
      </c>
      <c r="X39" s="3">
        <f t="shared" ref="X39:AB39" si="164">X38*0.08</f>
        <v>1652.2286406221899</v>
      </c>
      <c r="Y39" s="3">
        <f t="shared" si="164"/>
        <v>2408.1151891269624</v>
      </c>
      <c r="Z39" s="3">
        <f t="shared" si="164"/>
        <v>3429.4396040805909</v>
      </c>
      <c r="AA39" s="3">
        <f t="shared" si="164"/>
        <v>5120.0814187295073</v>
      </c>
      <c r="AB39" s="3">
        <f t="shared" si="164"/>
        <v>8594.5801616764566</v>
      </c>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row>
    <row r="40" spans="2:157" x14ac:dyDescent="0.25">
      <c r="B40" s="1" t="s">
        <v>38</v>
      </c>
      <c r="C40" s="3">
        <f t="shared" ref="C40" si="165">C38-C39</f>
        <v>-2034</v>
      </c>
      <c r="D40" s="3"/>
      <c r="E40" s="3">
        <f t="shared" ref="E40" si="166">E38-E39</f>
        <v>3331</v>
      </c>
      <c r="F40" s="3"/>
      <c r="G40" s="3">
        <f t="shared" ref="G40:M40" si="167">G38-G39</f>
        <v>2539</v>
      </c>
      <c r="H40" s="3">
        <f t="shared" ref="H40" si="168">H38-H39</f>
        <v>2614</v>
      </c>
      <c r="I40" s="3">
        <f t="shared" si="167"/>
        <v>1878</v>
      </c>
      <c r="J40" s="3"/>
      <c r="K40" s="3">
        <f t="shared" si="167"/>
        <v>1144</v>
      </c>
      <c r="L40" s="3">
        <f t="shared" si="167"/>
        <v>1494</v>
      </c>
      <c r="M40" s="3">
        <f t="shared" si="167"/>
        <v>2183</v>
      </c>
      <c r="N40" s="3"/>
      <c r="O40" s="3"/>
      <c r="P40" s="3"/>
      <c r="Q40" s="3">
        <f t="shared" ref="Q40:W40" si="169">Q38-Q39</f>
        <v>-1063</v>
      </c>
      <c r="R40" s="3">
        <f t="shared" si="169"/>
        <v>-775.01543408360158</v>
      </c>
      <c r="S40" s="3">
        <f t="shared" si="169"/>
        <v>1070.3224167210974</v>
      </c>
      <c r="T40" s="3">
        <f t="shared" si="169"/>
        <v>5993.3886960882592</v>
      </c>
      <c r="U40" s="3">
        <f t="shared" si="169"/>
        <v>12941.901577626384</v>
      </c>
      <c r="V40" s="3">
        <f t="shared" si="169"/>
        <v>15212.263873113334</v>
      </c>
      <c r="W40" s="3">
        <f t="shared" si="169"/>
        <v>12796.174001517094</v>
      </c>
      <c r="X40" s="3">
        <f t="shared" ref="X40:AB40" si="170">X38-X39</f>
        <v>19000.629367155183</v>
      </c>
      <c r="Y40" s="3">
        <f t="shared" si="170"/>
        <v>27693.324674960066</v>
      </c>
      <c r="Z40" s="3">
        <f t="shared" si="170"/>
        <v>39438.555446926795</v>
      </c>
      <c r="AA40" s="3">
        <f t="shared" si="170"/>
        <v>58880.936315389336</v>
      </c>
      <c r="AB40" s="3">
        <f t="shared" si="170"/>
        <v>98837.671859279246</v>
      </c>
      <c r="AC40" s="3">
        <f t="shared" ref="AC40:BH40" si="171">AB40*(1+$Y$44)</f>
        <v>98837.671859279246</v>
      </c>
      <c r="AD40" s="3">
        <f t="shared" si="171"/>
        <v>98837.671859279246</v>
      </c>
      <c r="AE40" s="3">
        <f t="shared" si="171"/>
        <v>98837.671859279246</v>
      </c>
      <c r="AF40" s="3">
        <f t="shared" si="171"/>
        <v>98837.671859279246</v>
      </c>
      <c r="AG40" s="3">
        <f t="shared" si="171"/>
        <v>98837.671859279246</v>
      </c>
      <c r="AH40" s="3">
        <f t="shared" si="171"/>
        <v>98837.671859279246</v>
      </c>
      <c r="AI40" s="3">
        <f t="shared" si="171"/>
        <v>98837.671859279246</v>
      </c>
      <c r="AJ40" s="3">
        <f t="shared" si="171"/>
        <v>98837.671859279246</v>
      </c>
      <c r="AK40" s="3">
        <f t="shared" si="171"/>
        <v>98837.671859279246</v>
      </c>
      <c r="AL40" s="3">
        <f t="shared" si="171"/>
        <v>98837.671859279246</v>
      </c>
      <c r="AM40" s="3">
        <f t="shared" si="171"/>
        <v>98837.671859279246</v>
      </c>
      <c r="AN40" s="3">
        <f t="shared" si="171"/>
        <v>98837.671859279246</v>
      </c>
      <c r="AO40" s="3">
        <f t="shared" si="171"/>
        <v>98837.671859279246</v>
      </c>
      <c r="AP40" s="3">
        <f t="shared" si="171"/>
        <v>98837.671859279246</v>
      </c>
      <c r="AQ40" s="3">
        <f t="shared" si="171"/>
        <v>98837.671859279246</v>
      </c>
      <c r="AR40" s="3">
        <f t="shared" si="171"/>
        <v>98837.671859279246</v>
      </c>
      <c r="AS40" s="3">
        <f t="shared" si="171"/>
        <v>98837.671859279246</v>
      </c>
      <c r="AT40" s="3">
        <f t="shared" si="171"/>
        <v>98837.671859279246</v>
      </c>
      <c r="AU40" s="3">
        <f t="shared" si="171"/>
        <v>98837.671859279246</v>
      </c>
      <c r="AV40" s="3">
        <f t="shared" si="171"/>
        <v>98837.671859279246</v>
      </c>
      <c r="AW40" s="3">
        <f t="shared" si="171"/>
        <v>98837.671859279246</v>
      </c>
      <c r="AX40" s="3">
        <f t="shared" si="171"/>
        <v>98837.671859279246</v>
      </c>
      <c r="AY40" s="3">
        <f t="shared" si="171"/>
        <v>98837.671859279246</v>
      </c>
      <c r="AZ40" s="3">
        <f t="shared" si="171"/>
        <v>98837.671859279246</v>
      </c>
      <c r="BA40" s="3">
        <f t="shared" si="171"/>
        <v>98837.671859279246</v>
      </c>
      <c r="BB40" s="3">
        <f t="shared" si="171"/>
        <v>98837.671859279246</v>
      </c>
      <c r="BC40" s="3">
        <f t="shared" si="171"/>
        <v>98837.671859279246</v>
      </c>
      <c r="BD40" s="3">
        <f t="shared" si="171"/>
        <v>98837.671859279246</v>
      </c>
      <c r="BE40" s="3">
        <f t="shared" si="171"/>
        <v>98837.671859279246</v>
      </c>
      <c r="BF40" s="3">
        <f t="shared" si="171"/>
        <v>98837.671859279246</v>
      </c>
      <c r="BG40" s="3">
        <f t="shared" si="171"/>
        <v>98837.671859279246</v>
      </c>
      <c r="BH40" s="3">
        <f t="shared" si="171"/>
        <v>98837.671859279246</v>
      </c>
      <c r="BI40" s="3">
        <f t="shared" ref="BI40:CN40" si="172">BH40*(1+$Y$44)</f>
        <v>98837.671859279246</v>
      </c>
      <c r="BJ40" s="3">
        <f t="shared" si="172"/>
        <v>98837.671859279246</v>
      </c>
      <c r="BK40" s="3">
        <f t="shared" si="172"/>
        <v>98837.671859279246</v>
      </c>
      <c r="BL40" s="3">
        <f t="shared" si="172"/>
        <v>98837.671859279246</v>
      </c>
      <c r="BM40" s="3">
        <f t="shared" si="172"/>
        <v>98837.671859279246</v>
      </c>
      <c r="BN40" s="3">
        <f t="shared" si="172"/>
        <v>98837.671859279246</v>
      </c>
      <c r="BO40" s="3">
        <f t="shared" si="172"/>
        <v>98837.671859279246</v>
      </c>
      <c r="BP40" s="3">
        <f t="shared" si="172"/>
        <v>98837.671859279246</v>
      </c>
      <c r="BQ40" s="3">
        <f t="shared" si="172"/>
        <v>98837.671859279246</v>
      </c>
      <c r="BR40" s="3">
        <f t="shared" si="172"/>
        <v>98837.671859279246</v>
      </c>
      <c r="BS40" s="3">
        <f t="shared" si="172"/>
        <v>98837.671859279246</v>
      </c>
      <c r="BT40" s="3">
        <f t="shared" si="172"/>
        <v>98837.671859279246</v>
      </c>
      <c r="BU40" s="3">
        <f t="shared" si="172"/>
        <v>98837.671859279246</v>
      </c>
      <c r="BV40" s="3">
        <f t="shared" si="172"/>
        <v>98837.671859279246</v>
      </c>
      <c r="BW40" s="3">
        <f t="shared" si="172"/>
        <v>98837.671859279246</v>
      </c>
      <c r="BX40" s="3">
        <f t="shared" si="172"/>
        <v>98837.671859279246</v>
      </c>
      <c r="BY40" s="3">
        <f t="shared" si="172"/>
        <v>98837.671859279246</v>
      </c>
      <c r="BZ40" s="3">
        <f t="shared" si="172"/>
        <v>98837.671859279246</v>
      </c>
      <c r="CA40" s="3">
        <f t="shared" si="172"/>
        <v>98837.671859279246</v>
      </c>
      <c r="CB40" s="3">
        <f t="shared" si="172"/>
        <v>98837.671859279246</v>
      </c>
      <c r="CC40" s="3">
        <f t="shared" si="172"/>
        <v>98837.671859279246</v>
      </c>
      <c r="CD40" s="3">
        <f t="shared" si="172"/>
        <v>98837.671859279246</v>
      </c>
      <c r="CE40" s="3">
        <f t="shared" si="172"/>
        <v>98837.671859279246</v>
      </c>
      <c r="CF40" s="3">
        <f t="shared" si="172"/>
        <v>98837.671859279246</v>
      </c>
      <c r="CG40" s="3">
        <f t="shared" si="172"/>
        <v>98837.671859279246</v>
      </c>
      <c r="CH40" s="3">
        <f t="shared" si="172"/>
        <v>98837.671859279246</v>
      </c>
      <c r="CI40" s="3">
        <f t="shared" si="172"/>
        <v>98837.671859279246</v>
      </c>
      <c r="CJ40" s="3">
        <f t="shared" si="172"/>
        <v>98837.671859279246</v>
      </c>
      <c r="CK40" s="3">
        <f t="shared" si="172"/>
        <v>98837.671859279246</v>
      </c>
      <c r="CL40" s="3">
        <f t="shared" si="172"/>
        <v>98837.671859279246</v>
      </c>
      <c r="CM40" s="3">
        <f t="shared" si="172"/>
        <v>98837.671859279246</v>
      </c>
      <c r="CN40" s="3">
        <f t="shared" si="172"/>
        <v>98837.671859279246</v>
      </c>
      <c r="CO40" s="3">
        <f t="shared" ref="CO40:DT40" si="173">CN40*(1+$Y$44)</f>
        <v>98837.671859279246</v>
      </c>
      <c r="CP40" s="3">
        <f t="shared" si="173"/>
        <v>98837.671859279246</v>
      </c>
      <c r="CQ40" s="3">
        <f t="shared" si="173"/>
        <v>98837.671859279246</v>
      </c>
      <c r="CR40" s="3">
        <f t="shared" si="173"/>
        <v>98837.671859279246</v>
      </c>
      <c r="CS40" s="3">
        <f t="shared" si="173"/>
        <v>98837.671859279246</v>
      </c>
      <c r="CT40" s="3">
        <f t="shared" si="173"/>
        <v>98837.671859279246</v>
      </c>
      <c r="CU40" s="3">
        <f t="shared" si="173"/>
        <v>98837.671859279246</v>
      </c>
      <c r="CV40" s="3">
        <f t="shared" si="173"/>
        <v>98837.671859279246</v>
      </c>
      <c r="CW40" s="3">
        <f t="shared" si="173"/>
        <v>98837.671859279246</v>
      </c>
      <c r="CX40" s="3">
        <f t="shared" si="173"/>
        <v>98837.671859279246</v>
      </c>
      <c r="CY40" s="3">
        <f t="shared" si="173"/>
        <v>98837.671859279246</v>
      </c>
      <c r="CZ40" s="3">
        <f t="shared" si="173"/>
        <v>98837.671859279246</v>
      </c>
      <c r="DA40" s="3">
        <f t="shared" si="173"/>
        <v>98837.671859279246</v>
      </c>
      <c r="DB40" s="3">
        <f t="shared" si="173"/>
        <v>98837.671859279246</v>
      </c>
      <c r="DC40" s="3">
        <f t="shared" si="173"/>
        <v>98837.671859279246</v>
      </c>
      <c r="DD40" s="3">
        <f t="shared" si="173"/>
        <v>98837.671859279246</v>
      </c>
      <c r="DE40" s="3">
        <f t="shared" si="173"/>
        <v>98837.671859279246</v>
      </c>
      <c r="DF40" s="3">
        <f t="shared" si="173"/>
        <v>98837.671859279246</v>
      </c>
      <c r="DG40" s="3">
        <f t="shared" si="173"/>
        <v>98837.671859279246</v>
      </c>
      <c r="DH40" s="3">
        <f t="shared" si="173"/>
        <v>98837.671859279246</v>
      </c>
      <c r="DI40" s="3">
        <f t="shared" si="173"/>
        <v>98837.671859279246</v>
      </c>
      <c r="DJ40" s="3">
        <f t="shared" si="173"/>
        <v>98837.671859279246</v>
      </c>
      <c r="DK40" s="3">
        <f t="shared" si="173"/>
        <v>98837.671859279246</v>
      </c>
      <c r="DL40" s="3">
        <f t="shared" si="173"/>
        <v>98837.671859279246</v>
      </c>
      <c r="DM40" s="3">
        <f t="shared" si="173"/>
        <v>98837.671859279246</v>
      </c>
      <c r="DN40" s="3">
        <f t="shared" si="173"/>
        <v>98837.671859279246</v>
      </c>
      <c r="DO40" s="3">
        <f t="shared" si="173"/>
        <v>98837.671859279246</v>
      </c>
      <c r="DP40" s="3">
        <f t="shared" si="173"/>
        <v>98837.671859279246</v>
      </c>
      <c r="DQ40" s="3">
        <f t="shared" si="173"/>
        <v>98837.671859279246</v>
      </c>
      <c r="DR40" s="3">
        <f t="shared" si="173"/>
        <v>98837.671859279246</v>
      </c>
      <c r="DS40" s="3">
        <f t="shared" si="173"/>
        <v>98837.671859279246</v>
      </c>
      <c r="DT40" s="3">
        <f t="shared" si="173"/>
        <v>98837.671859279246</v>
      </c>
      <c r="DU40" s="3">
        <f t="shared" ref="DU40:FA40" si="174">DT40*(1+$Y$44)</f>
        <v>98837.671859279246</v>
      </c>
      <c r="DV40" s="3">
        <f t="shared" si="174"/>
        <v>98837.671859279246</v>
      </c>
      <c r="DW40" s="3">
        <f t="shared" si="174"/>
        <v>98837.671859279246</v>
      </c>
      <c r="DX40" s="3">
        <f t="shared" si="174"/>
        <v>98837.671859279246</v>
      </c>
      <c r="DY40" s="3">
        <f t="shared" si="174"/>
        <v>98837.671859279246</v>
      </c>
      <c r="DZ40" s="3">
        <f t="shared" si="174"/>
        <v>98837.671859279246</v>
      </c>
      <c r="EA40" s="3">
        <f t="shared" si="174"/>
        <v>98837.671859279246</v>
      </c>
      <c r="EB40" s="3">
        <f t="shared" si="174"/>
        <v>98837.671859279246</v>
      </c>
      <c r="EC40" s="3">
        <f t="shared" si="174"/>
        <v>98837.671859279246</v>
      </c>
      <c r="ED40" s="3">
        <f t="shared" si="174"/>
        <v>98837.671859279246</v>
      </c>
      <c r="EE40" s="3">
        <f t="shared" si="174"/>
        <v>98837.671859279246</v>
      </c>
      <c r="EF40" s="3">
        <f t="shared" si="174"/>
        <v>98837.671859279246</v>
      </c>
      <c r="EG40" s="3">
        <f t="shared" si="174"/>
        <v>98837.671859279246</v>
      </c>
      <c r="EH40" s="3">
        <f t="shared" si="174"/>
        <v>98837.671859279246</v>
      </c>
      <c r="EI40" s="3">
        <f t="shared" si="174"/>
        <v>98837.671859279246</v>
      </c>
      <c r="EJ40" s="3">
        <f t="shared" si="174"/>
        <v>98837.671859279246</v>
      </c>
      <c r="EK40" s="3">
        <f t="shared" si="174"/>
        <v>98837.671859279246</v>
      </c>
      <c r="EL40" s="3">
        <f t="shared" si="174"/>
        <v>98837.671859279246</v>
      </c>
      <c r="EM40" s="3">
        <f t="shared" si="174"/>
        <v>98837.671859279246</v>
      </c>
      <c r="EN40" s="3">
        <f t="shared" si="174"/>
        <v>98837.671859279246</v>
      </c>
      <c r="EO40" s="3">
        <f t="shared" si="174"/>
        <v>98837.671859279246</v>
      </c>
      <c r="EP40" s="3">
        <f t="shared" si="174"/>
        <v>98837.671859279246</v>
      </c>
      <c r="EQ40" s="3">
        <f t="shared" si="174"/>
        <v>98837.671859279246</v>
      </c>
      <c r="ER40" s="3">
        <f t="shared" si="174"/>
        <v>98837.671859279246</v>
      </c>
      <c r="ES40" s="3">
        <f t="shared" si="174"/>
        <v>98837.671859279246</v>
      </c>
      <c r="ET40" s="3">
        <f t="shared" si="174"/>
        <v>98837.671859279246</v>
      </c>
      <c r="EU40" s="3">
        <f t="shared" si="174"/>
        <v>98837.671859279246</v>
      </c>
      <c r="EV40" s="3">
        <f t="shared" si="174"/>
        <v>98837.671859279246</v>
      </c>
      <c r="EW40" s="3">
        <f t="shared" si="174"/>
        <v>98837.671859279246</v>
      </c>
      <c r="EX40" s="3">
        <f t="shared" si="174"/>
        <v>98837.671859279246</v>
      </c>
      <c r="EY40" s="3">
        <f t="shared" si="174"/>
        <v>98837.671859279246</v>
      </c>
      <c r="EZ40" s="3">
        <f t="shared" si="174"/>
        <v>98837.671859279246</v>
      </c>
      <c r="FA40" s="3">
        <f t="shared" si="174"/>
        <v>98837.671859279246</v>
      </c>
    </row>
    <row r="41" spans="2:157" x14ac:dyDescent="0.25">
      <c r="B41" s="14" t="s">
        <v>99</v>
      </c>
      <c r="C41" s="1">
        <v>0.8</v>
      </c>
      <c r="E41" s="1">
        <v>1.05</v>
      </c>
      <c r="G41" s="1">
        <v>0.8</v>
      </c>
      <c r="H41" s="1">
        <v>0.85</v>
      </c>
      <c r="I41" s="1">
        <v>0.53</v>
      </c>
      <c r="K41" s="6">
        <v>0.37</v>
      </c>
      <c r="L41" s="1">
        <v>0.46</v>
      </c>
      <c r="M41" s="1">
        <v>0.68</v>
      </c>
      <c r="Q41" s="1">
        <v>-1.1399999999999999</v>
      </c>
      <c r="R41" s="1">
        <v>-0.98</v>
      </c>
      <c r="S41" s="1">
        <v>0.74</v>
      </c>
      <c r="T41" s="1">
        <v>1.87</v>
      </c>
      <c r="U41" s="1">
        <v>4.0199999999999996</v>
      </c>
      <c r="V41" s="1">
        <v>4.7300000000000004</v>
      </c>
    </row>
    <row r="42" spans="2:157" x14ac:dyDescent="0.25">
      <c r="B42" s="14" t="s">
        <v>100</v>
      </c>
      <c r="C42" s="3">
        <v>3166</v>
      </c>
      <c r="D42" s="3"/>
      <c r="E42" s="3">
        <v>3146</v>
      </c>
      <c r="F42" s="3"/>
      <c r="G42" s="3">
        <v>3166</v>
      </c>
      <c r="H42" s="3">
        <v>3171</v>
      </c>
      <c r="I42" s="3">
        <v>3176</v>
      </c>
      <c r="J42" s="3"/>
      <c r="K42" s="3">
        <v>3186</v>
      </c>
      <c r="L42" s="3">
        <v>3191</v>
      </c>
      <c r="M42" s="3">
        <v>3198</v>
      </c>
      <c r="N42" s="3"/>
      <c r="O42" s="3"/>
      <c r="P42" s="3"/>
      <c r="Q42" s="3">
        <v>853</v>
      </c>
      <c r="R42" s="3">
        <v>887</v>
      </c>
      <c r="S42" s="3">
        <v>933</v>
      </c>
      <c r="T42" s="3">
        <v>2959</v>
      </c>
      <c r="U42" s="3">
        <v>3130</v>
      </c>
      <c r="V42" s="3">
        <v>3174</v>
      </c>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row>
    <row r="43" spans="2:157" x14ac:dyDescent="0.25">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row>
    <row r="44" spans="2:157" x14ac:dyDescent="0.25">
      <c r="B44" s="1" t="s">
        <v>38</v>
      </c>
      <c r="C44" s="3">
        <f>C40</f>
        <v>-2034</v>
      </c>
      <c r="D44" s="3"/>
      <c r="E44" s="3"/>
      <c r="F44" s="3"/>
      <c r="G44" s="3">
        <f>G40</f>
        <v>2539</v>
      </c>
      <c r="H44" s="3">
        <f>H40</f>
        <v>2614</v>
      </c>
      <c r="I44" s="3">
        <f>I40</f>
        <v>1878</v>
      </c>
      <c r="J44" s="3"/>
      <c r="K44" s="3">
        <f>K40</f>
        <v>1144</v>
      </c>
      <c r="L44" s="3">
        <f>L40</f>
        <v>1494</v>
      </c>
      <c r="M44" s="3"/>
      <c r="N44" s="3"/>
      <c r="O44" s="3"/>
      <c r="P44" s="3"/>
      <c r="Q44" s="3"/>
      <c r="R44" s="3"/>
      <c r="S44" s="3"/>
      <c r="T44" s="3">
        <f>T40</f>
        <v>5993.3886960882592</v>
      </c>
      <c r="U44" s="3">
        <f>U40</f>
        <v>12941.901577626384</v>
      </c>
      <c r="V44" s="3">
        <f>V40</f>
        <v>15212.263873113334</v>
      </c>
      <c r="W44" s="3"/>
      <c r="X44" s="3" t="s">
        <v>55</v>
      </c>
      <c r="Y44" s="4">
        <v>0</v>
      </c>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row>
    <row r="45" spans="2:157" x14ac:dyDescent="0.25">
      <c r="B45" s="1" t="s">
        <v>39</v>
      </c>
      <c r="C45" s="3">
        <v>-96</v>
      </c>
      <c r="D45" s="3"/>
      <c r="E45" s="3"/>
      <c r="F45" s="3"/>
      <c r="G45" s="3">
        <v>130</v>
      </c>
      <c r="H45" s="3">
        <v>-184</v>
      </c>
      <c r="I45" s="3"/>
      <c r="J45" s="3"/>
      <c r="K45" s="3">
        <v>-252</v>
      </c>
      <c r="L45" s="3">
        <v>-72</v>
      </c>
      <c r="M45" s="3"/>
      <c r="N45" s="3"/>
      <c r="O45" s="3"/>
      <c r="P45" s="3"/>
      <c r="Q45" s="3"/>
      <c r="R45" s="3"/>
      <c r="S45" s="3"/>
      <c r="T45" s="3">
        <v>-308</v>
      </c>
      <c r="U45" s="3">
        <v>-392</v>
      </c>
      <c r="V45" s="3">
        <v>198</v>
      </c>
      <c r="W45" s="3"/>
      <c r="X45" s="3" t="s">
        <v>56</v>
      </c>
      <c r="Y45" s="4">
        <v>0.08</v>
      </c>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row>
    <row r="46" spans="2:157" x14ac:dyDescent="0.25">
      <c r="B46" s="1" t="s">
        <v>40</v>
      </c>
      <c r="C46" s="3">
        <v>-8</v>
      </c>
      <c r="D46" s="3"/>
      <c r="E46" s="3"/>
      <c r="F46" s="3"/>
      <c r="G46" s="3">
        <v>6</v>
      </c>
      <c r="H46" s="3">
        <v>-5</v>
      </c>
      <c r="I46" s="3"/>
      <c r="J46" s="3"/>
      <c r="K46" s="3">
        <v>-4</v>
      </c>
      <c r="L46" s="3">
        <v>4</v>
      </c>
      <c r="M46" s="3"/>
      <c r="N46" s="3"/>
      <c r="O46" s="3"/>
      <c r="P46" s="3"/>
      <c r="Q46" s="3"/>
      <c r="R46" s="3"/>
      <c r="S46" s="3"/>
      <c r="T46" s="3">
        <v>-1</v>
      </c>
      <c r="U46" s="3">
        <v>-23</v>
      </c>
      <c r="V46" s="3">
        <v>16</v>
      </c>
      <c r="W46" s="3"/>
      <c r="X46" s="3" t="s">
        <v>57</v>
      </c>
      <c r="Y46" s="3">
        <f>NPV(Y45,W40:FA40)</f>
        <v>959986.77949695883</v>
      </c>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row>
    <row r="47" spans="2:157" x14ac:dyDescent="0.25">
      <c r="B47" s="1" t="s">
        <v>41</v>
      </c>
      <c r="C47" s="3" t="s">
        <v>45</v>
      </c>
      <c r="D47" s="3"/>
      <c r="E47" s="3"/>
      <c r="F47" s="3"/>
      <c r="G47" s="3" t="s">
        <v>45</v>
      </c>
      <c r="H47" s="3">
        <v>4</v>
      </c>
      <c r="I47" s="3"/>
      <c r="J47" s="3"/>
      <c r="K47" s="3" t="s">
        <v>45</v>
      </c>
      <c r="L47" s="3" t="s">
        <v>45</v>
      </c>
      <c r="M47" s="3"/>
      <c r="N47" s="3"/>
      <c r="O47" s="3"/>
      <c r="P47" s="3"/>
      <c r="Q47" s="3"/>
      <c r="R47" s="3"/>
      <c r="S47" s="3"/>
      <c r="T47" s="3" t="s">
        <v>45</v>
      </c>
      <c r="U47" s="3" t="s">
        <v>45</v>
      </c>
      <c r="V47" s="3">
        <v>4</v>
      </c>
      <c r="W47" s="3"/>
      <c r="X47" s="3" t="s">
        <v>58</v>
      </c>
      <c r="Y47" s="3">
        <f>Y46/3185</f>
        <v>301.40872197706716</v>
      </c>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row>
    <row r="48" spans="2:157" x14ac:dyDescent="0.25">
      <c r="B48" s="1" t="s">
        <v>42</v>
      </c>
      <c r="C48" s="3">
        <f>SUM(C44:C47)</f>
        <v>-2138</v>
      </c>
      <c r="D48" s="3"/>
      <c r="E48" s="3"/>
      <c r="F48" s="3"/>
      <c r="G48" s="3">
        <f>SUM(G44:G47)</f>
        <v>2675</v>
      </c>
      <c r="H48" s="3">
        <f>SUM(H44:H47)</f>
        <v>2429</v>
      </c>
      <c r="I48" s="3"/>
      <c r="J48" s="3"/>
      <c r="K48" s="3">
        <f>SUM(K44:K47)</f>
        <v>888</v>
      </c>
      <c r="L48" s="3">
        <f>SUM(L44:L47)</f>
        <v>1426</v>
      </c>
      <c r="M48" s="3"/>
      <c r="N48" s="3"/>
      <c r="O48" s="3"/>
      <c r="P48" s="3"/>
      <c r="Q48" s="3"/>
      <c r="R48" s="3"/>
      <c r="S48" s="3"/>
      <c r="T48" s="3">
        <f>SUM(T44:T47)</f>
        <v>5684.3886960882592</v>
      </c>
      <c r="U48" s="3">
        <f>SUM(U44:U47)</f>
        <v>12526.901577626384</v>
      </c>
      <c r="V48" s="3">
        <f>SUM(V44:V47)</f>
        <v>15430.263873113334</v>
      </c>
      <c r="W48" s="3"/>
      <c r="X48" s="3" t="s">
        <v>59</v>
      </c>
      <c r="Y48" s="4">
        <f ca="1">Y47/Main!F7-1</f>
        <v>-0.27132597916771306</v>
      </c>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row>
    <row r="49" spans="2:61" x14ac:dyDescent="0.25">
      <c r="B49" s="1" t="s">
        <v>43</v>
      </c>
      <c r="C49" s="3">
        <v>-38</v>
      </c>
      <c r="D49" s="3"/>
      <c r="E49" s="3"/>
      <c r="F49" s="3"/>
      <c r="G49" s="3">
        <v>26</v>
      </c>
      <c r="H49" s="3">
        <v>-89</v>
      </c>
      <c r="I49" s="3"/>
      <c r="J49" s="3"/>
      <c r="K49" s="3">
        <v>15</v>
      </c>
      <c r="L49" s="3">
        <v>16</v>
      </c>
      <c r="M49" s="3"/>
      <c r="N49" s="3"/>
      <c r="O49" s="3"/>
      <c r="P49" s="3"/>
      <c r="Q49" s="3"/>
      <c r="R49" s="3"/>
      <c r="S49" s="3"/>
      <c r="T49" s="3">
        <v>125</v>
      </c>
      <c r="U49" s="3">
        <v>31</v>
      </c>
      <c r="V49" s="3">
        <v>-23</v>
      </c>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row>
    <row r="50" spans="2:61" x14ac:dyDescent="0.25">
      <c r="B50" s="1" t="s">
        <v>44</v>
      </c>
      <c r="C50" s="3">
        <f>C48-C49</f>
        <v>-2100</v>
      </c>
      <c r="D50" s="3"/>
      <c r="E50" s="3"/>
      <c r="F50" s="3"/>
      <c r="G50" s="3">
        <f>G48-G49</f>
        <v>2649</v>
      </c>
      <c r="H50" s="3">
        <f>H48-H49</f>
        <v>2518</v>
      </c>
      <c r="I50" s="3"/>
      <c r="J50" s="3"/>
      <c r="K50" s="3">
        <f>K48-K49</f>
        <v>873</v>
      </c>
      <c r="L50" s="3">
        <f>L48-L49</f>
        <v>1410</v>
      </c>
      <c r="M50" s="3"/>
      <c r="N50" s="3"/>
      <c r="O50" s="3"/>
      <c r="P50" s="3"/>
      <c r="Q50" s="3"/>
      <c r="R50" s="3"/>
      <c r="S50" s="3"/>
      <c r="T50" s="3">
        <f>T48-T49</f>
        <v>5559.3886960882592</v>
      </c>
      <c r="U50" s="3">
        <f>U48-U49</f>
        <v>12495.901577626384</v>
      </c>
      <c r="V50" s="3">
        <f>V48-V49</f>
        <v>15453.263873113334</v>
      </c>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row>
    <row r="51" spans="2:61" x14ac:dyDescent="0.25">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row>
    <row r="52" spans="2:61" s="4" customFormat="1" x14ac:dyDescent="0.25">
      <c r="B52" s="4" t="s">
        <v>46</v>
      </c>
      <c r="C52" s="4" t="e">
        <f>C22/#REF!-1</f>
        <v>#REF!</v>
      </c>
      <c r="E52" s="4" t="e">
        <f>E22/A22-1</f>
        <v>#DIV/0!</v>
      </c>
      <c r="G52" s="4">
        <f>G22/C22-1</f>
        <v>0.24381531243335464</v>
      </c>
      <c r="H52" s="4" t="e">
        <f>H22/D22-1</f>
        <v>#DIV/0!</v>
      </c>
      <c r="I52" s="4">
        <f>I22/E22-1</f>
        <v>8.8375128181224838E-2</v>
      </c>
      <c r="K52" s="4">
        <f>K22/G22-1</f>
        <v>-8.6930429936988296E-2</v>
      </c>
      <c r="L52" s="4">
        <f>L22/H22-1</f>
        <v>2.2987122397400306E-2</v>
      </c>
      <c r="M52" s="4">
        <f>M22/I22-1</f>
        <v>7.8458244111349051E-2</v>
      </c>
      <c r="Q52" s="4" t="e">
        <f t="shared" ref="Q52:AB52" si="175">Q22/P22-1</f>
        <v>#DIV/0!</v>
      </c>
      <c r="R52" s="4">
        <f t="shared" si="175"/>
        <v>0.1452394839903266</v>
      </c>
      <c r="S52" s="4">
        <f t="shared" si="175"/>
        <v>0.29157548828241353</v>
      </c>
      <c r="T52" s="4">
        <f t="shared" si="175"/>
        <v>0.70652212968808992</v>
      </c>
      <c r="U52" s="4">
        <f t="shared" si="175"/>
        <v>0.51030633034526529</v>
      </c>
      <c r="V52" s="4">
        <f t="shared" si="175"/>
        <v>0.18571177840401121</v>
      </c>
      <c r="W52" s="4">
        <f t="shared" si="175"/>
        <v>0.26819586500125836</v>
      </c>
      <c r="X52" s="4">
        <f t="shared" si="175"/>
        <v>0.25488750535462357</v>
      </c>
      <c r="Y52" s="4">
        <f t="shared" si="175"/>
        <v>0.24854883671284256</v>
      </c>
      <c r="Z52" s="4">
        <f t="shared" si="175"/>
        <v>0.28168883679062784</v>
      </c>
      <c r="AA52" s="4">
        <f t="shared" si="175"/>
        <v>0.38855601719827626</v>
      </c>
      <c r="AB52" s="4">
        <f t="shared" si="175"/>
        <v>0.62291497757373215</v>
      </c>
    </row>
    <row r="53" spans="2:61" s="4" customFormat="1" x14ac:dyDescent="0.25">
      <c r="B53" s="4" t="s">
        <v>47</v>
      </c>
      <c r="C53" s="4">
        <f>C39/C38</f>
        <v>-0.14720812182741116</v>
      </c>
      <c r="E53" s="4">
        <f>E39/E38</f>
        <v>8.3883388338833881E-2</v>
      </c>
      <c r="G53" s="4">
        <f>G39/G38</f>
        <v>9.3214285714285708E-2</v>
      </c>
      <c r="H53" s="4">
        <f>H39/H38</f>
        <v>0.10997616615594144</v>
      </c>
      <c r="I53" s="4">
        <f>I39/I38</f>
        <v>8.1662591687041569E-2</v>
      </c>
      <c r="K53" s="4">
        <f>K39/K38</f>
        <v>0.26336123631680619</v>
      </c>
      <c r="L53" s="4">
        <f>L39/L38</f>
        <v>0.20826709062003179</v>
      </c>
      <c r="M53" s="4">
        <f>M39/M38</f>
        <v>0.2158764367816092</v>
      </c>
      <c r="Q53" s="4">
        <f t="shared" ref="Q53:V53" si="176">Q39/Q38</f>
        <v>-5.7711442786069649E-2</v>
      </c>
      <c r="R53" s="4">
        <f t="shared" si="176"/>
        <v>-0.16540969481645368</v>
      </c>
      <c r="S53" s="4">
        <f t="shared" si="176"/>
        <v>0.21433986288121099</v>
      </c>
      <c r="T53" s="4">
        <f t="shared" si="176"/>
        <v>0.10444701163406268</v>
      </c>
      <c r="U53" s="4">
        <f t="shared" si="176"/>
        <v>8.0432564755147026E-2</v>
      </c>
      <c r="V53" s="4">
        <f t="shared" si="176"/>
        <v>-0.48975328246759275</v>
      </c>
    </row>
    <row r="54" spans="2:61" s="4" customFormat="1" x14ac:dyDescent="0.25">
      <c r="B54" s="4" t="s">
        <v>48</v>
      </c>
      <c r="C54" s="4">
        <f>C29/C22</f>
        <v>-3.3056088718276819E-3</v>
      </c>
      <c r="E54" s="4">
        <f>E29/E22</f>
        <v>0.25086231005873033</v>
      </c>
      <c r="G54" s="4">
        <f>G29/G22</f>
        <v>0.19336448197522396</v>
      </c>
      <c r="H54" s="4">
        <f>H29/H22</f>
        <v>0.18185100493440848</v>
      </c>
      <c r="I54" s="4">
        <f>I29/I22</f>
        <v>0.17892933618843684</v>
      </c>
      <c r="K54" s="4">
        <f>K29/K22</f>
        <v>0.1735129806112389</v>
      </c>
      <c r="L54" s="4">
        <f>L29/L22</f>
        <v>0.17952941176470588</v>
      </c>
      <c r="M54" s="4">
        <f>M29/M22</f>
        <v>0.19843539035819235</v>
      </c>
      <c r="Q54" s="4">
        <f t="shared" ref="Q54:V54" si="177">Q29/Q22</f>
        <v>0.18834164298028983</v>
      </c>
      <c r="R54" s="4">
        <f t="shared" si="177"/>
        <v>0.16555403698800741</v>
      </c>
      <c r="S54" s="4">
        <f t="shared" si="177"/>
        <v>0.21541875510686784</v>
      </c>
      <c r="T54" s="4">
        <f t="shared" si="177"/>
        <v>0.25761073181356625</v>
      </c>
      <c r="U54" s="4">
        <f t="shared" si="177"/>
        <v>0.25921174193457708</v>
      </c>
      <c r="V54" s="4">
        <f t="shared" si="177"/>
        <v>0.18449676005173496</v>
      </c>
    </row>
    <row r="55" spans="2:61" s="4" customFormat="1" x14ac:dyDescent="0.25">
      <c r="B55" s="4" t="s">
        <v>49</v>
      </c>
      <c r="C55" s="4">
        <f>C40/C22</f>
        <v>-0.10844529750479846</v>
      </c>
      <c r="E55" s="4">
        <f>E40/E22</f>
        <v>0.15526242192598116</v>
      </c>
      <c r="G55" s="4">
        <f>G40/G22</f>
        <v>0.10883449783531227</v>
      </c>
      <c r="H55" s="4">
        <f>H40/H22</f>
        <v>0.10486620933124724</v>
      </c>
      <c r="I55" s="4">
        <f>I40/I22</f>
        <v>8.0428265524625273E-2</v>
      </c>
      <c r="K55" s="4">
        <f>K40/K22</f>
        <v>5.3706398760621568E-2</v>
      </c>
      <c r="L55" s="4">
        <f>L40/L22</f>
        <v>5.8588235294117649E-2</v>
      </c>
      <c r="M55" s="4">
        <f>M40/M22</f>
        <v>8.6688904773250738E-2</v>
      </c>
      <c r="Q55" s="4">
        <f t="shared" ref="Q55:V55" si="178">Q40/Q22</f>
        <v>-4.9531708680862964E-2</v>
      </c>
      <c r="R55" s="4">
        <f t="shared" si="178"/>
        <v>-3.1532912391781576E-2</v>
      </c>
      <c r="S55" s="4">
        <f t="shared" si="178"/>
        <v>3.371697157905984E-2</v>
      </c>
      <c r="T55" s="4">
        <f t="shared" si="178"/>
        <v>0.11063548867508285</v>
      </c>
      <c r="U55" s="4">
        <f t="shared" si="178"/>
        <v>0.15818127218307509</v>
      </c>
      <c r="V55" s="4">
        <f t="shared" si="178"/>
        <v>0.15680925354204578</v>
      </c>
    </row>
    <row r="56" spans="2:61" x14ac:dyDescent="0.25">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row>
    <row r="57" spans="2:61" x14ac:dyDescent="0.25">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row>
    <row r="58" spans="2:61" x14ac:dyDescent="0.25">
      <c r="B58" s="4" t="s">
        <v>38</v>
      </c>
      <c r="C58" s="3"/>
      <c r="D58" s="3"/>
      <c r="E58" s="3"/>
      <c r="F58" s="3"/>
      <c r="G58" s="3">
        <f>G40</f>
        <v>2539</v>
      </c>
      <c r="H58" s="3">
        <f>H40</f>
        <v>2614</v>
      </c>
      <c r="I58" s="3">
        <f>I40</f>
        <v>1878</v>
      </c>
      <c r="J58" s="3"/>
      <c r="K58" s="3">
        <f>K40</f>
        <v>1144</v>
      </c>
      <c r="L58" s="3">
        <f>L40</f>
        <v>1494</v>
      </c>
      <c r="M58" s="3">
        <f>M40</f>
        <v>2183</v>
      </c>
      <c r="N58" s="3"/>
      <c r="O58" s="3"/>
      <c r="P58" s="3"/>
      <c r="Q58" s="3"/>
      <c r="R58" s="3"/>
      <c r="S58" s="3"/>
      <c r="T58" s="3">
        <f>T40</f>
        <v>5993.3886960882592</v>
      </c>
      <c r="U58" s="3">
        <f>U40</f>
        <v>12941.901577626384</v>
      </c>
      <c r="V58" s="3">
        <f>V40</f>
        <v>15212.263873113334</v>
      </c>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row>
    <row r="59" spans="2:61" x14ac:dyDescent="0.25">
      <c r="B59" s="19" t="s">
        <v>101</v>
      </c>
      <c r="C59" s="3"/>
      <c r="D59" s="3"/>
      <c r="E59" s="3"/>
      <c r="F59" s="3"/>
      <c r="G59" s="3">
        <v>1046</v>
      </c>
      <c r="H59" s="3">
        <f>2200-G59</f>
        <v>1154</v>
      </c>
      <c r="I59" s="3">
        <v>1235</v>
      </c>
      <c r="J59" s="3"/>
      <c r="K59" s="3">
        <v>1246</v>
      </c>
      <c r="L59" s="3">
        <f>2524-K59</f>
        <v>1278</v>
      </c>
      <c r="M59" s="3">
        <v>1348</v>
      </c>
      <c r="N59" s="3"/>
      <c r="O59" s="3"/>
      <c r="P59" s="3"/>
      <c r="Q59" s="3"/>
      <c r="R59" s="3"/>
      <c r="S59" s="3"/>
      <c r="T59" s="3">
        <v>2911</v>
      </c>
      <c r="U59" s="3">
        <v>3747</v>
      </c>
      <c r="V59" s="3">
        <v>4667</v>
      </c>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row>
    <row r="60" spans="2:61" x14ac:dyDescent="0.25">
      <c r="B60" s="19" t="s">
        <v>102</v>
      </c>
      <c r="C60" s="3"/>
      <c r="D60" s="3"/>
      <c r="E60" s="3"/>
      <c r="F60" s="3"/>
      <c r="G60" s="3">
        <v>418</v>
      </c>
      <c r="H60" s="3">
        <f>863-G60</f>
        <v>445</v>
      </c>
      <c r="I60" s="3">
        <v>465</v>
      </c>
      <c r="J60" s="3"/>
      <c r="K60" s="3">
        <v>524</v>
      </c>
      <c r="L60" s="3">
        <f>963-K60</f>
        <v>439</v>
      </c>
      <c r="M60" s="3">
        <v>457</v>
      </c>
      <c r="N60" s="3"/>
      <c r="O60" s="3"/>
      <c r="P60" s="3"/>
      <c r="Q60" s="3"/>
      <c r="R60" s="3"/>
      <c r="S60" s="3"/>
      <c r="T60" s="3">
        <v>2121</v>
      </c>
      <c r="U60" s="3">
        <v>1560</v>
      </c>
      <c r="V60" s="3">
        <v>1812</v>
      </c>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row>
    <row r="61" spans="2:61" x14ac:dyDescent="0.25">
      <c r="B61" s="19" t="s">
        <v>51</v>
      </c>
      <c r="C61" s="3"/>
      <c r="D61" s="3"/>
      <c r="E61" s="3"/>
      <c r="F61" s="3"/>
      <c r="G61" s="3">
        <v>50</v>
      </c>
      <c r="H61" s="3">
        <f>217-G61</f>
        <v>167</v>
      </c>
      <c r="I61" s="3">
        <v>144</v>
      </c>
      <c r="J61" s="3"/>
      <c r="K61" s="3">
        <v>68</v>
      </c>
      <c r="L61" s="3">
        <f>146-K61</f>
        <v>78</v>
      </c>
      <c r="M61" s="3">
        <v>101</v>
      </c>
      <c r="N61" s="3"/>
      <c r="O61" s="3"/>
      <c r="P61" s="3"/>
      <c r="Q61" s="3"/>
      <c r="R61" s="3"/>
      <c r="S61" s="3"/>
      <c r="T61" s="3">
        <v>140</v>
      </c>
      <c r="U61" s="3">
        <v>177</v>
      </c>
      <c r="V61" s="3">
        <v>463</v>
      </c>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row>
    <row r="62" spans="2:61" x14ac:dyDescent="0.25">
      <c r="B62" s="19" t="s">
        <v>103</v>
      </c>
      <c r="C62" s="3"/>
      <c r="D62" s="3"/>
      <c r="E62" s="3"/>
      <c r="F62" s="3"/>
      <c r="G62" s="3">
        <v>-25</v>
      </c>
      <c r="H62" s="3">
        <f>-283-G62</f>
        <v>-258</v>
      </c>
      <c r="I62" s="3">
        <v>-34</v>
      </c>
      <c r="J62" s="3"/>
      <c r="K62" s="3">
        <v>-63</v>
      </c>
      <c r="L62" s="3">
        <f>-90-K62</f>
        <v>-27</v>
      </c>
      <c r="M62" s="3">
        <v>287</v>
      </c>
      <c r="N62" s="3"/>
      <c r="O62" s="3"/>
      <c r="P62" s="3"/>
      <c r="Q62" s="3"/>
      <c r="R62" s="3"/>
      <c r="S62" s="3"/>
      <c r="T62" s="3">
        <v>-55</v>
      </c>
      <c r="U62" s="3">
        <v>81</v>
      </c>
      <c r="V62" s="3">
        <v>-144</v>
      </c>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row>
    <row r="63" spans="2:61" x14ac:dyDescent="0.25">
      <c r="B63" s="4" t="s">
        <v>50</v>
      </c>
      <c r="C63" s="3"/>
      <c r="D63" s="3"/>
      <c r="E63" s="3"/>
      <c r="F63" s="3"/>
      <c r="G63" s="3">
        <v>-55</v>
      </c>
      <c r="H63" s="3">
        <f>-203-G63</f>
        <v>-148</v>
      </c>
      <c r="I63" s="3">
        <v>-113</v>
      </c>
      <c r="J63" s="3"/>
      <c r="K63" s="3">
        <v>-11</v>
      </c>
      <c r="L63" s="3">
        <f>133-K63</f>
        <v>144</v>
      </c>
      <c r="M63" s="3">
        <v>285</v>
      </c>
      <c r="N63" s="3"/>
      <c r="O63" s="3"/>
      <c r="P63" s="3"/>
      <c r="Q63" s="3"/>
      <c r="R63" s="3"/>
      <c r="S63" s="3"/>
      <c r="T63" s="3">
        <v>-149</v>
      </c>
      <c r="U63" s="3">
        <v>-196</v>
      </c>
      <c r="V63" s="3">
        <v>-6349</v>
      </c>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row>
    <row r="64" spans="2:61" x14ac:dyDescent="0.25">
      <c r="B64" s="19" t="s">
        <v>104</v>
      </c>
      <c r="C64" s="3"/>
      <c r="D64" s="3"/>
      <c r="E64" s="3"/>
      <c r="F64" s="3"/>
      <c r="G64" s="3">
        <v>15</v>
      </c>
      <c r="H64" s="3">
        <f>59-G64</f>
        <v>44</v>
      </c>
      <c r="I64" s="3">
        <v>35</v>
      </c>
      <c r="J64" s="3"/>
      <c r="K64" s="3">
        <v>-5</v>
      </c>
      <c r="L64" s="3">
        <f>63-K64</f>
        <v>68</v>
      </c>
      <c r="M64" s="3">
        <v>20</v>
      </c>
      <c r="N64" s="3"/>
      <c r="O64" s="3"/>
      <c r="P64" s="3"/>
      <c r="Q64" s="3"/>
      <c r="R64" s="3"/>
      <c r="S64" s="3"/>
      <c r="T64" s="3">
        <v>245</v>
      </c>
      <c r="U64" s="3">
        <v>340</v>
      </c>
      <c r="V64" s="3">
        <v>81</v>
      </c>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row>
    <row r="65" spans="2:61" x14ac:dyDescent="0.25">
      <c r="B65" s="19" t="s">
        <v>105</v>
      </c>
      <c r="C65" s="3"/>
      <c r="D65" s="3"/>
      <c r="E65" s="3"/>
      <c r="F65" s="3"/>
      <c r="G65" s="3"/>
      <c r="H65" s="3" t="s">
        <v>45</v>
      </c>
      <c r="I65" s="3">
        <v>0</v>
      </c>
      <c r="J65" s="3"/>
      <c r="K65" s="3"/>
      <c r="L65" s="3" t="s">
        <v>45</v>
      </c>
      <c r="M65" s="3">
        <v>0</v>
      </c>
      <c r="N65" s="16"/>
      <c r="O65" s="3"/>
      <c r="P65" s="3"/>
      <c r="Q65" s="3"/>
      <c r="R65" s="3"/>
      <c r="S65" s="3"/>
      <c r="T65" s="3">
        <v>-27</v>
      </c>
      <c r="U65" s="3">
        <v>140</v>
      </c>
      <c r="V65" s="3" t="s">
        <v>45</v>
      </c>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row>
    <row r="66" spans="2:61" x14ac:dyDescent="0.25">
      <c r="B66" s="19" t="s">
        <v>109</v>
      </c>
      <c r="C66" s="3"/>
      <c r="D66" s="3"/>
      <c r="E66" s="3"/>
      <c r="F66" s="3"/>
      <c r="G66" s="3">
        <v>-32</v>
      </c>
      <c r="H66" s="3">
        <f>-504-G66</f>
        <v>-472</v>
      </c>
      <c r="I66" s="3">
        <v>881</v>
      </c>
      <c r="J66" s="3"/>
      <c r="K66" s="3">
        <v>-422</v>
      </c>
      <c r="L66" s="3">
        <f>-285-K66</f>
        <v>137</v>
      </c>
      <c r="M66" s="3">
        <v>429</v>
      </c>
      <c r="N66" s="3"/>
      <c r="O66" s="3"/>
      <c r="P66" s="3"/>
      <c r="Q66" s="3"/>
      <c r="R66" s="3"/>
      <c r="S66" s="3"/>
      <c r="T66" s="3">
        <v>-130</v>
      </c>
      <c r="U66" s="3">
        <v>-1124</v>
      </c>
      <c r="V66" s="3">
        <v>-586</v>
      </c>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row>
    <row r="67" spans="2:61" x14ac:dyDescent="0.25">
      <c r="B67" s="4" t="s">
        <v>51</v>
      </c>
      <c r="C67" s="3"/>
      <c r="D67" s="3"/>
      <c r="E67" s="3"/>
      <c r="F67" s="3"/>
      <c r="G67" s="3">
        <v>-1540</v>
      </c>
      <c r="H67" s="3">
        <f>-2116-G67</f>
        <v>-576</v>
      </c>
      <c r="I67" s="3">
        <v>163</v>
      </c>
      <c r="J67" s="3"/>
      <c r="K67" s="3">
        <v>-2697</v>
      </c>
      <c r="L67" s="3">
        <f>-914-K67</f>
        <v>1783</v>
      </c>
      <c r="M67" s="3">
        <v>-193</v>
      </c>
      <c r="N67" s="3"/>
      <c r="O67" s="3"/>
      <c r="P67" s="3"/>
      <c r="Q67" s="3"/>
      <c r="R67" s="3"/>
      <c r="S67" s="3"/>
      <c r="T67" s="3">
        <v>-1709</v>
      </c>
      <c r="U67" s="3">
        <v>-6465</v>
      </c>
      <c r="V67" s="3">
        <v>-1195</v>
      </c>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row>
    <row r="68" spans="2:61" x14ac:dyDescent="0.25">
      <c r="B68" s="4" t="s">
        <v>52</v>
      </c>
      <c r="C68" s="3"/>
      <c r="D68" s="3"/>
      <c r="E68" s="3"/>
      <c r="F68" s="3"/>
      <c r="G68" s="3">
        <v>-675</v>
      </c>
      <c r="H68" s="3">
        <f>-1387-G68</f>
        <v>-712</v>
      </c>
      <c r="I68" s="3">
        <v>-471</v>
      </c>
      <c r="J68" s="3"/>
      <c r="K68" s="3">
        <v>-12</v>
      </c>
      <c r="L68" s="3">
        <f>-49-K68</f>
        <v>-37</v>
      </c>
      <c r="M68" s="3">
        <v>-33</v>
      </c>
      <c r="N68" s="3"/>
      <c r="O68" s="3"/>
      <c r="P68" s="3"/>
      <c r="Q68" s="3"/>
      <c r="R68" s="3"/>
      <c r="S68" s="3"/>
      <c r="T68" s="3">
        <v>-2114</v>
      </c>
      <c r="U68" s="3">
        <v>-1570</v>
      </c>
      <c r="V68" s="3">
        <v>-1952</v>
      </c>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row>
    <row r="69" spans="2:61" x14ac:dyDescent="0.25">
      <c r="B69" s="4" t="s">
        <v>53</v>
      </c>
      <c r="C69" s="3"/>
      <c r="D69" s="3"/>
      <c r="E69" s="3"/>
      <c r="F69" s="3"/>
      <c r="G69" s="3">
        <v>-737</v>
      </c>
      <c r="H69" s="3">
        <f>-1631-G69</f>
        <v>-894</v>
      </c>
      <c r="I69" s="3">
        <v>-361</v>
      </c>
      <c r="J69" s="3"/>
      <c r="K69" s="3">
        <v>-972</v>
      </c>
      <c r="L69" s="3">
        <f>-1630-K69</f>
        <v>-658</v>
      </c>
      <c r="M69" s="3">
        <v>-1009</v>
      </c>
      <c r="N69" s="3"/>
      <c r="O69" s="3"/>
      <c r="P69" s="3"/>
      <c r="Q69" s="3"/>
      <c r="R69" s="3"/>
      <c r="S69" s="3"/>
      <c r="T69" s="3">
        <v>-1540</v>
      </c>
      <c r="U69" s="3">
        <v>-3713</v>
      </c>
      <c r="V69" s="3">
        <v>-2652</v>
      </c>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row>
    <row r="70" spans="2:61" x14ac:dyDescent="0.25">
      <c r="B70" s="19" t="s">
        <v>106</v>
      </c>
      <c r="C70" s="3"/>
      <c r="D70" s="3"/>
      <c r="E70" s="3"/>
      <c r="F70" s="3"/>
      <c r="G70" s="3">
        <v>1403</v>
      </c>
      <c r="H70" s="3">
        <f>2549-G70</f>
        <v>1146</v>
      </c>
      <c r="I70" s="3">
        <v>-627</v>
      </c>
      <c r="J70" s="3"/>
      <c r="K70" s="3">
        <v>1247</v>
      </c>
      <c r="L70" s="3">
        <f>249-K70</f>
        <v>-998</v>
      </c>
      <c r="M70" s="3">
        <v>2255</v>
      </c>
      <c r="N70" s="3"/>
      <c r="O70" s="3"/>
      <c r="P70" s="3"/>
      <c r="Q70" s="3"/>
      <c r="R70" s="3"/>
      <c r="S70" s="3"/>
      <c r="T70" s="3">
        <v>5367</v>
      </c>
      <c r="U70" s="3">
        <v>8029</v>
      </c>
      <c r="V70" s="3">
        <v>2605</v>
      </c>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row>
    <row r="71" spans="2:61" x14ac:dyDescent="0.25">
      <c r="B71" s="4" t="s">
        <v>54</v>
      </c>
      <c r="C71" s="3"/>
      <c r="D71" s="3"/>
      <c r="E71" s="3"/>
      <c r="F71" s="3"/>
      <c r="G71" s="3">
        <v>106</v>
      </c>
      <c r="H71" s="3">
        <f>661-G71</f>
        <v>555</v>
      </c>
      <c r="I71" s="3">
        <v>113</v>
      </c>
      <c r="J71" s="3"/>
      <c r="K71" s="3">
        <v>195</v>
      </c>
      <c r="L71" s="3">
        <f>106-K71</f>
        <v>-89</v>
      </c>
      <c r="M71" s="3">
        <v>125</v>
      </c>
      <c r="N71" s="3"/>
      <c r="O71" s="3"/>
      <c r="P71" s="3"/>
      <c r="Q71" s="3"/>
      <c r="R71" s="3"/>
      <c r="S71" s="3"/>
      <c r="T71" s="3">
        <v>793</v>
      </c>
      <c r="U71" s="3">
        <v>1131</v>
      </c>
      <c r="V71" s="3">
        <v>1532</v>
      </c>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row>
    <row r="72" spans="2:61" x14ac:dyDescent="0.25">
      <c r="B72" s="19" t="s">
        <v>107</v>
      </c>
      <c r="C72" s="3"/>
      <c r="D72" s="3"/>
      <c r="E72" s="3"/>
      <c r="F72" s="3"/>
      <c r="G72" s="3">
        <f>SUM(G58:G71)</f>
        <v>2513</v>
      </c>
      <c r="H72" s="3">
        <f>SUM(H58:H71)</f>
        <v>3065</v>
      </c>
      <c r="I72" s="3">
        <f>SUM(I58:I71)</f>
        <v>3308</v>
      </c>
      <c r="J72" s="3"/>
      <c r="K72" s="3">
        <f>SUM(K58:K71)</f>
        <v>242</v>
      </c>
      <c r="L72" s="3">
        <f>SUM(L58:L71)</f>
        <v>3612</v>
      </c>
      <c r="M72" s="3">
        <f>SUM(M58:M71)</f>
        <v>6255</v>
      </c>
      <c r="N72" s="3"/>
      <c r="O72" s="3"/>
      <c r="P72" s="3"/>
      <c r="Q72" s="3"/>
      <c r="R72" s="3"/>
      <c r="S72" s="3"/>
      <c r="T72" s="3">
        <f>SUM(T58:T71)</f>
        <v>11846.388696088259</v>
      </c>
      <c r="U72" s="3">
        <f>SUM(U58:U71)</f>
        <v>15078.901577626384</v>
      </c>
      <c r="V72" s="3">
        <f>SUM(V58:V71)</f>
        <v>13494.263873113334</v>
      </c>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row>
    <row r="73" spans="2:61" x14ac:dyDescent="0.25">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row>
    <row r="74" spans="2:61" x14ac:dyDescent="0.25">
      <c r="B74" s="19" t="s">
        <v>110</v>
      </c>
      <c r="C74" s="3"/>
      <c r="D74" s="3"/>
      <c r="E74" s="3"/>
      <c r="F74" s="3"/>
      <c r="G74" s="3">
        <v>-2072</v>
      </c>
      <c r="H74" s="3">
        <f>-4132-G74</f>
        <v>-2060</v>
      </c>
      <c r="I74" s="3">
        <v>-2460</v>
      </c>
      <c r="J74" s="3"/>
      <c r="K74" s="3">
        <v>-2773</v>
      </c>
      <c r="L74" s="3">
        <f>-5043-K74</f>
        <v>-2270</v>
      </c>
      <c r="M74" s="3">
        <v>-3513</v>
      </c>
      <c r="N74" s="3"/>
      <c r="O74" s="3"/>
      <c r="P74" s="3"/>
      <c r="Q74" s="3"/>
      <c r="R74" s="3"/>
      <c r="S74" s="3"/>
      <c r="T74" s="3">
        <v>-6482</v>
      </c>
      <c r="U74" s="3">
        <v>-7158</v>
      </c>
      <c r="V74" s="3">
        <v>-8898</v>
      </c>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row>
    <row r="75" spans="2:61" x14ac:dyDescent="0.25">
      <c r="B75" s="19" t="s">
        <v>111</v>
      </c>
      <c r="C75" s="3"/>
      <c r="D75" s="3"/>
      <c r="E75" s="3"/>
      <c r="F75" s="3"/>
      <c r="G75" s="3">
        <v>-1</v>
      </c>
      <c r="H75" s="3">
        <f>-1-G75</f>
        <v>0</v>
      </c>
      <c r="I75" s="3">
        <v>1</v>
      </c>
      <c r="J75" s="3"/>
      <c r="K75" s="3">
        <v>-4</v>
      </c>
      <c r="L75" s="3">
        <f>-6-K75</f>
        <v>-2</v>
      </c>
      <c r="M75" s="3">
        <v>0</v>
      </c>
      <c r="N75" s="3"/>
      <c r="O75" s="3"/>
      <c r="P75" s="3"/>
      <c r="Q75" s="3"/>
      <c r="R75" s="3"/>
      <c r="S75" s="3"/>
      <c r="T75" s="3">
        <v>-32</v>
      </c>
      <c r="U75" s="3">
        <v>-5</v>
      </c>
      <c r="V75" s="3">
        <v>-1</v>
      </c>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row>
    <row r="76" spans="2:61" x14ac:dyDescent="0.25">
      <c r="B76" s="19" t="s">
        <v>105</v>
      </c>
      <c r="C76" s="3"/>
      <c r="D76" s="3"/>
      <c r="E76" s="3"/>
      <c r="F76" s="3"/>
      <c r="G76" s="3" t="s">
        <v>45</v>
      </c>
      <c r="H76" s="3" t="s">
        <v>45</v>
      </c>
      <c r="I76" s="3">
        <v>0</v>
      </c>
      <c r="J76" s="3"/>
      <c r="K76" s="3" t="s">
        <v>45</v>
      </c>
      <c r="L76" s="3" t="s">
        <v>45</v>
      </c>
      <c r="M76" s="3">
        <v>0</v>
      </c>
      <c r="N76" s="3"/>
      <c r="O76" s="3"/>
      <c r="P76" s="3"/>
      <c r="Q76" s="3"/>
      <c r="R76" s="3"/>
      <c r="S76" s="3"/>
      <c r="T76" s="3">
        <v>-1500</v>
      </c>
      <c r="U76" s="3" t="s">
        <v>45</v>
      </c>
      <c r="V76" s="3" t="s">
        <v>45</v>
      </c>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row>
    <row r="77" spans="2:61" x14ac:dyDescent="0.25">
      <c r="B77" s="19" t="s">
        <v>112</v>
      </c>
      <c r="C77" s="3"/>
      <c r="D77" s="3"/>
      <c r="E77" s="3"/>
      <c r="F77" s="3"/>
      <c r="G77" s="3" t="s">
        <v>45</v>
      </c>
      <c r="H77" s="3" t="s">
        <v>45</v>
      </c>
      <c r="I77" s="3">
        <v>0</v>
      </c>
      <c r="J77" s="3"/>
      <c r="K77" s="3" t="s">
        <v>45</v>
      </c>
      <c r="L77" s="3" t="s">
        <v>45</v>
      </c>
      <c r="M77" s="3">
        <v>0</v>
      </c>
      <c r="N77" s="3"/>
      <c r="O77" s="3"/>
      <c r="P77" s="3"/>
      <c r="Q77" s="3"/>
      <c r="R77" s="3"/>
      <c r="S77" s="3"/>
      <c r="T77" s="3">
        <v>272</v>
      </c>
      <c r="U77" s="3">
        <v>936</v>
      </c>
      <c r="V77" s="3" t="s">
        <v>45</v>
      </c>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row>
    <row r="78" spans="2:61" x14ac:dyDescent="0.25">
      <c r="B78" s="19" t="s">
        <v>113</v>
      </c>
      <c r="C78" s="3"/>
      <c r="D78" s="3"/>
      <c r="E78" s="3"/>
      <c r="F78" s="3"/>
      <c r="G78" s="3" t="s">
        <v>45</v>
      </c>
      <c r="H78" s="3" t="s">
        <v>45</v>
      </c>
      <c r="I78" s="3">
        <v>0</v>
      </c>
      <c r="J78" s="3"/>
      <c r="K78" s="3" t="s">
        <v>45</v>
      </c>
      <c r="L78" s="3" t="s">
        <v>45</v>
      </c>
      <c r="M78" s="3">
        <v>0</v>
      </c>
      <c r="N78" s="3"/>
      <c r="O78" s="3"/>
      <c r="P78" s="3"/>
      <c r="Q78" s="3"/>
      <c r="R78" s="3"/>
      <c r="S78" s="3"/>
      <c r="T78" s="3" t="s">
        <v>45</v>
      </c>
      <c r="U78" s="3">
        <v>-9</v>
      </c>
      <c r="V78" s="3" t="s">
        <v>45</v>
      </c>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row>
    <row r="79" spans="2:61" x14ac:dyDescent="0.25">
      <c r="B79" s="19" t="s">
        <v>114</v>
      </c>
      <c r="C79" s="3"/>
      <c r="D79" s="3"/>
      <c r="E79" s="3"/>
      <c r="F79" s="3"/>
      <c r="G79" s="3">
        <v>-2015</v>
      </c>
      <c r="H79" s="3">
        <f>-7090-G79</f>
        <v>-5075</v>
      </c>
      <c r="I79" s="3">
        <v>-6131</v>
      </c>
      <c r="J79" s="3"/>
      <c r="K79" s="3">
        <v>-6622</v>
      </c>
      <c r="L79" s="3">
        <f>-14765-K79</f>
        <v>-8143</v>
      </c>
      <c r="M79" s="3">
        <v>-6032</v>
      </c>
      <c r="N79" s="3"/>
      <c r="O79" s="3"/>
      <c r="P79" s="3"/>
      <c r="Q79" s="3"/>
      <c r="R79" s="3"/>
      <c r="S79" s="3"/>
      <c r="T79" s="3">
        <v>-132</v>
      </c>
      <c r="U79" s="3">
        <v>-5835</v>
      </c>
      <c r="V79" s="3">
        <v>-19112</v>
      </c>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row>
    <row r="80" spans="2:61" x14ac:dyDescent="0.25">
      <c r="B80" s="19" t="s">
        <v>115</v>
      </c>
      <c r="C80" s="3"/>
      <c r="D80" s="3"/>
      <c r="E80" s="3"/>
      <c r="F80" s="3"/>
      <c r="G80" s="3">
        <v>1604</v>
      </c>
      <c r="H80" s="3">
        <f>5143-G80</f>
        <v>3539</v>
      </c>
      <c r="I80" s="3">
        <v>3816</v>
      </c>
      <c r="J80" s="3"/>
      <c r="K80" s="3">
        <v>4315</v>
      </c>
      <c r="L80" s="3">
        <f>11305-K80</f>
        <v>6990</v>
      </c>
      <c r="M80" s="3">
        <v>6670</v>
      </c>
      <c r="N80" s="3"/>
      <c r="O80" s="3"/>
      <c r="P80" s="3"/>
      <c r="Q80" s="3"/>
      <c r="R80" s="3"/>
      <c r="S80" s="3"/>
      <c r="T80" s="3" t="s">
        <v>45</v>
      </c>
      <c r="U80" s="3">
        <v>22</v>
      </c>
      <c r="V80" s="3">
        <v>12353</v>
      </c>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row>
    <row r="81" spans="2:61" x14ac:dyDescent="0.25">
      <c r="B81" s="19" t="s">
        <v>116</v>
      </c>
      <c r="C81" s="3"/>
      <c r="D81" s="3"/>
      <c r="E81" s="3"/>
      <c r="F81" s="3"/>
      <c r="G81" s="3" t="s">
        <v>45</v>
      </c>
      <c r="H81" s="3">
        <v>138</v>
      </c>
      <c r="I81" s="3">
        <v>0</v>
      </c>
      <c r="J81" s="3"/>
      <c r="K81" s="3" t="s">
        <v>45</v>
      </c>
      <c r="L81" s="3">
        <v>200</v>
      </c>
      <c r="M81" s="3">
        <v>0</v>
      </c>
      <c r="N81" s="3"/>
      <c r="O81" s="3"/>
      <c r="P81" s="3"/>
      <c r="Q81" s="3"/>
      <c r="R81" s="3"/>
      <c r="S81" s="3"/>
      <c r="T81" s="3" t="s">
        <v>45</v>
      </c>
      <c r="U81" s="3" t="s">
        <v>45</v>
      </c>
      <c r="V81" s="3">
        <v>138</v>
      </c>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row>
    <row r="82" spans="2:61" x14ac:dyDescent="0.25">
      <c r="B82" s="19" t="s">
        <v>117</v>
      </c>
      <c r="C82" s="3"/>
      <c r="D82" s="3"/>
      <c r="E82" s="3"/>
      <c r="F82" s="3"/>
      <c r="G82" s="3" t="s">
        <v>45</v>
      </c>
      <c r="H82" s="3" t="s">
        <v>45</v>
      </c>
      <c r="I82" s="3">
        <v>0</v>
      </c>
      <c r="J82" s="3"/>
      <c r="K82" s="3" t="s">
        <v>45</v>
      </c>
      <c r="L82" s="3" t="s">
        <v>45</v>
      </c>
      <c r="M82" s="3">
        <v>0</v>
      </c>
      <c r="N82" s="3"/>
      <c r="O82" s="3"/>
      <c r="P82" s="3"/>
      <c r="Q82" s="3"/>
      <c r="R82" s="3"/>
      <c r="S82" s="3"/>
      <c r="T82" s="3">
        <v>6</v>
      </c>
      <c r="U82" s="3">
        <v>76</v>
      </c>
      <c r="V82" s="3" t="s">
        <v>45</v>
      </c>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row>
    <row r="83" spans="2:61" x14ac:dyDescent="0.25">
      <c r="B83" s="19" t="s">
        <v>118</v>
      </c>
      <c r="C83" s="3"/>
      <c r="D83" s="3"/>
      <c r="E83" s="3"/>
      <c r="F83" s="3"/>
      <c r="G83" s="3" t="s">
        <v>45</v>
      </c>
      <c r="H83" s="3">
        <v>-76</v>
      </c>
      <c r="I83" s="3">
        <v>12</v>
      </c>
      <c r="J83" s="3"/>
      <c r="K83" s="3" t="s">
        <v>45</v>
      </c>
      <c r="L83" s="3" t="s">
        <v>45</v>
      </c>
      <c r="M83" s="3">
        <v>0</v>
      </c>
      <c r="N83" s="3"/>
      <c r="O83" s="3"/>
      <c r="P83" s="3"/>
      <c r="Q83" s="3"/>
      <c r="R83" s="3"/>
      <c r="S83" s="3"/>
      <c r="T83" s="3" t="s">
        <v>45</v>
      </c>
      <c r="U83" s="3" t="s">
        <v>45</v>
      </c>
      <c r="V83" s="3">
        <v>-64</v>
      </c>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row>
    <row r="84" spans="2:61" x14ac:dyDescent="0.25">
      <c r="B84" s="19" t="s">
        <v>108</v>
      </c>
      <c r="C84" s="3"/>
      <c r="D84" s="3"/>
      <c r="E84" s="3"/>
      <c r="F84" s="3"/>
      <c r="G84" s="3">
        <f>SUM(G74:G83)</f>
        <v>-2484</v>
      </c>
      <c r="H84" s="3">
        <f>SUM(H74:H83)</f>
        <v>-3534</v>
      </c>
      <c r="I84" s="3">
        <f>SUM(I74:I83)</f>
        <v>-4762</v>
      </c>
      <c r="J84" s="3"/>
      <c r="K84" s="3">
        <f>SUM(K74:K83)</f>
        <v>-5084</v>
      </c>
      <c r="L84" s="3">
        <f>SUM(L74:L83)</f>
        <v>-3225</v>
      </c>
      <c r="M84" s="3">
        <f>SUM(M74:M83)</f>
        <v>-2875</v>
      </c>
      <c r="N84" s="3"/>
      <c r="O84" s="3"/>
      <c r="P84" s="3"/>
      <c r="Q84" s="3"/>
      <c r="R84" s="3"/>
      <c r="S84" s="3"/>
      <c r="T84" s="3">
        <f>SUM(T74:T83)</f>
        <v>-7868</v>
      </c>
      <c r="U84" s="3">
        <f>SUM(U74:U83)</f>
        <v>-11973</v>
      </c>
      <c r="V84" s="3">
        <f>SUM(V74:V83)</f>
        <v>-15584</v>
      </c>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row>
    <row r="85" spans="2:61" x14ac:dyDescent="0.25">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row>
    <row r="86" spans="2:61" x14ac:dyDescent="0.25">
      <c r="B86" s="19" t="s">
        <v>119</v>
      </c>
      <c r="C86" s="3"/>
      <c r="D86" s="3"/>
      <c r="E86" s="3"/>
      <c r="F86" s="3"/>
      <c r="G86" s="3" t="s">
        <v>45</v>
      </c>
      <c r="H86" s="3" t="s">
        <v>45</v>
      </c>
      <c r="I86" s="3">
        <v>2526</v>
      </c>
      <c r="J86" s="3"/>
      <c r="K86" s="3">
        <v>776</v>
      </c>
      <c r="L86" s="3">
        <f>3895-K86</f>
        <v>3119</v>
      </c>
      <c r="M86" s="3">
        <v>465</v>
      </c>
      <c r="N86" s="3"/>
      <c r="O86" s="3"/>
      <c r="P86" s="3"/>
      <c r="Q86" s="3"/>
      <c r="R86" s="3"/>
      <c r="S86" s="3"/>
      <c r="T86" s="3">
        <v>8883</v>
      </c>
      <c r="U86" s="3" t="s">
        <v>45</v>
      </c>
      <c r="V86" s="3">
        <v>3931</v>
      </c>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row>
    <row r="87" spans="2:61" x14ac:dyDescent="0.25">
      <c r="B87" s="19" t="s">
        <v>120</v>
      </c>
      <c r="C87" s="3"/>
      <c r="D87" s="3"/>
      <c r="E87" s="3"/>
      <c r="F87" s="3"/>
      <c r="G87" s="3">
        <v>-302</v>
      </c>
      <c r="H87" s="3">
        <f>-543-G87</f>
        <v>-241</v>
      </c>
      <c r="I87" s="3">
        <v>-344</v>
      </c>
      <c r="J87" s="3"/>
      <c r="K87" s="3">
        <v>-591</v>
      </c>
      <c r="L87" s="3">
        <f>-1222-K87</f>
        <v>-631</v>
      </c>
      <c r="M87" s="3">
        <v>-561</v>
      </c>
      <c r="N87" s="3"/>
      <c r="O87" s="3"/>
      <c r="P87" s="3"/>
      <c r="Q87" s="3"/>
      <c r="R87" s="3"/>
      <c r="S87" s="3"/>
      <c r="T87" s="3">
        <v>-14167</v>
      </c>
      <c r="U87" s="3">
        <v>-3364</v>
      </c>
      <c r="V87" s="3">
        <v>-1351</v>
      </c>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row>
    <row r="88" spans="2:61" x14ac:dyDescent="0.25">
      <c r="B88" s="19" t="s">
        <v>121</v>
      </c>
      <c r="C88" s="3"/>
      <c r="D88" s="3"/>
      <c r="E88" s="3"/>
      <c r="F88" s="3"/>
      <c r="G88" s="3" t="s">
        <v>45</v>
      </c>
      <c r="H88" s="3" t="s">
        <v>45</v>
      </c>
      <c r="I88" s="3">
        <v>0</v>
      </c>
      <c r="J88" s="3"/>
      <c r="K88" s="3" t="s">
        <v>45</v>
      </c>
      <c r="L88" s="3" t="s">
        <v>45</v>
      </c>
      <c r="M88" s="3">
        <v>0</v>
      </c>
      <c r="N88" s="3"/>
      <c r="O88" s="3"/>
      <c r="P88" s="3"/>
      <c r="Q88" s="3"/>
      <c r="R88" s="3"/>
      <c r="S88" s="3"/>
      <c r="T88" s="3">
        <v>-9</v>
      </c>
      <c r="U88" s="3" t="s">
        <v>45</v>
      </c>
      <c r="V88" s="3" t="s">
        <v>45</v>
      </c>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row>
    <row r="89" spans="2:61" x14ac:dyDescent="0.25">
      <c r="B89" s="19" t="s">
        <v>122</v>
      </c>
      <c r="C89" s="3"/>
      <c r="D89" s="3"/>
      <c r="E89" s="3"/>
      <c r="F89" s="3"/>
      <c r="G89" s="3">
        <v>231</v>
      </c>
      <c r="H89" s="3">
        <f>294-G89</f>
        <v>63</v>
      </c>
      <c r="I89" s="3">
        <v>254</v>
      </c>
      <c r="J89" s="3"/>
      <c r="K89" s="3">
        <v>251</v>
      </c>
      <c r="L89" s="3">
        <f>448-K89</f>
        <v>197</v>
      </c>
      <c r="M89" s="3">
        <v>340</v>
      </c>
      <c r="N89" s="3"/>
      <c r="O89" s="3"/>
      <c r="P89" s="3"/>
      <c r="Q89" s="3"/>
      <c r="R89" s="3"/>
      <c r="S89" s="3"/>
      <c r="T89" s="3">
        <v>707</v>
      </c>
      <c r="U89" s="3">
        <v>541</v>
      </c>
      <c r="V89" s="3">
        <v>700</v>
      </c>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row>
    <row r="90" spans="2:61" x14ac:dyDescent="0.25">
      <c r="B90" s="19" t="s">
        <v>123</v>
      </c>
      <c r="C90" s="3"/>
      <c r="D90" s="3"/>
      <c r="E90" s="3"/>
      <c r="F90" s="3"/>
      <c r="G90" s="3">
        <v>-106</v>
      </c>
      <c r="H90" s="3">
        <f>-222-G90</f>
        <v>-116</v>
      </c>
      <c r="I90" s="3">
        <v>-118</v>
      </c>
      <c r="J90" s="3"/>
      <c r="K90" s="3">
        <v>-106</v>
      </c>
      <c r="L90" s="3">
        <f>-206-K90</f>
        <v>-100</v>
      </c>
      <c r="M90" s="3">
        <v>-85</v>
      </c>
      <c r="N90" s="3"/>
      <c r="O90" s="3"/>
      <c r="P90" s="3"/>
      <c r="Q90" s="3"/>
      <c r="R90" s="3"/>
      <c r="S90" s="3"/>
      <c r="T90" s="3">
        <v>-439</v>
      </c>
      <c r="U90" s="3">
        <v>-502</v>
      </c>
      <c r="V90" s="3">
        <v>-464</v>
      </c>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row>
    <row r="91" spans="2:61" x14ac:dyDescent="0.25">
      <c r="B91" s="4" t="s">
        <v>92</v>
      </c>
      <c r="C91" s="3"/>
      <c r="D91" s="3"/>
      <c r="E91" s="3"/>
      <c r="F91" s="3"/>
      <c r="G91" s="3">
        <v>-13</v>
      </c>
      <c r="H91" s="3">
        <f>-13-G91</f>
        <v>0</v>
      </c>
      <c r="I91" s="3">
        <v>-10</v>
      </c>
      <c r="J91" s="3"/>
      <c r="K91" s="3">
        <v>-3</v>
      </c>
      <c r="L91" s="3">
        <f>-5-K91</f>
        <v>-2</v>
      </c>
      <c r="M91" s="3">
        <v>-1</v>
      </c>
      <c r="N91" s="3"/>
      <c r="O91" s="3"/>
      <c r="P91" s="3"/>
      <c r="Q91" s="3"/>
      <c r="R91" s="3"/>
      <c r="S91" s="3"/>
      <c r="T91" s="3">
        <v>-9</v>
      </c>
      <c r="U91" s="3" t="s">
        <v>45</v>
      </c>
      <c r="V91" s="3">
        <v>-29</v>
      </c>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row>
    <row r="92" spans="2:61" x14ac:dyDescent="0.25">
      <c r="B92" s="19" t="s">
        <v>114</v>
      </c>
      <c r="C92" s="3"/>
      <c r="D92" s="3"/>
      <c r="E92" s="3"/>
      <c r="F92" s="3"/>
      <c r="G92" s="3" t="s">
        <v>45</v>
      </c>
      <c r="H92" s="3" t="s">
        <v>45</v>
      </c>
      <c r="I92" s="3">
        <v>0</v>
      </c>
      <c r="J92" s="3"/>
      <c r="K92" s="3" t="s">
        <v>45</v>
      </c>
      <c r="L92" s="3" t="s">
        <v>45</v>
      </c>
      <c r="M92" s="3">
        <v>0</v>
      </c>
      <c r="N92" s="3"/>
      <c r="O92" s="3"/>
      <c r="P92" s="3"/>
      <c r="Q92" s="3"/>
      <c r="R92" s="3"/>
      <c r="S92" s="3"/>
      <c r="T92" s="3">
        <v>2</v>
      </c>
      <c r="U92" s="3" t="s">
        <v>45</v>
      </c>
      <c r="V92" s="3" t="s">
        <v>45</v>
      </c>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row>
    <row r="93" spans="2:61" x14ac:dyDescent="0.25">
      <c r="B93" s="19" t="s">
        <v>124</v>
      </c>
      <c r="C93" s="3"/>
      <c r="D93" s="3"/>
      <c r="E93" s="3"/>
      <c r="F93" s="3"/>
      <c r="G93" s="3">
        <v>-36</v>
      </c>
      <c r="H93" s="3">
        <f>-67-G93</f>
        <v>-31</v>
      </c>
      <c r="I93" s="3">
        <v>-38</v>
      </c>
      <c r="J93" s="3"/>
      <c r="K93" s="3">
        <v>-30</v>
      </c>
      <c r="L93" s="3">
        <f>-50-K93</f>
        <v>-20</v>
      </c>
      <c r="M93" s="3">
        <v>-26</v>
      </c>
      <c r="N93" s="3"/>
      <c r="O93" s="3"/>
      <c r="P93" s="3"/>
      <c r="Q93" s="3"/>
      <c r="R93" s="3"/>
      <c r="S93" s="3"/>
      <c r="T93" s="3">
        <v>-161</v>
      </c>
      <c r="U93" s="3">
        <v>-157</v>
      </c>
      <c r="V93" s="3">
        <v>-144</v>
      </c>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row>
    <row r="94" spans="2:61" x14ac:dyDescent="0.25">
      <c r="B94" s="19" t="s">
        <v>125</v>
      </c>
      <c r="C94" s="3"/>
      <c r="D94" s="3"/>
      <c r="E94" s="3"/>
      <c r="F94" s="3"/>
      <c r="G94" s="3">
        <v>-7</v>
      </c>
      <c r="H94" s="3">
        <f>-10-G94</f>
        <v>-3</v>
      </c>
      <c r="I94" s="3">
        <v>-7</v>
      </c>
      <c r="J94" s="3"/>
      <c r="K94" s="3">
        <v>-101</v>
      </c>
      <c r="L94" s="3">
        <f>-124-K94</f>
        <v>-23</v>
      </c>
      <c r="M94" s="3">
        <v>0</v>
      </c>
      <c r="N94" s="3"/>
      <c r="O94" s="3"/>
      <c r="P94" s="3"/>
      <c r="Q94" s="3"/>
      <c r="R94" s="3"/>
      <c r="S94" s="3"/>
      <c r="T94" s="3">
        <v>-10</v>
      </c>
      <c r="U94" s="3">
        <v>-45</v>
      </c>
      <c r="V94" s="3">
        <v>-54</v>
      </c>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row>
    <row r="95" spans="2:61" x14ac:dyDescent="0.25">
      <c r="B95" s="19" t="s">
        <v>126</v>
      </c>
      <c r="C95" s="3"/>
      <c r="D95" s="3"/>
      <c r="E95" s="3"/>
      <c r="F95" s="3"/>
      <c r="G95" s="3">
        <f>SUM(G86:G94)</f>
        <v>-233</v>
      </c>
      <c r="H95" s="3">
        <f>SUM(H86:H94)</f>
        <v>-328</v>
      </c>
      <c r="I95" s="3">
        <f>SUM(I86:I94)</f>
        <v>2263</v>
      </c>
      <c r="J95" s="3"/>
      <c r="K95" s="3">
        <f>SUM(K86:K94)</f>
        <v>196</v>
      </c>
      <c r="L95" s="3">
        <f>SUM(L86:L94)</f>
        <v>2540</v>
      </c>
      <c r="M95" s="3">
        <f>SUM(M86:M94)</f>
        <v>132</v>
      </c>
      <c r="N95" s="3"/>
      <c r="O95" s="3"/>
      <c r="P95" s="3"/>
      <c r="Q95" s="3"/>
      <c r="R95" s="3"/>
      <c r="S95" s="3"/>
      <c r="T95" s="3">
        <f>SUM(T86:T94)</f>
        <v>-5203</v>
      </c>
      <c r="U95" s="3">
        <f>SUM(U86:U94)</f>
        <v>-3527</v>
      </c>
      <c r="V95" s="3">
        <f>SUM(V86:V94)</f>
        <v>2589</v>
      </c>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row>
    <row r="96" spans="2:61" x14ac:dyDescent="0.25">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row>
    <row r="97" spans="2:61" x14ac:dyDescent="0.25">
      <c r="B97" s="19" t="s">
        <v>103</v>
      </c>
      <c r="C97" s="3"/>
      <c r="D97" s="3"/>
      <c r="E97" s="3"/>
      <c r="F97" s="3"/>
      <c r="G97" s="3">
        <v>50</v>
      </c>
      <c r="H97" s="3">
        <f>-44-G97</f>
        <v>-94</v>
      </c>
      <c r="I97" s="3">
        <f>-142-H97-G97</f>
        <v>-98</v>
      </c>
      <c r="J97" s="3"/>
      <c r="K97" s="3">
        <v>-79</v>
      </c>
      <c r="L97" s="3">
        <f>-116-K97</f>
        <v>-37</v>
      </c>
      <c r="M97" s="3">
        <f>-8-L97-K97</f>
        <v>108</v>
      </c>
      <c r="N97" s="3"/>
      <c r="O97" s="3"/>
      <c r="P97" s="3"/>
      <c r="Q97" s="3"/>
      <c r="R97" s="3"/>
      <c r="S97" s="3"/>
      <c r="T97" s="3">
        <v>-183</v>
      </c>
      <c r="U97" s="3">
        <v>-444</v>
      </c>
      <c r="V97" s="3">
        <v>4</v>
      </c>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row>
    <row r="98" spans="2:61" x14ac:dyDescent="0.25">
      <c r="B98" s="19" t="s">
        <v>127</v>
      </c>
      <c r="C98" s="3"/>
      <c r="D98" s="3"/>
      <c r="E98" s="3"/>
      <c r="F98" s="3"/>
      <c r="G98" s="3">
        <f>G97+G95+G84+G72</f>
        <v>-154</v>
      </c>
      <c r="H98" s="3">
        <f>H97+H95+H84+H72</f>
        <v>-891</v>
      </c>
      <c r="I98" s="3">
        <f>I97+I95+I84+I72</f>
        <v>711</v>
      </c>
      <c r="J98" s="3"/>
      <c r="K98" s="3">
        <f>K97+K95+K84+K72</f>
        <v>-4725</v>
      </c>
      <c r="L98" s="3">
        <f>L97+L95+L84+L72</f>
        <v>2890</v>
      </c>
      <c r="M98" s="3">
        <f>M97+M95+M84+M72</f>
        <v>3620</v>
      </c>
      <c r="N98" s="3"/>
      <c r="O98" s="3"/>
      <c r="P98" s="3"/>
      <c r="Q98" s="3"/>
      <c r="R98" s="3"/>
      <c r="S98" s="3"/>
      <c r="T98" s="3">
        <f>T97+T95+T84+T72</f>
        <v>-1407.6113039117408</v>
      </c>
      <c r="U98" s="3">
        <f>U97+U95+U84+U72</f>
        <v>-865.0984223736159</v>
      </c>
      <c r="V98" s="3">
        <f>V97+V95+V84+V72</f>
        <v>503.26387311333383</v>
      </c>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row>
    <row r="99" spans="2:61" x14ac:dyDescent="0.25">
      <c r="B99" s="19" t="s">
        <v>128</v>
      </c>
      <c r="C99" s="3"/>
      <c r="D99" s="3"/>
      <c r="E99" s="3"/>
      <c r="F99" s="3"/>
      <c r="G99" s="3">
        <v>16924</v>
      </c>
      <c r="H99" s="3">
        <v>16770</v>
      </c>
      <c r="I99" s="3">
        <v>15879</v>
      </c>
      <c r="J99" s="3"/>
      <c r="K99" s="3">
        <v>17189</v>
      </c>
      <c r="L99" s="3">
        <v>12464</v>
      </c>
      <c r="M99" s="3">
        <v>15354</v>
      </c>
      <c r="N99" s="3"/>
      <c r="O99" s="3"/>
      <c r="P99" s="3"/>
      <c r="Q99" s="3"/>
      <c r="R99" s="3"/>
      <c r="S99" s="3"/>
      <c r="T99" s="3">
        <v>19901</v>
      </c>
      <c r="U99" s="3">
        <v>18144</v>
      </c>
      <c r="V99" s="3">
        <v>16924</v>
      </c>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row>
    <row r="100" spans="2:61" x14ac:dyDescent="0.25">
      <c r="B100" s="19" t="s">
        <v>129</v>
      </c>
      <c r="C100" s="3"/>
      <c r="D100" s="3"/>
      <c r="E100" s="3"/>
      <c r="F100" s="3"/>
      <c r="G100" s="3">
        <f>G98+G99</f>
        <v>16770</v>
      </c>
      <c r="H100" s="3">
        <f>H98+H99</f>
        <v>15879</v>
      </c>
      <c r="I100" s="3">
        <f>I98+I99</f>
        <v>16590</v>
      </c>
      <c r="J100" s="3"/>
      <c r="K100" s="3">
        <f>K98+K99</f>
        <v>12464</v>
      </c>
      <c r="L100" s="3">
        <f>L98+L99</f>
        <v>15354</v>
      </c>
      <c r="M100" s="3">
        <f>M98+M99</f>
        <v>18974</v>
      </c>
      <c r="N100" s="3"/>
      <c r="O100" s="3"/>
      <c r="P100" s="3"/>
      <c r="Q100" s="3"/>
      <c r="R100" s="3"/>
      <c r="S100" s="3"/>
      <c r="T100" s="3">
        <f>T98+T99</f>
        <v>18493.388696088259</v>
      </c>
      <c r="U100" s="3">
        <f>U98+U99</f>
        <v>17278.901577626384</v>
      </c>
      <c r="V100" s="3">
        <f>V98+V99</f>
        <v>17427.263873113334</v>
      </c>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row>
    <row r="102" spans="2:61" x14ac:dyDescent="0.25">
      <c r="B102" s="4" t="s">
        <v>91</v>
      </c>
      <c r="G102" s="3">
        <f>+G72-SUM(G74:G75)</f>
        <v>4586</v>
      </c>
      <c r="H102" s="3">
        <f>+H72-SUM(H74:H75)</f>
        <v>5125</v>
      </c>
      <c r="I102" s="3">
        <f>+I72-SUM(I74:I75)</f>
        <v>5767</v>
      </c>
      <c r="K102" s="3">
        <f>+K72-SUM(K74:K75)</f>
        <v>3019</v>
      </c>
      <c r="L102" s="3">
        <f>+L72-SUM(L74:L75)</f>
        <v>5884</v>
      </c>
      <c r="M102" s="3">
        <f>+M72-SUM(M74:M75)</f>
        <v>9768</v>
      </c>
      <c r="T102" s="3">
        <f t="shared" ref="T102:V102" si="179">+T72-SUM(T74:T75)</f>
        <v>18360.388696088259</v>
      </c>
      <c r="U102" s="3">
        <f t="shared" si="179"/>
        <v>22241.901577626384</v>
      </c>
      <c r="V102" s="3">
        <f t="shared" si="179"/>
        <v>22393.263873113334</v>
      </c>
    </row>
  </sheetData>
  <phoneticPr fontId="3" type="noConversion"/>
  <hyperlinks>
    <hyperlink ref="A1" location="Main!A1" display="Main" xr:uid="{C1F743AC-6DE4-442C-9BCE-E583ADBAC566}"/>
  </hyperlink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3D4E6-1021-46DC-9597-EE1DFA8D62BD}">
  <dimension ref="B2:DS45"/>
  <sheetViews>
    <sheetView workbookViewId="0">
      <pane xSplit="2" ySplit="2" topLeftCell="C3" activePane="bottomRight" state="frozen"/>
      <selection activeCell="B16" sqref="B16"/>
      <selection pane="topRight" activeCell="B16" sqref="B16"/>
      <selection pane="bottomLeft" activeCell="B16" sqref="B16"/>
      <selection pane="bottomRight" activeCell="C27" sqref="C27"/>
    </sheetView>
  </sheetViews>
  <sheetFormatPr defaultRowHeight="13.2" x14ac:dyDescent="0.25"/>
  <cols>
    <col min="1" max="1" width="5.6640625" style="1" customWidth="1"/>
    <col min="2" max="2" width="37.88671875" style="1" bestFit="1" customWidth="1"/>
    <col min="3" max="4" width="9" style="1" bestFit="1" customWidth="1"/>
    <col min="5" max="5" width="11.109375" style="1" bestFit="1" customWidth="1"/>
    <col min="6" max="6" width="9" style="1" bestFit="1" customWidth="1"/>
    <col min="7" max="9" width="9.88671875" style="1" bestFit="1" customWidth="1"/>
    <col min="10" max="10" width="12.21875" style="1" bestFit="1" customWidth="1"/>
    <col min="11" max="24" width="9.88671875" style="1" bestFit="1" customWidth="1"/>
    <col min="25" max="63" width="11" style="1" bestFit="1" customWidth="1"/>
    <col min="64" max="122" width="12.6640625" style="1" bestFit="1" customWidth="1"/>
    <col min="123" max="16384" width="8.88671875" style="1"/>
  </cols>
  <sheetData>
    <row r="2" spans="2:122" x14ac:dyDescent="0.25">
      <c r="C2" s="1">
        <v>2018</v>
      </c>
      <c r="D2" s="1">
        <f>C2+1</f>
        <v>2019</v>
      </c>
      <c r="E2" s="1">
        <f t="shared" ref="E2:BP2" si="0">D2+1</f>
        <v>2020</v>
      </c>
      <c r="F2" s="1">
        <f t="shared" si="0"/>
        <v>2021</v>
      </c>
      <c r="G2" s="1">
        <f t="shared" si="0"/>
        <v>2022</v>
      </c>
      <c r="H2" s="1">
        <f t="shared" si="0"/>
        <v>2023</v>
      </c>
      <c r="I2" s="1">
        <f t="shared" si="0"/>
        <v>2024</v>
      </c>
      <c r="J2" s="1">
        <f t="shared" si="0"/>
        <v>2025</v>
      </c>
      <c r="K2" s="1">
        <f t="shared" si="0"/>
        <v>2026</v>
      </c>
      <c r="L2" s="1">
        <f t="shared" si="0"/>
        <v>2027</v>
      </c>
      <c r="M2" s="1">
        <f t="shared" si="0"/>
        <v>2028</v>
      </c>
      <c r="N2" s="1">
        <f t="shared" si="0"/>
        <v>2029</v>
      </c>
      <c r="O2" s="1">
        <f t="shared" si="0"/>
        <v>2030</v>
      </c>
      <c r="P2" s="1">
        <f t="shared" si="0"/>
        <v>2031</v>
      </c>
      <c r="Q2" s="1">
        <f t="shared" si="0"/>
        <v>2032</v>
      </c>
      <c r="R2" s="1">
        <f t="shared" si="0"/>
        <v>2033</v>
      </c>
      <c r="S2" s="1">
        <f t="shared" si="0"/>
        <v>2034</v>
      </c>
      <c r="T2" s="1">
        <f t="shared" si="0"/>
        <v>2035</v>
      </c>
      <c r="U2" s="1">
        <f t="shared" si="0"/>
        <v>2036</v>
      </c>
      <c r="V2" s="1">
        <f t="shared" si="0"/>
        <v>2037</v>
      </c>
      <c r="W2" s="1">
        <f t="shared" si="0"/>
        <v>2038</v>
      </c>
      <c r="X2" s="1">
        <f t="shared" si="0"/>
        <v>2039</v>
      </c>
      <c r="Y2" s="1">
        <f t="shared" si="0"/>
        <v>2040</v>
      </c>
      <c r="Z2" s="1">
        <f t="shared" si="0"/>
        <v>2041</v>
      </c>
      <c r="AA2" s="1">
        <f t="shared" si="0"/>
        <v>2042</v>
      </c>
      <c r="AB2" s="1">
        <f t="shared" si="0"/>
        <v>2043</v>
      </c>
      <c r="AC2" s="1">
        <f t="shared" si="0"/>
        <v>2044</v>
      </c>
      <c r="AD2" s="1">
        <f t="shared" si="0"/>
        <v>2045</v>
      </c>
      <c r="AE2" s="1">
        <f t="shared" si="0"/>
        <v>2046</v>
      </c>
      <c r="AF2" s="1">
        <f t="shared" si="0"/>
        <v>2047</v>
      </c>
      <c r="AG2" s="1">
        <f t="shared" si="0"/>
        <v>2048</v>
      </c>
      <c r="AH2" s="1">
        <f t="shared" si="0"/>
        <v>2049</v>
      </c>
      <c r="AI2" s="1">
        <f t="shared" si="0"/>
        <v>2050</v>
      </c>
      <c r="AJ2" s="1">
        <f t="shared" si="0"/>
        <v>2051</v>
      </c>
      <c r="AK2" s="1">
        <f t="shared" si="0"/>
        <v>2052</v>
      </c>
      <c r="AL2" s="1">
        <f t="shared" si="0"/>
        <v>2053</v>
      </c>
      <c r="AM2" s="1">
        <f t="shared" si="0"/>
        <v>2054</v>
      </c>
      <c r="AN2" s="1">
        <f t="shared" si="0"/>
        <v>2055</v>
      </c>
      <c r="AO2" s="1">
        <f t="shared" si="0"/>
        <v>2056</v>
      </c>
      <c r="AP2" s="1">
        <f t="shared" si="0"/>
        <v>2057</v>
      </c>
      <c r="AQ2" s="1">
        <f t="shared" si="0"/>
        <v>2058</v>
      </c>
      <c r="AR2" s="1">
        <f t="shared" si="0"/>
        <v>2059</v>
      </c>
      <c r="AS2" s="1">
        <f t="shared" si="0"/>
        <v>2060</v>
      </c>
      <c r="AT2" s="1">
        <f t="shared" si="0"/>
        <v>2061</v>
      </c>
      <c r="AU2" s="1">
        <f t="shared" si="0"/>
        <v>2062</v>
      </c>
      <c r="AV2" s="1">
        <f t="shared" si="0"/>
        <v>2063</v>
      </c>
      <c r="AW2" s="1">
        <f t="shared" si="0"/>
        <v>2064</v>
      </c>
      <c r="AX2" s="1">
        <f t="shared" si="0"/>
        <v>2065</v>
      </c>
      <c r="AY2" s="1">
        <f t="shared" si="0"/>
        <v>2066</v>
      </c>
      <c r="AZ2" s="1">
        <f t="shared" si="0"/>
        <v>2067</v>
      </c>
      <c r="BA2" s="1">
        <f t="shared" si="0"/>
        <v>2068</v>
      </c>
      <c r="BB2" s="1">
        <f t="shared" si="0"/>
        <v>2069</v>
      </c>
      <c r="BC2" s="1">
        <f t="shared" si="0"/>
        <v>2070</v>
      </c>
      <c r="BD2" s="1">
        <f t="shared" si="0"/>
        <v>2071</v>
      </c>
      <c r="BE2" s="1">
        <f t="shared" si="0"/>
        <v>2072</v>
      </c>
      <c r="BF2" s="1">
        <f t="shared" si="0"/>
        <v>2073</v>
      </c>
      <c r="BG2" s="1">
        <f t="shared" si="0"/>
        <v>2074</v>
      </c>
      <c r="BH2" s="1">
        <f t="shared" si="0"/>
        <v>2075</v>
      </c>
      <c r="BI2" s="1">
        <f t="shared" si="0"/>
        <v>2076</v>
      </c>
      <c r="BJ2" s="1">
        <f t="shared" si="0"/>
        <v>2077</v>
      </c>
      <c r="BK2" s="1">
        <f t="shared" si="0"/>
        <v>2078</v>
      </c>
      <c r="BL2" s="1">
        <f t="shared" si="0"/>
        <v>2079</v>
      </c>
      <c r="BM2" s="1">
        <f t="shared" si="0"/>
        <v>2080</v>
      </c>
      <c r="BN2" s="1">
        <f t="shared" si="0"/>
        <v>2081</v>
      </c>
      <c r="BO2" s="1">
        <f t="shared" si="0"/>
        <v>2082</v>
      </c>
      <c r="BP2" s="1">
        <f t="shared" si="0"/>
        <v>2083</v>
      </c>
      <c r="BQ2" s="1">
        <f t="shared" ref="BQ2:DR2" si="1">BP2+1</f>
        <v>2084</v>
      </c>
      <c r="BR2" s="1">
        <f t="shared" si="1"/>
        <v>2085</v>
      </c>
      <c r="BS2" s="1">
        <f t="shared" si="1"/>
        <v>2086</v>
      </c>
      <c r="BT2" s="1">
        <f t="shared" si="1"/>
        <v>2087</v>
      </c>
      <c r="BU2" s="1">
        <f t="shared" si="1"/>
        <v>2088</v>
      </c>
      <c r="BV2" s="1">
        <f t="shared" si="1"/>
        <v>2089</v>
      </c>
      <c r="BW2" s="1">
        <f t="shared" si="1"/>
        <v>2090</v>
      </c>
      <c r="BX2" s="1">
        <f t="shared" si="1"/>
        <v>2091</v>
      </c>
      <c r="BY2" s="1">
        <f t="shared" si="1"/>
        <v>2092</v>
      </c>
      <c r="BZ2" s="1">
        <f t="shared" si="1"/>
        <v>2093</v>
      </c>
      <c r="CA2" s="1">
        <f t="shared" si="1"/>
        <v>2094</v>
      </c>
      <c r="CB2" s="1">
        <f t="shared" si="1"/>
        <v>2095</v>
      </c>
      <c r="CC2" s="1">
        <f t="shared" si="1"/>
        <v>2096</v>
      </c>
      <c r="CD2" s="1">
        <f t="shared" si="1"/>
        <v>2097</v>
      </c>
      <c r="CE2" s="1">
        <f t="shared" si="1"/>
        <v>2098</v>
      </c>
      <c r="CF2" s="1">
        <f t="shared" si="1"/>
        <v>2099</v>
      </c>
      <c r="CG2" s="1">
        <f t="shared" si="1"/>
        <v>2100</v>
      </c>
      <c r="CH2" s="1">
        <f t="shared" si="1"/>
        <v>2101</v>
      </c>
      <c r="CI2" s="1">
        <f t="shared" si="1"/>
        <v>2102</v>
      </c>
      <c r="CJ2" s="1">
        <f t="shared" si="1"/>
        <v>2103</v>
      </c>
      <c r="CK2" s="1">
        <f t="shared" si="1"/>
        <v>2104</v>
      </c>
      <c r="CL2" s="1">
        <f t="shared" si="1"/>
        <v>2105</v>
      </c>
      <c r="CM2" s="1">
        <f t="shared" si="1"/>
        <v>2106</v>
      </c>
      <c r="CN2" s="1">
        <f t="shared" si="1"/>
        <v>2107</v>
      </c>
      <c r="CO2" s="1">
        <f t="shared" si="1"/>
        <v>2108</v>
      </c>
      <c r="CP2" s="1">
        <f t="shared" si="1"/>
        <v>2109</v>
      </c>
      <c r="CQ2" s="1">
        <f t="shared" si="1"/>
        <v>2110</v>
      </c>
      <c r="CR2" s="1">
        <f t="shared" si="1"/>
        <v>2111</v>
      </c>
      <c r="CS2" s="1">
        <f t="shared" si="1"/>
        <v>2112</v>
      </c>
      <c r="CT2" s="1">
        <f t="shared" si="1"/>
        <v>2113</v>
      </c>
      <c r="CU2" s="1">
        <f t="shared" si="1"/>
        <v>2114</v>
      </c>
      <c r="CV2" s="1">
        <f t="shared" si="1"/>
        <v>2115</v>
      </c>
      <c r="CW2" s="1">
        <f t="shared" si="1"/>
        <v>2116</v>
      </c>
      <c r="CX2" s="1">
        <f t="shared" si="1"/>
        <v>2117</v>
      </c>
      <c r="CY2" s="1">
        <f t="shared" si="1"/>
        <v>2118</v>
      </c>
      <c r="CZ2" s="1">
        <f t="shared" si="1"/>
        <v>2119</v>
      </c>
      <c r="DA2" s="1">
        <f t="shared" si="1"/>
        <v>2120</v>
      </c>
      <c r="DB2" s="1">
        <f t="shared" si="1"/>
        <v>2121</v>
      </c>
      <c r="DC2" s="1">
        <f t="shared" si="1"/>
        <v>2122</v>
      </c>
      <c r="DD2" s="1">
        <f t="shared" si="1"/>
        <v>2123</v>
      </c>
      <c r="DE2" s="1">
        <f t="shared" si="1"/>
        <v>2124</v>
      </c>
      <c r="DF2" s="1">
        <f t="shared" si="1"/>
        <v>2125</v>
      </c>
      <c r="DG2" s="1">
        <f t="shared" si="1"/>
        <v>2126</v>
      </c>
      <c r="DH2" s="1">
        <f t="shared" si="1"/>
        <v>2127</v>
      </c>
      <c r="DI2" s="1">
        <f t="shared" si="1"/>
        <v>2128</v>
      </c>
      <c r="DJ2" s="1">
        <f t="shared" si="1"/>
        <v>2129</v>
      </c>
      <c r="DK2" s="1">
        <f t="shared" si="1"/>
        <v>2130</v>
      </c>
      <c r="DL2" s="1">
        <f t="shared" si="1"/>
        <v>2131</v>
      </c>
      <c r="DM2" s="1">
        <f t="shared" si="1"/>
        <v>2132</v>
      </c>
      <c r="DN2" s="1">
        <f t="shared" si="1"/>
        <v>2133</v>
      </c>
      <c r="DO2" s="1">
        <f t="shared" si="1"/>
        <v>2134</v>
      </c>
      <c r="DP2" s="1">
        <f t="shared" si="1"/>
        <v>2135</v>
      </c>
      <c r="DQ2" s="1">
        <f t="shared" si="1"/>
        <v>2136</v>
      </c>
      <c r="DR2" s="1">
        <f t="shared" si="1"/>
        <v>2137</v>
      </c>
    </row>
    <row r="3" spans="2:122" x14ac:dyDescent="0.25">
      <c r="B3" s="1" t="s">
        <v>78</v>
      </c>
      <c r="D3" s="9" t="e">
        <f>D4/D5</f>
        <v>#DIV/0!</v>
      </c>
      <c r="E3" s="9">
        <f>E4/E5</f>
        <v>660.26490066225165</v>
      </c>
      <c r="F3" s="9">
        <f>F4/F5</f>
        <v>698.99749373433576</v>
      </c>
      <c r="G3" s="9">
        <f>G4/G5</f>
        <v>601.38461538461536</v>
      </c>
      <c r="H3" s="9">
        <f>H4/H5</f>
        <v>409.98641304347825</v>
      </c>
      <c r="I3" s="9">
        <f>FORECAST(I2,F3:H3,F2:H2)</f>
        <v>281.11176002997672</v>
      </c>
    </row>
    <row r="4" spans="2:122" x14ac:dyDescent="0.25">
      <c r="B4" s="1" t="s">
        <v>21</v>
      </c>
      <c r="C4" s="3">
        <v>1555</v>
      </c>
      <c r="D4" s="3">
        <v>1531</v>
      </c>
      <c r="E4" s="3">
        <v>1994</v>
      </c>
      <c r="F4" s="3">
        <v>2789</v>
      </c>
      <c r="G4" s="3">
        <v>3909</v>
      </c>
      <c r="H4" s="3">
        <v>6035</v>
      </c>
    </row>
    <row r="5" spans="2:122" s="6" customFormat="1" x14ac:dyDescent="0.25">
      <c r="B5" s="6" t="s">
        <v>71</v>
      </c>
      <c r="E5" s="6">
        <v>3.02</v>
      </c>
      <c r="F5" s="6">
        <v>3.99</v>
      </c>
      <c r="G5" s="6">
        <v>6.5</v>
      </c>
      <c r="H5" s="6">
        <v>14.72</v>
      </c>
      <c r="I5" s="6">
        <f>FORECAST(I2,F5:H5,F2:H2)</f>
        <v>19.133333333333212</v>
      </c>
      <c r="J5" s="6">
        <f t="shared" ref="J5:BU5" si="2">FORECAST(J2,G5:I5,G2:I2)</f>
        <v>26.084444444442852</v>
      </c>
      <c r="K5" s="6">
        <f t="shared" si="2"/>
        <v>31.343703703701976</v>
      </c>
      <c r="L5" s="6">
        <f t="shared" si="2"/>
        <v>37.730864197528717</v>
      </c>
      <c r="M5" s="6">
        <f t="shared" si="2"/>
        <v>43.366090534977047</v>
      </c>
      <c r="N5" s="6">
        <f t="shared" si="2"/>
        <v>49.502606310010378</v>
      </c>
      <c r="O5" s="6">
        <f t="shared" si="2"/>
        <v>55.304929126654315</v>
      </c>
      <c r="P5" s="6">
        <f t="shared" si="2"/>
        <v>61.330047248893607</v>
      </c>
      <c r="Q5" s="6">
        <f t="shared" si="2"/>
        <v>67.206635167402055</v>
      </c>
      <c r="R5" s="6">
        <f t="shared" si="2"/>
        <v>73.182243221732278</v>
      </c>
      <c r="S5" s="6">
        <f t="shared" si="2"/>
        <v>79.091837852181925</v>
      </c>
      <c r="T5" s="6">
        <f t="shared" si="2"/>
        <v>85.045441431882864</v>
      </c>
      <c r="U5" s="6">
        <f t="shared" si="2"/>
        <v>90.969705712082941</v>
      </c>
      <c r="V5" s="6">
        <f t="shared" si="2"/>
        <v>96.913529525283593</v>
      </c>
      <c r="W5" s="6">
        <f t="shared" si="2"/>
        <v>102.8443136498172</v>
      </c>
      <c r="X5" s="6">
        <f t="shared" si="2"/>
        <v>108.78379090012822</v>
      </c>
      <c r="Y5" s="6">
        <f t="shared" si="2"/>
        <v>114.71747273325491</v>
      </c>
      <c r="Z5" s="6">
        <f t="shared" si="2"/>
        <v>120.65501817783661</v>
      </c>
      <c r="AA5" s="6">
        <f t="shared" si="2"/>
        <v>126.58998788144891</v>
      </c>
      <c r="AB5" s="6">
        <f t="shared" si="2"/>
        <v>132.5266747457099</v>
      </c>
      <c r="AC5" s="6">
        <f t="shared" si="2"/>
        <v>138.4622168362057</v>
      </c>
      <c r="AD5" s="6">
        <f t="shared" si="2"/>
        <v>144.39852210921345</v>
      </c>
      <c r="AE5" s="6">
        <f t="shared" si="2"/>
        <v>150.33431859387929</v>
      </c>
      <c r="AF5" s="6">
        <f t="shared" si="2"/>
        <v>156.27045427077064</v>
      </c>
      <c r="AG5" s="6">
        <f t="shared" si="2"/>
        <v>162.20636381951226</v>
      </c>
      <c r="AH5" s="6">
        <f t="shared" si="2"/>
        <v>168.14242412035128</v>
      </c>
      <c r="AI5" s="6">
        <f t="shared" si="2"/>
        <v>174.07838391979203</v>
      </c>
      <c r="AJ5" s="6">
        <f t="shared" si="2"/>
        <v>180.01441072016496</v>
      </c>
      <c r="AK5" s="6">
        <f t="shared" si="2"/>
        <v>185.95039285325038</v>
      </c>
      <c r="AL5" s="6">
        <f t="shared" si="2"/>
        <v>191.88640476452929</v>
      </c>
      <c r="AM5" s="6">
        <f t="shared" si="2"/>
        <v>197.82239682367981</v>
      </c>
      <c r="AN5" s="6">
        <f t="shared" si="2"/>
        <v>203.75840211758441</v>
      </c>
      <c r="AO5" s="6">
        <f t="shared" si="2"/>
        <v>209.69439858831902</v>
      </c>
      <c r="AP5" s="6">
        <f t="shared" si="2"/>
        <v>215.63040094116877</v>
      </c>
      <c r="AQ5" s="6">
        <f t="shared" si="2"/>
        <v>221.56639937260843</v>
      </c>
      <c r="AR5" s="6">
        <f t="shared" si="2"/>
        <v>227.50240041832149</v>
      </c>
      <c r="AS5" s="6">
        <f t="shared" si="2"/>
        <v>233.43839972118622</v>
      </c>
      <c r="AT5" s="6">
        <f t="shared" si="2"/>
        <v>239.37440018595225</v>
      </c>
      <c r="AU5" s="6">
        <f t="shared" si="2"/>
        <v>245.31039987611803</v>
      </c>
      <c r="AV5" s="6">
        <f t="shared" si="2"/>
        <v>251.2464000826858</v>
      </c>
      <c r="AW5" s="6">
        <f t="shared" si="2"/>
        <v>257.18239994498617</v>
      </c>
      <c r="AX5" s="6">
        <f t="shared" si="2"/>
        <v>263.11840003679936</v>
      </c>
      <c r="AY5" s="6">
        <f t="shared" si="2"/>
        <v>269.05439997560461</v>
      </c>
      <c r="AZ5" s="6">
        <f t="shared" si="2"/>
        <v>274.99040001641333</v>
      </c>
      <c r="BA5" s="6">
        <f t="shared" si="2"/>
        <v>280.92639998921914</v>
      </c>
      <c r="BB5" s="6">
        <f t="shared" si="2"/>
        <v>286.86240000736143</v>
      </c>
      <c r="BC5" s="6">
        <f t="shared" si="2"/>
        <v>292.7983999952794</v>
      </c>
      <c r="BD5" s="6">
        <f t="shared" si="2"/>
        <v>298.73440000334631</v>
      </c>
      <c r="BE5" s="6">
        <f t="shared" si="2"/>
        <v>304.67039999797998</v>
      </c>
      <c r="BF5" s="6">
        <f t="shared" si="2"/>
        <v>310.60640000157036</v>
      </c>
      <c r="BG5" s="6">
        <f t="shared" si="2"/>
        <v>316.542399999189</v>
      </c>
      <c r="BH5" s="6">
        <f t="shared" si="2"/>
        <v>322.47840000078759</v>
      </c>
      <c r="BI5" s="6">
        <f t="shared" si="2"/>
        <v>328.41439999973227</v>
      </c>
      <c r="BJ5" s="6">
        <f t="shared" si="2"/>
        <v>334.35040000044501</v>
      </c>
      <c r="BK5" s="6">
        <f t="shared" si="2"/>
        <v>340.28639999997904</v>
      </c>
      <c r="BL5" s="6">
        <f t="shared" si="2"/>
        <v>346.22240000029888</v>
      </c>
      <c r="BM5" s="6">
        <f t="shared" si="2"/>
        <v>352.15840000009484</v>
      </c>
      <c r="BN5" s="6">
        <f t="shared" si="2"/>
        <v>358.09440000024006</v>
      </c>
      <c r="BO5" s="6">
        <f t="shared" si="2"/>
        <v>364.03040000015244</v>
      </c>
      <c r="BP5" s="6">
        <f t="shared" si="2"/>
        <v>369.96640000021944</v>
      </c>
      <c r="BQ5" s="6">
        <f t="shared" si="2"/>
        <v>375.90240000018275</v>
      </c>
      <c r="BR5" s="6">
        <f t="shared" si="2"/>
        <v>381.83840000021701</v>
      </c>
      <c r="BS5" s="6">
        <f t="shared" si="2"/>
        <v>387.77440000020397</v>
      </c>
      <c r="BT5" s="6">
        <f t="shared" si="2"/>
        <v>393.71040000022185</v>
      </c>
      <c r="BU5" s="6">
        <f t="shared" si="2"/>
        <v>399.64640000021973</v>
      </c>
      <c r="BV5" s="6">
        <f t="shared" ref="BV5:DR5" si="3">FORECAST(BV2,BS5:BU5,BS2:BU2)</f>
        <v>405.58240000023216</v>
      </c>
      <c r="BW5" s="6">
        <f t="shared" si="3"/>
        <v>411.51840000023549</v>
      </c>
      <c r="BX5" s="6">
        <f t="shared" si="3"/>
        <v>417.45440000024246</v>
      </c>
      <c r="BY5" s="6">
        <f t="shared" si="3"/>
        <v>423.39040000024761</v>
      </c>
      <c r="BZ5" s="6">
        <f t="shared" si="3"/>
        <v>429.32640000025276</v>
      </c>
      <c r="CA5" s="6">
        <f t="shared" si="3"/>
        <v>435.26240000025791</v>
      </c>
      <c r="CB5" s="6">
        <f t="shared" si="3"/>
        <v>441.19840000026306</v>
      </c>
      <c r="CC5" s="6">
        <f t="shared" si="3"/>
        <v>447.13440000026822</v>
      </c>
      <c r="CD5" s="6">
        <f t="shared" si="3"/>
        <v>453.07040000027337</v>
      </c>
      <c r="CE5" s="6">
        <f t="shared" si="3"/>
        <v>459.00640000027852</v>
      </c>
      <c r="CF5" s="6">
        <f t="shared" si="3"/>
        <v>464.94240000028367</v>
      </c>
      <c r="CG5" s="6">
        <f t="shared" si="3"/>
        <v>470.87840000028882</v>
      </c>
      <c r="CH5" s="6">
        <f t="shared" si="3"/>
        <v>476.81440000029397</v>
      </c>
      <c r="CI5" s="6">
        <f t="shared" si="3"/>
        <v>482.75040000029912</v>
      </c>
      <c r="CJ5" s="6">
        <f t="shared" si="3"/>
        <v>488.68640000030427</v>
      </c>
      <c r="CK5" s="6">
        <f t="shared" si="3"/>
        <v>494.62240000030943</v>
      </c>
      <c r="CL5" s="6">
        <f t="shared" si="3"/>
        <v>500.55840000031458</v>
      </c>
      <c r="CM5" s="6">
        <f t="shared" si="3"/>
        <v>506.49440000031973</v>
      </c>
      <c r="CN5" s="6">
        <f t="shared" si="3"/>
        <v>512.43040000032488</v>
      </c>
      <c r="CO5" s="6">
        <f t="shared" si="3"/>
        <v>518.36640000033003</v>
      </c>
      <c r="CP5" s="6">
        <f t="shared" si="3"/>
        <v>524.30240000033518</v>
      </c>
      <c r="CQ5" s="6">
        <f t="shared" si="3"/>
        <v>530.23840000034033</v>
      </c>
      <c r="CR5" s="6">
        <f t="shared" si="3"/>
        <v>536.17440000034549</v>
      </c>
      <c r="CS5" s="6">
        <f t="shared" si="3"/>
        <v>542.11040000035064</v>
      </c>
      <c r="CT5" s="6">
        <f t="shared" si="3"/>
        <v>548.04640000035579</v>
      </c>
      <c r="CU5" s="6">
        <f t="shared" si="3"/>
        <v>553.98240000036094</v>
      </c>
      <c r="CV5" s="6">
        <f t="shared" si="3"/>
        <v>559.91840000036609</v>
      </c>
      <c r="CW5" s="6">
        <f t="shared" si="3"/>
        <v>565.85440000037124</v>
      </c>
      <c r="CX5" s="6">
        <f t="shared" si="3"/>
        <v>571.79040000037639</v>
      </c>
      <c r="CY5" s="6">
        <f t="shared" si="3"/>
        <v>577.72640000038155</v>
      </c>
      <c r="CZ5" s="6">
        <f t="shared" si="3"/>
        <v>583.6624000003867</v>
      </c>
      <c r="DA5" s="6">
        <f t="shared" si="3"/>
        <v>589.59840000039185</v>
      </c>
      <c r="DB5" s="6">
        <f t="shared" si="3"/>
        <v>595.534400000397</v>
      </c>
      <c r="DC5" s="6">
        <f t="shared" si="3"/>
        <v>601.47040000040215</v>
      </c>
      <c r="DD5" s="6">
        <f t="shared" si="3"/>
        <v>607.4064000004073</v>
      </c>
      <c r="DE5" s="6">
        <f t="shared" si="3"/>
        <v>613.34240000041245</v>
      </c>
      <c r="DF5" s="6">
        <f t="shared" si="3"/>
        <v>619.27840000041761</v>
      </c>
      <c r="DG5" s="6">
        <f t="shared" si="3"/>
        <v>625.21440000042276</v>
      </c>
      <c r="DH5" s="6">
        <f t="shared" si="3"/>
        <v>631.15040000042791</v>
      </c>
      <c r="DI5" s="6">
        <f t="shared" si="3"/>
        <v>637.08640000043306</v>
      </c>
      <c r="DJ5" s="6">
        <f t="shared" si="3"/>
        <v>643.02240000043821</v>
      </c>
      <c r="DK5" s="6">
        <f t="shared" si="3"/>
        <v>648.95840000044336</v>
      </c>
      <c r="DL5" s="6">
        <f t="shared" si="3"/>
        <v>654.89440000044851</v>
      </c>
      <c r="DM5" s="6">
        <f t="shared" si="3"/>
        <v>660.83040000045366</v>
      </c>
      <c r="DN5" s="6">
        <f t="shared" si="3"/>
        <v>666.76640000045882</v>
      </c>
      <c r="DO5" s="6">
        <f t="shared" si="3"/>
        <v>672.70240000046397</v>
      </c>
      <c r="DP5" s="6">
        <f t="shared" si="3"/>
        <v>678.63840000046912</v>
      </c>
      <c r="DQ5" s="6">
        <f t="shared" si="3"/>
        <v>684.57440000047427</v>
      </c>
      <c r="DR5" s="6">
        <f t="shared" si="3"/>
        <v>690.51040000047942</v>
      </c>
    </row>
    <row r="6" spans="2:122" x14ac:dyDescent="0.25">
      <c r="B6" s="1" t="s">
        <v>72</v>
      </c>
      <c r="C6" s="3"/>
      <c r="D6" s="3"/>
      <c r="E6" s="3">
        <v>205</v>
      </c>
      <c r="F6" s="3">
        <v>345</v>
      </c>
      <c r="G6" s="3">
        <v>348</v>
      </c>
      <c r="H6" s="3">
        <v>223</v>
      </c>
    </row>
    <row r="7" spans="2:122" x14ac:dyDescent="0.25">
      <c r="B7" s="4" t="s">
        <v>68</v>
      </c>
      <c r="C7" s="4"/>
      <c r="D7" s="4">
        <f>D4/C4-1</f>
        <v>-1.5434083601286175E-2</v>
      </c>
      <c r="E7" s="4">
        <f>E4/D4-1</f>
        <v>0.30241672109732209</v>
      </c>
      <c r="F7" s="4">
        <f>F4/E4-1</f>
        <v>0.3986960882647943</v>
      </c>
      <c r="G7" s="4">
        <f>G4/F4-1</f>
        <v>0.40157762638938688</v>
      </c>
      <c r="H7" s="4">
        <f>H4/G4-1</f>
        <v>0.54387311332821686</v>
      </c>
    </row>
    <row r="8" spans="2:122" s="5" customFormat="1" x14ac:dyDescent="0.25"/>
    <row r="9" spans="2:122" x14ac:dyDescent="0.25">
      <c r="B9" s="1" t="s">
        <v>79</v>
      </c>
      <c r="D9" s="9" t="e">
        <f>D10/D5</f>
        <v>#DIV/0!</v>
      </c>
      <c r="E9" s="9">
        <f>E10/E5</f>
        <v>654.30463576158945</v>
      </c>
      <c r="F9" s="9">
        <f>F10/F5</f>
        <v>731.32832080200501</v>
      </c>
      <c r="G9" s="9">
        <f>G10/G5</f>
        <v>557.07692307692309</v>
      </c>
      <c r="H9" s="9">
        <f>H10/H5</f>
        <v>332.4728260869565</v>
      </c>
      <c r="I9" s="9">
        <f>FORECAST(I2,F9:H9,F2:H2)</f>
        <v>141.43719527358189</v>
      </c>
    </row>
    <row r="10" spans="2:122" x14ac:dyDescent="0.25">
      <c r="B10" s="1" t="s">
        <v>27</v>
      </c>
      <c r="C10" s="3">
        <v>1365</v>
      </c>
      <c r="D10" s="3">
        <v>1341</v>
      </c>
      <c r="E10" s="3">
        <v>1976</v>
      </c>
      <c r="F10" s="3">
        <v>2918</v>
      </c>
      <c r="G10" s="3">
        <v>3621</v>
      </c>
      <c r="H10" s="3">
        <v>4894</v>
      </c>
    </row>
    <row r="11" spans="2:122" s="5" customFormat="1" x14ac:dyDescent="0.25">
      <c r="B11" s="5" t="s">
        <v>80</v>
      </c>
      <c r="C11" s="2"/>
      <c r="D11" s="10" t="e">
        <f>D3-D9</f>
        <v>#DIV/0!</v>
      </c>
      <c r="E11" s="10">
        <f>E3-E9</f>
        <v>5.9602649006621959</v>
      </c>
      <c r="F11" s="10">
        <f>F3-F9</f>
        <v>-32.330827067669247</v>
      </c>
      <c r="G11" s="10">
        <f>G3-G9</f>
        <v>44.307692307692264</v>
      </c>
      <c r="H11" s="10">
        <f>H3-H9</f>
        <v>77.513586956521749</v>
      </c>
      <c r="I11" s="10">
        <f>FORECAST(I2,F11:H11,F2:H2)</f>
        <v>139.67456475638028</v>
      </c>
      <c r="J11" s="10">
        <f t="shared" ref="J11:BU11" si="4">FORECAST(J2,G11:I11,G2:I2)</f>
        <v>182.53215378889581</v>
      </c>
      <c r="K11" s="10">
        <f t="shared" si="4"/>
        <v>238.25866866631259</v>
      </c>
      <c r="L11" s="10">
        <f t="shared" si="4"/>
        <v>285.40589964712854</v>
      </c>
      <c r="M11" s="10">
        <f t="shared" si="4"/>
        <v>338.27265322567837</v>
      </c>
      <c r="N11" s="10">
        <f t="shared" si="4"/>
        <v>387.32639173907228</v>
      </c>
      <c r="O11" s="10">
        <f t="shared" si="4"/>
        <v>438.92214029590832</v>
      </c>
      <c r="P11" s="10">
        <f t="shared" si="4"/>
        <v>488.82321549046901</v>
      </c>
      <c r="Q11" s="10">
        <f t="shared" si="4"/>
        <v>539.85407292655145</v>
      </c>
      <c r="R11" s="10">
        <f t="shared" si="4"/>
        <v>590.13174220162909</v>
      </c>
      <c r="S11" s="10">
        <f t="shared" si="4"/>
        <v>640.91153691738145</v>
      </c>
      <c r="T11" s="10">
        <f t="shared" si="4"/>
        <v>691.35658133936522</v>
      </c>
      <c r="U11" s="10">
        <f t="shared" si="4"/>
        <v>742.02479262386623</v>
      </c>
      <c r="V11" s="10">
        <f t="shared" si="4"/>
        <v>792.54422600004182</v>
      </c>
      <c r="W11" s="10">
        <f t="shared" si="4"/>
        <v>843.1628446484392</v>
      </c>
      <c r="X11" s="10">
        <f t="shared" si="4"/>
        <v>893.7153397820075</v>
      </c>
      <c r="Y11" s="10">
        <f t="shared" si="4"/>
        <v>944.31191725879034</v>
      </c>
      <c r="Z11" s="10">
        <f t="shared" si="4"/>
        <v>994.87910650677804</v>
      </c>
      <c r="AA11" s="10">
        <f t="shared" si="4"/>
        <v>1045.4658879072958</v>
      </c>
      <c r="AB11" s="10">
        <f t="shared" si="4"/>
        <v>1096.0396078727936</v>
      </c>
      <c r="AC11" s="10">
        <f t="shared" si="4"/>
        <v>1146.622035461638</v>
      </c>
      <c r="AD11" s="10">
        <f t="shared" si="4"/>
        <v>1197.1986579682562</v>
      </c>
      <c r="AE11" s="10">
        <f t="shared" si="4"/>
        <v>1247.7791505296918</v>
      </c>
      <c r="AF11" s="10">
        <f t="shared" si="4"/>
        <v>1298.3570630545873</v>
      </c>
      <c r="AG11" s="10">
        <f t="shared" si="4"/>
        <v>1348.936695603843</v>
      </c>
      <c r="AH11" s="10">
        <f t="shared" si="4"/>
        <v>1399.5151814701967</v>
      </c>
      <c r="AI11" s="10">
        <f t="shared" si="4"/>
        <v>1450.0944317918184</v>
      </c>
      <c r="AJ11" s="10">
        <f t="shared" si="4"/>
        <v>1500.6731724765996</v>
      </c>
      <c r="AK11" s="10">
        <f t="shared" si="4"/>
        <v>1551.2522529192793</v>
      </c>
      <c r="AL11" s="10">
        <f t="shared" si="4"/>
        <v>1601.8311068566836</v>
      </c>
      <c r="AM11" s="10">
        <f t="shared" si="4"/>
        <v>1652.4101117976097</v>
      </c>
      <c r="AN11" s="10">
        <f t="shared" si="4"/>
        <v>1702.9890160695359</v>
      </c>
      <c r="AO11" s="10">
        <f t="shared" si="4"/>
        <v>1753.5679874541238</v>
      </c>
      <c r="AP11" s="10">
        <f t="shared" si="4"/>
        <v>1804.1469140969275</v>
      </c>
      <c r="AQ11" s="10">
        <f t="shared" si="4"/>
        <v>1854.7258705675922</v>
      </c>
      <c r="AR11" s="10">
        <f t="shared" si="4"/>
        <v>1905.3048071530065</v>
      </c>
      <c r="AS11" s="10">
        <f t="shared" si="4"/>
        <v>1955.8837569952593</v>
      </c>
      <c r="AT11" s="10">
        <f t="shared" si="4"/>
        <v>2006.4626979996101</v>
      </c>
      <c r="AU11" s="10">
        <f t="shared" si="4"/>
        <v>2057.0416448959004</v>
      </c>
      <c r="AV11" s="10">
        <f t="shared" si="4"/>
        <v>2107.6205878642213</v>
      </c>
      <c r="AW11" s="10">
        <f t="shared" si="4"/>
        <v>2158.1995334511885</v>
      </c>
      <c r="AX11" s="10">
        <f t="shared" si="4"/>
        <v>2208.7784772923915</v>
      </c>
      <c r="AY11" s="10">
        <f t="shared" si="4"/>
        <v>2259.3574222974421</v>
      </c>
      <c r="AZ11" s="10">
        <f t="shared" si="4"/>
        <v>2309.9363665266137</v>
      </c>
      <c r="BA11" s="10">
        <f t="shared" si="4"/>
        <v>2360.5153112730331</v>
      </c>
      <c r="BB11" s="10">
        <f t="shared" si="4"/>
        <v>2411.0942556746013</v>
      </c>
      <c r="BC11" s="10">
        <f t="shared" si="4"/>
        <v>2461.6732003060752</v>
      </c>
      <c r="BD11" s="10">
        <f t="shared" si="4"/>
        <v>2512.2521447842882</v>
      </c>
      <c r="BE11" s="10">
        <f t="shared" si="4"/>
        <v>2562.8310893646703</v>
      </c>
      <c r="BF11" s="10">
        <f t="shared" si="4"/>
        <v>2613.4100338769204</v>
      </c>
      <c r="BG11" s="10">
        <f t="shared" si="4"/>
        <v>2663.9889784345869</v>
      </c>
      <c r="BH11" s="10">
        <f t="shared" si="4"/>
        <v>2714.5679229619564</v>
      </c>
      <c r="BI11" s="10">
        <f t="shared" si="4"/>
        <v>2765.1468675095239</v>
      </c>
      <c r="BJ11" s="10">
        <f t="shared" si="4"/>
        <v>2815.7258120436309</v>
      </c>
      <c r="BK11" s="10">
        <f t="shared" si="4"/>
        <v>2866.3047565867164</v>
      </c>
      <c r="BL11" s="10">
        <f t="shared" si="4"/>
        <v>2916.8837011238065</v>
      </c>
      <c r="BM11" s="10">
        <f t="shared" si="4"/>
        <v>2967.4626456648984</v>
      </c>
      <c r="BN11" s="10">
        <f t="shared" si="4"/>
        <v>3018.0415902033419</v>
      </c>
      <c r="BO11" s="10">
        <f t="shared" si="4"/>
        <v>3068.6205347435462</v>
      </c>
      <c r="BP11" s="10">
        <f t="shared" si="4"/>
        <v>3119.1994792825571</v>
      </c>
      <c r="BQ11" s="10">
        <f t="shared" si="4"/>
        <v>3169.7784238223685</v>
      </c>
      <c r="BR11" s="10">
        <f t="shared" si="4"/>
        <v>3220.357368361656</v>
      </c>
      <c r="BS11" s="10">
        <f t="shared" si="4"/>
        <v>3270.9363129012927</v>
      </c>
      <c r="BT11" s="10">
        <f t="shared" si="4"/>
        <v>3321.5152574406966</v>
      </c>
      <c r="BU11" s="10">
        <f t="shared" si="4"/>
        <v>3372.0942019802606</v>
      </c>
      <c r="BV11" s="10">
        <f t="shared" ref="BV11:DR11" si="5">FORECAST(BV2,BS11:BU11,BS2:BU2)</f>
        <v>3422.6731465197081</v>
      </c>
      <c r="BW11" s="10">
        <f t="shared" si="5"/>
        <v>3473.2520910592284</v>
      </c>
      <c r="BX11" s="10">
        <f t="shared" si="5"/>
        <v>3523.8310355987196</v>
      </c>
      <c r="BY11" s="10">
        <f t="shared" si="5"/>
        <v>3574.4099801382254</v>
      </c>
      <c r="BZ11" s="10">
        <f t="shared" si="5"/>
        <v>3624.9889246777311</v>
      </c>
      <c r="CA11" s="10">
        <f t="shared" si="5"/>
        <v>3675.5678692172369</v>
      </c>
      <c r="CB11" s="10">
        <f t="shared" si="5"/>
        <v>3726.1468137567426</v>
      </c>
      <c r="CC11" s="10">
        <f t="shared" si="5"/>
        <v>3776.7257582962484</v>
      </c>
      <c r="CD11" s="10">
        <f t="shared" si="5"/>
        <v>3827.3047028357541</v>
      </c>
      <c r="CE11" s="10">
        <f t="shared" si="5"/>
        <v>3877.8836473752599</v>
      </c>
      <c r="CF11" s="10">
        <f t="shared" si="5"/>
        <v>3928.4625919147657</v>
      </c>
      <c r="CG11" s="10">
        <f t="shared" si="5"/>
        <v>3979.0415364542714</v>
      </c>
      <c r="CH11" s="10">
        <f t="shared" si="5"/>
        <v>4029.6204809937772</v>
      </c>
      <c r="CI11" s="10">
        <f t="shared" si="5"/>
        <v>4080.1994255332829</v>
      </c>
      <c r="CJ11" s="10">
        <f t="shared" si="5"/>
        <v>4130.7783700727887</v>
      </c>
      <c r="CK11" s="10">
        <f t="shared" si="5"/>
        <v>4181.3573146122944</v>
      </c>
      <c r="CL11" s="10">
        <f t="shared" si="5"/>
        <v>4231.9362591518002</v>
      </c>
      <c r="CM11" s="10">
        <f t="shared" si="5"/>
        <v>4282.5152036913059</v>
      </c>
      <c r="CN11" s="10">
        <f t="shared" si="5"/>
        <v>4333.0941482308117</v>
      </c>
      <c r="CO11" s="10">
        <f t="shared" si="5"/>
        <v>4383.6730927703175</v>
      </c>
      <c r="CP11" s="10">
        <f t="shared" si="5"/>
        <v>4434.2520373098232</v>
      </c>
      <c r="CQ11" s="10">
        <f t="shared" si="5"/>
        <v>4484.830981849329</v>
      </c>
      <c r="CR11" s="10">
        <f t="shared" si="5"/>
        <v>4535.4099263888347</v>
      </c>
      <c r="CS11" s="10">
        <f t="shared" si="5"/>
        <v>4585.9888709283405</v>
      </c>
      <c r="CT11" s="10">
        <f t="shared" si="5"/>
        <v>4636.5678154678462</v>
      </c>
      <c r="CU11" s="10">
        <f t="shared" si="5"/>
        <v>4687.146760007352</v>
      </c>
      <c r="CV11" s="10">
        <f t="shared" si="5"/>
        <v>4737.7257045468577</v>
      </c>
      <c r="CW11" s="10">
        <f t="shared" si="5"/>
        <v>4788.3046490863635</v>
      </c>
      <c r="CX11" s="10">
        <f t="shared" si="5"/>
        <v>4838.8835936258693</v>
      </c>
      <c r="CY11" s="10">
        <f t="shared" si="5"/>
        <v>4889.462538165375</v>
      </c>
      <c r="CZ11" s="10">
        <f t="shared" si="5"/>
        <v>4940.0414827048808</v>
      </c>
      <c r="DA11" s="10">
        <f t="shared" si="5"/>
        <v>4990.6204272443865</v>
      </c>
      <c r="DB11" s="10">
        <f t="shared" si="5"/>
        <v>5041.1993717838923</v>
      </c>
      <c r="DC11" s="10">
        <f t="shared" si="5"/>
        <v>5091.778316323398</v>
      </c>
      <c r="DD11" s="10">
        <f t="shared" si="5"/>
        <v>5142.3572608629038</v>
      </c>
      <c r="DE11" s="10">
        <f t="shared" si="5"/>
        <v>5192.9362054024095</v>
      </c>
      <c r="DF11" s="10">
        <f t="shared" si="5"/>
        <v>5243.5151499419153</v>
      </c>
      <c r="DG11" s="10">
        <f t="shared" si="5"/>
        <v>5294.0940944814211</v>
      </c>
      <c r="DH11" s="10">
        <f t="shared" si="5"/>
        <v>5344.6730390209268</v>
      </c>
      <c r="DI11" s="10">
        <f t="shared" si="5"/>
        <v>5395.2519835604326</v>
      </c>
      <c r="DJ11" s="10">
        <f t="shared" si="5"/>
        <v>5445.8309280999383</v>
      </c>
      <c r="DK11" s="10">
        <f t="shared" si="5"/>
        <v>5496.4098726394441</v>
      </c>
      <c r="DL11" s="10">
        <f t="shared" si="5"/>
        <v>5546.9888171789498</v>
      </c>
      <c r="DM11" s="10">
        <f t="shared" si="5"/>
        <v>5597.5677617184556</v>
      </c>
      <c r="DN11" s="10">
        <f t="shared" si="5"/>
        <v>5648.1467062579613</v>
      </c>
      <c r="DO11" s="10">
        <f t="shared" si="5"/>
        <v>5698.7256507974671</v>
      </c>
      <c r="DP11" s="10">
        <f t="shared" si="5"/>
        <v>5749.3045953369729</v>
      </c>
      <c r="DQ11" s="10">
        <f t="shared" si="5"/>
        <v>5799.8835398764786</v>
      </c>
      <c r="DR11" s="10">
        <f t="shared" si="5"/>
        <v>5850.4624844159844</v>
      </c>
    </row>
    <row r="12" spans="2:122" s="2" customFormat="1" x14ac:dyDescent="0.25">
      <c r="B12" s="2" t="s">
        <v>73</v>
      </c>
      <c r="C12" s="2">
        <f>C4-C10</f>
        <v>190</v>
      </c>
      <c r="D12" s="2">
        <f t="shared" ref="D12:H12" si="6">D4-D10</f>
        <v>190</v>
      </c>
      <c r="E12" s="2">
        <f t="shared" si="6"/>
        <v>18</v>
      </c>
      <c r="F12" s="2">
        <f t="shared" si="6"/>
        <v>-129</v>
      </c>
      <c r="G12" s="2">
        <f t="shared" si="6"/>
        <v>288</v>
      </c>
      <c r="H12" s="2">
        <f t="shared" si="6"/>
        <v>1141</v>
      </c>
      <c r="I12" s="2">
        <f>FORECAST(I2,F12:H12,F2:H2)</f>
        <v>1703.3333333332557</v>
      </c>
      <c r="J12" s="2">
        <f t="shared" ref="J12:P12" si="7">FORECAST(J2,G12:I12,G2:I2)</f>
        <v>2459.4444444440305</v>
      </c>
      <c r="K12" s="2">
        <f t="shared" si="7"/>
        <v>3086.3703703698702</v>
      </c>
      <c r="L12" s="2">
        <f t="shared" si="7"/>
        <v>3799.4197530858219</v>
      </c>
      <c r="M12" s="2">
        <f t="shared" si="7"/>
        <v>4455.0534979416989</v>
      </c>
      <c r="N12" s="2">
        <f t="shared" si="7"/>
        <v>5148.9643347042147</v>
      </c>
      <c r="O12" s="2">
        <f t="shared" si="7"/>
        <v>5817.3571101955604</v>
      </c>
      <c r="P12" s="2">
        <f t="shared" si="7"/>
        <v>6502.7619265345857</v>
      </c>
      <c r="Q12" s="2">
        <f t="shared" ref="Q12" si="8">FORECAST(Q2,N12:P12,N2:P2)</f>
        <v>7176.8253823085688</v>
      </c>
      <c r="R12" s="2">
        <f t="shared" ref="R12" si="9">FORECAST(R2,O12:Q12,O2:Q2)</f>
        <v>7858.4497451260686</v>
      </c>
      <c r="S12" s="2">
        <f t="shared" ref="S12" si="10">FORECAST(S2,P12:R12,P2:R2)</f>
        <v>8535.0335032478906</v>
      </c>
      <c r="T12" s="2">
        <f t="shared" ref="T12" si="11">FORECAST(T2,Q12:S12,Q2:S2)</f>
        <v>9214.9776645002421</v>
      </c>
      <c r="U12" s="2">
        <f t="shared" ref="U12" si="12">FORECAST(U2,R12:T12,R2:T2)</f>
        <v>9892.6815569989849</v>
      </c>
      <c r="V12" s="2">
        <f t="shared" ref="V12" si="13">FORECAST(V2,S12:U12,S2:U2)</f>
        <v>10571.878962000366</v>
      </c>
      <c r="W12" s="2">
        <f t="shared" ref="W12" si="14">FORECAST(W2,T12:V12,T2:V2)</f>
        <v>11250.080691999989</v>
      </c>
      <c r="X12" s="2">
        <f t="shared" ref="X12" si="15">FORECAST(X2,U12:W12,U2:W2)</f>
        <v>11928.946205334039</v>
      </c>
      <c r="Y12" s="2">
        <f t="shared" ref="Y12" si="16">FORECAST(Y2,V12:X12,V2:X2)</f>
        <v>12607.369196445215</v>
      </c>
      <c r="Z12" s="2">
        <f t="shared" ref="Z12" si="17">FORECAST(Z2,W12:Y12,W2:Y2)</f>
        <v>13286.087202371331</v>
      </c>
      <c r="AA12" s="2">
        <f t="shared" ref="AA12" si="18">FORECAST(AA2,X12:Z12,X2:Z2)</f>
        <v>13964.608531754231</v>
      </c>
      <c r="AB12" s="2">
        <f t="shared" ref="AB12" si="19">FORECAST(AB2,Y12:AA12,Y2:AA2)</f>
        <v>14643.260978832841</v>
      </c>
      <c r="AC12" s="2">
        <f t="shared" ref="AC12" si="20">FORECAST(AC2,Z12:AB12,Z2:AB2)</f>
        <v>15321.826014114311</v>
      </c>
      <c r="AD12" s="2">
        <f t="shared" ref="AD12" si="21">FORECAST(AD2,AA12:AC12,AA2:AC2)</f>
        <v>16000.449323927285</v>
      </c>
      <c r="AE12" s="2">
        <f t="shared" ref="AE12" si="22">FORECAST(AE2,AB12:AD12,AB2:AD2)</f>
        <v>16679.03378405259</v>
      </c>
      <c r="AF12" s="2">
        <f t="shared" ref="AF12" si="23">FORECAST(AF2,AC12:AE12,AC2:AE2)</f>
        <v>17357.644143969752</v>
      </c>
      <c r="AG12" s="2">
        <f t="shared" ref="AG12" si="24">FORECAST(AG2,AD12:AF12,AD2:AF2)</f>
        <v>18036.237237358931</v>
      </c>
      <c r="AH12" s="2">
        <f t="shared" ref="AH12" si="25">FORECAST(AH2,AE12:AG12,AE2:AG2)</f>
        <v>18714.841841766611</v>
      </c>
      <c r="AI12" s="2">
        <f t="shared" ref="AI12" si="26">FORECAST(AI2,AF12:AH12,AF2:AH2)</f>
        <v>19393.438772161957</v>
      </c>
      <c r="AJ12" s="2">
        <f t="shared" ref="AJ12" si="27">FORECAST(AJ2,AG12:AI12,AG2:AI2)</f>
        <v>20072.040818565525</v>
      </c>
      <c r="AK12" s="2">
        <f t="shared" ref="AK12" si="28">FORECAST(AK2,AH12:AJ12,AH2:AJ2)</f>
        <v>20750.639454297023</v>
      </c>
      <c r="AL12" s="2">
        <f t="shared" ref="AL12" si="29">FORECAST(AL2,AI12:AK12,AI2:AK2)</f>
        <v>21429.240363810211</v>
      </c>
      <c r="AM12" s="2">
        <f t="shared" ref="AM12" si="30">FORECAST(AM2,AJ12:AL12,AJ2:AL2)</f>
        <v>22107.839757469017</v>
      </c>
      <c r="AN12" s="2">
        <f t="shared" ref="AN12" si="31">FORECAST(AN2,AK12:AM12,AK2:AM2)</f>
        <v>22786.440161697567</v>
      </c>
      <c r="AO12" s="2">
        <f t="shared" ref="AO12" si="32">FORECAST(AO2,AL12:AN12,AL2:AN2)</f>
        <v>23465.039892212953</v>
      </c>
      <c r="AP12" s="2">
        <f t="shared" ref="AP12" si="33">FORECAST(AP2,AM12:AO12,AM2:AO2)</f>
        <v>24143.640071870526</v>
      </c>
      <c r="AQ12" s="2">
        <f t="shared" ref="AQ12" si="34">FORECAST(AQ2,AN12:AP12,AN2:AP2)</f>
        <v>24822.239952099975</v>
      </c>
      <c r="AR12" s="2">
        <f t="shared" ref="AR12" si="35">FORECAST(AR2,AO12:AQ12,AO2:AQ2)</f>
        <v>25500.840031948173</v>
      </c>
      <c r="AS12" s="2">
        <f t="shared" ref="AS12" si="36">FORECAST(AS2,AP12:AR12,AP2:AR2)</f>
        <v>26179.439978717128</v>
      </c>
      <c r="AT12" s="2">
        <f t="shared" ref="AT12" si="37">FORECAST(AT2,AQ12:AS12,AQ2:AS2)</f>
        <v>26858.040014205733</v>
      </c>
      <c r="AU12" s="2">
        <f t="shared" ref="AU12" si="38">FORECAST(AU2,AR12:AT12,AR2:AT2)</f>
        <v>27536.639990547905</v>
      </c>
      <c r="AV12" s="2">
        <f t="shared" ref="AV12" si="39">FORECAST(AV2,AS12:AU12,AS2:AU2)</f>
        <v>28215.24000632111</v>
      </c>
      <c r="AW12" s="2">
        <f t="shared" ref="AW12" si="40">FORECAST(AW2,AT12:AV12,AT2:AV2)</f>
        <v>28893.839995807037</v>
      </c>
      <c r="AX12" s="2">
        <f t="shared" ref="AX12" si="41">FORECAST(AX2,AU12:AW12,AU2:AW2)</f>
        <v>29572.440002818126</v>
      </c>
      <c r="AY12" s="2">
        <f t="shared" ref="AY12" si="42">FORECAST(AY2,AV12:AX12,AV2:AX2)</f>
        <v>30251.039998145774</v>
      </c>
      <c r="AZ12" s="2">
        <f t="shared" ref="AZ12" si="43">FORECAST(AZ2,AW12:AY12,AW2:AY2)</f>
        <v>30929.640001262305</v>
      </c>
      <c r="BA12" s="2">
        <f t="shared" ref="BA12" si="44">FORECAST(BA2,AX12:AZ12,AX2:AZ2)</f>
        <v>31608.239999186248</v>
      </c>
      <c r="BB12" s="2">
        <f t="shared" ref="BB12" si="45">FORECAST(BB2,AY12:BA12,AY2:BA2)</f>
        <v>32286.840000571916</v>
      </c>
      <c r="BC12" s="2">
        <f t="shared" ref="BC12" si="46">FORECAST(BC2,AZ12:BB12,AZ2:BB2)</f>
        <v>32965.439999649767</v>
      </c>
      <c r="BD12" s="2">
        <f t="shared" ref="BD12" si="47">FORECAST(BD2,BA12:BC12,BA2:BC2)</f>
        <v>33644.040000266163</v>
      </c>
      <c r="BE12" s="2">
        <f t="shared" ref="BE12" si="48">FORECAST(BE2,BB12:BD12,BB2:BD2)</f>
        <v>34322.63999985694</v>
      </c>
      <c r="BF12" s="2">
        <f t="shared" ref="BF12" si="49">FORECAST(BF2,BC12:BE12,BC2:BE2)</f>
        <v>35001.240000131307</v>
      </c>
      <c r="BG12" s="2">
        <f t="shared" ref="BG12" si="50">FORECAST(BG2,BD12:BF12,BD2:BF2)</f>
        <v>35679.839999950025</v>
      </c>
      <c r="BH12" s="2">
        <f t="shared" ref="BH12" si="51">FORECAST(BH2,BE12:BG12,BE2:BG2)</f>
        <v>36358.440000072354</v>
      </c>
      <c r="BI12" s="2">
        <f t="shared" ref="BI12" si="52">FORECAST(BI2,BF12:BH12,BF2:BH2)</f>
        <v>37037.039999992354</v>
      </c>
      <c r="BJ12" s="2">
        <f t="shared" ref="BJ12" si="53">FORECAST(BJ2,BG12:BI12,BG2:BI2)</f>
        <v>37715.640000046929</v>
      </c>
      <c r="BK12" s="2">
        <f t="shared" ref="BK12" si="54">FORECAST(BK2,BH12:BJ12,BH2:BJ2)</f>
        <v>38394.240000011865</v>
      </c>
      <c r="BL12" s="2">
        <f t="shared" ref="BL12" si="55">FORECAST(BL2,BI12:BK12,BI2:BK2)</f>
        <v>39072.840000036405</v>
      </c>
      <c r="BM12" s="2">
        <f t="shared" ref="BM12" si="56">FORECAST(BM2,BJ12:BL12,BJ2:BL2)</f>
        <v>39751.440000021132</v>
      </c>
      <c r="BN12" s="2">
        <f t="shared" ref="BN12" si="57">FORECAST(BN2,BK12:BM12,BK2:BM2)</f>
        <v>40430.040000032634</v>
      </c>
      <c r="BO12" s="2">
        <f t="shared" ref="BO12" si="58">FORECAST(BO2,BL12:BN12,BL2:BN2)</f>
        <v>41108.640000026207</v>
      </c>
      <c r="BP12" s="2">
        <f t="shared" ref="BP12" si="59">FORECAST(BP2,BM12:BO12,BM2:BO2)</f>
        <v>41787.240000031888</v>
      </c>
      <c r="BQ12" s="2">
        <f t="shared" ref="BQ12" si="60">FORECAST(BQ2,BN12:BP12,BN2:BP2)</f>
        <v>42465.84000002942</v>
      </c>
      <c r="BR12" s="2">
        <f t="shared" ref="BR12" si="61">FORECAST(BR2,BO12:BQ12,BO2:BQ2)</f>
        <v>43144.440000032075</v>
      </c>
      <c r="BS12" s="2">
        <f t="shared" ref="BS12" si="62">FORECAST(BS2,BP12:BR12,BP2:BR2)</f>
        <v>43823.040000031237</v>
      </c>
      <c r="BT12" s="2">
        <f t="shared" ref="BT12" si="63">FORECAST(BT2,BQ12:BS12,BQ2:BS2)</f>
        <v>44501.640000032494</v>
      </c>
      <c r="BU12" s="2">
        <f t="shared" ref="BU12" si="64">FORECAST(BU2,BR12:BT12,BR2:BT2)</f>
        <v>45180.240000032354</v>
      </c>
      <c r="BV12" s="2">
        <f t="shared" ref="BV12" si="65">FORECAST(BV2,BS12:BU12,BS2:BU2)</f>
        <v>45858.840000033146</v>
      </c>
      <c r="BW12" s="2">
        <f t="shared" ref="BW12" si="66">FORECAST(BW2,BT12:BV12,BT2:BV2)</f>
        <v>46537.440000033239</v>
      </c>
      <c r="BX12" s="2">
        <f t="shared" ref="BX12" si="67">FORECAST(BX2,BU12:BW12,BU2:BW2)</f>
        <v>47216.040000033565</v>
      </c>
      <c r="BY12" s="2">
        <f t="shared" ref="BY12" si="68">FORECAST(BY2,BV12:BX12,BV2:BX2)</f>
        <v>47894.640000033658</v>
      </c>
      <c r="BZ12" s="2">
        <f t="shared" ref="BZ12" si="69">FORECAST(BZ2,BW12:BY12,BW2:BY2)</f>
        <v>48573.240000033751</v>
      </c>
      <c r="CA12" s="2">
        <f t="shared" ref="CA12" si="70">FORECAST(CA2,BX12:BZ12,BX2:BZ2)</f>
        <v>49251.840000033844</v>
      </c>
      <c r="CB12" s="2">
        <f t="shared" ref="CB12" si="71">FORECAST(CB2,BY12:CA12,BY2:CA2)</f>
        <v>49930.440000033937</v>
      </c>
      <c r="CC12" s="2">
        <f t="shared" ref="CC12" si="72">FORECAST(CC2,BZ12:CB12,BZ2:CB2)</f>
        <v>50609.040000034031</v>
      </c>
      <c r="CD12" s="2">
        <f t="shared" ref="CD12" si="73">FORECAST(CD2,CA12:CC12,CA2:CC2)</f>
        <v>51287.640000034124</v>
      </c>
      <c r="CE12" s="2">
        <f t="shared" ref="CE12" si="74">FORECAST(CE2,CB12:CD12,CB2:CD2)</f>
        <v>51966.240000034217</v>
      </c>
      <c r="CF12" s="2">
        <f t="shared" ref="CF12" si="75">FORECAST(CF2,CC12:CE12,CC2:CE2)</f>
        <v>52644.84000003431</v>
      </c>
      <c r="CG12" s="2">
        <f t="shared" ref="CG12" si="76">FORECAST(CG2,CD12:CF12,CD2:CF2)</f>
        <v>53323.440000034403</v>
      </c>
      <c r="CH12" s="2">
        <f t="shared" ref="CH12" si="77">FORECAST(CH2,CE12:CG12,CE2:CG2)</f>
        <v>54002.040000034496</v>
      </c>
      <c r="CI12" s="2">
        <f t="shared" ref="CI12" si="78">FORECAST(CI2,CF12:CH12,CF2:CH2)</f>
        <v>54680.640000034589</v>
      </c>
      <c r="CJ12" s="2">
        <f t="shared" ref="CJ12" si="79">FORECAST(CJ2,CG12:CI12,CG2:CI2)</f>
        <v>55359.240000034682</v>
      </c>
      <c r="CK12" s="2">
        <f t="shared" ref="CK12" si="80">FORECAST(CK2,CH12:CJ12,CH2:CJ2)</f>
        <v>56037.840000034776</v>
      </c>
      <c r="CL12" s="2">
        <f t="shared" ref="CL12" si="81">FORECAST(CL2,CI12:CK12,CI2:CK2)</f>
        <v>56716.440000034869</v>
      </c>
      <c r="CM12" s="2">
        <f t="shared" ref="CM12" si="82">FORECAST(CM2,CJ12:CL12,CJ2:CL2)</f>
        <v>57395.040000034962</v>
      </c>
      <c r="CN12" s="2">
        <f t="shared" ref="CN12" si="83">FORECAST(CN2,CK12:CM12,CK2:CM2)</f>
        <v>58073.640000035055</v>
      </c>
      <c r="CO12" s="2">
        <f t="shared" ref="CO12" si="84">FORECAST(CO2,CL12:CN12,CL2:CN2)</f>
        <v>58752.240000035148</v>
      </c>
      <c r="CP12" s="2">
        <f t="shared" ref="CP12" si="85">FORECAST(CP2,CM12:CO12,CM2:CO2)</f>
        <v>59430.840000035241</v>
      </c>
      <c r="CQ12" s="2">
        <f t="shared" ref="CQ12" si="86">FORECAST(CQ2,CN12:CP12,CN2:CP2)</f>
        <v>60109.440000035334</v>
      </c>
      <c r="CR12" s="2">
        <f t="shared" ref="CR12" si="87">FORECAST(CR2,CO12:CQ12,CO2:CQ2)</f>
        <v>60788.040000035428</v>
      </c>
      <c r="CS12" s="2">
        <f t="shared" ref="CS12" si="88">FORECAST(CS2,CP12:CR12,CP2:CR2)</f>
        <v>61466.640000035521</v>
      </c>
      <c r="CT12" s="2">
        <f t="shared" ref="CT12" si="89">FORECAST(CT2,CQ12:CS12,CQ2:CS2)</f>
        <v>62145.240000035614</v>
      </c>
      <c r="CU12" s="2">
        <f t="shared" ref="CU12" si="90">FORECAST(CU2,CR12:CT12,CR2:CT2)</f>
        <v>62823.840000035707</v>
      </c>
      <c r="CV12" s="2">
        <f t="shared" ref="CV12" si="91">FORECAST(CV2,CS12:CU12,CS2:CU2)</f>
        <v>63502.4400000358</v>
      </c>
      <c r="CW12" s="2">
        <f t="shared" ref="CW12" si="92">FORECAST(CW2,CT12:CV12,CT2:CV2)</f>
        <v>64181.040000035893</v>
      </c>
      <c r="CX12" s="2">
        <f t="shared" ref="CX12" si="93">FORECAST(CX2,CU12:CW12,CU2:CW2)</f>
        <v>64859.640000035986</v>
      </c>
      <c r="CY12" s="2">
        <f t="shared" ref="CY12" si="94">FORECAST(CY2,CV12:CX12,CV2:CX2)</f>
        <v>65538.240000036079</v>
      </c>
      <c r="CZ12" s="2">
        <f t="shared" ref="CZ12" si="95">FORECAST(CZ2,CW12:CY12,CW2:CY2)</f>
        <v>66216.840000036173</v>
      </c>
      <c r="DA12" s="2">
        <f t="shared" ref="DA12" si="96">FORECAST(DA2,CX12:CZ12,CX2:CZ2)</f>
        <v>66895.440000036266</v>
      </c>
      <c r="DB12" s="2">
        <f t="shared" ref="DB12" si="97">FORECAST(DB2,CY12:DA12,CY2:DA2)</f>
        <v>67574.040000036359</v>
      </c>
      <c r="DC12" s="2">
        <f t="shared" ref="DC12" si="98">FORECAST(DC2,CZ12:DB12,CZ2:DB2)</f>
        <v>68252.640000036452</v>
      </c>
      <c r="DD12" s="2">
        <f t="shared" ref="DD12" si="99">FORECAST(DD2,DA12:DC12,DA2:DC2)</f>
        <v>68931.240000036545</v>
      </c>
      <c r="DE12" s="2">
        <f t="shared" ref="DE12" si="100">FORECAST(DE2,DB12:DD12,DB2:DD2)</f>
        <v>69609.840000036638</v>
      </c>
      <c r="DF12" s="2">
        <f t="shared" ref="DF12" si="101">FORECAST(DF2,DC12:DE12,DC2:DE2)</f>
        <v>70288.440000036731</v>
      </c>
      <c r="DG12" s="2">
        <f t="shared" ref="DG12" si="102">FORECAST(DG2,DD12:DF12,DD2:DF2)</f>
        <v>70967.040000036824</v>
      </c>
      <c r="DH12" s="2">
        <f t="shared" ref="DH12" si="103">FORECAST(DH2,DE12:DG12,DE2:DG2)</f>
        <v>71645.640000036918</v>
      </c>
      <c r="DI12" s="2">
        <f t="shared" ref="DI12" si="104">FORECAST(DI2,DF12:DH12,DF2:DH2)</f>
        <v>72324.240000037011</v>
      </c>
      <c r="DJ12" s="2">
        <f t="shared" ref="DJ12" si="105">FORECAST(DJ2,DG12:DI12,DG2:DI2)</f>
        <v>73002.840000037104</v>
      </c>
      <c r="DK12" s="2">
        <f t="shared" ref="DK12" si="106">FORECAST(DK2,DH12:DJ12,DH2:DJ2)</f>
        <v>73681.440000037197</v>
      </c>
      <c r="DL12" s="2">
        <f t="shared" ref="DL12" si="107">FORECAST(DL2,DI12:DK12,DI2:DK2)</f>
        <v>74360.04000003729</v>
      </c>
      <c r="DM12" s="2">
        <f t="shared" ref="DM12" si="108">FORECAST(DM2,DJ12:DL12,DJ2:DL2)</f>
        <v>75038.640000037383</v>
      </c>
      <c r="DN12" s="2">
        <f t="shared" ref="DN12" si="109">FORECAST(DN2,DK12:DM12,DK2:DM2)</f>
        <v>75717.240000037476</v>
      </c>
      <c r="DO12" s="2">
        <f t="shared" ref="DO12" si="110">FORECAST(DO2,DL12:DN12,DL2:DN2)</f>
        <v>76395.84000003757</v>
      </c>
      <c r="DP12" s="2">
        <f t="shared" ref="DP12" si="111">FORECAST(DP2,DM12:DO12,DM2:DO2)</f>
        <v>77074.440000037663</v>
      </c>
      <c r="DQ12" s="2">
        <f t="shared" ref="DQ12" si="112">FORECAST(DQ2,DN12:DP12,DN2:DP2)</f>
        <v>77753.040000037756</v>
      </c>
      <c r="DR12" s="2">
        <f t="shared" ref="DR12" si="113">FORECAST(DR2,DO12:DQ12,DO2:DQ2)</f>
        <v>78431.640000037849</v>
      </c>
    </row>
    <row r="13" spans="2:122" s="9" customFormat="1" x14ac:dyDescent="0.25">
      <c r="I13" s="9">
        <f>I11*I5</f>
        <v>2672.4400056720592</v>
      </c>
      <c r="J13" s="9">
        <f t="shared" ref="J13:BU13" si="114">J11*J5</f>
        <v>4761.2498248309512</v>
      </c>
      <c r="K13" s="9">
        <f t="shared" si="114"/>
        <v>7467.9091155154038</v>
      </c>
      <c r="L13" s="9">
        <f t="shared" si="114"/>
        <v>10768.611240759315</v>
      </c>
      <c r="M13" s="9">
        <f t="shared" si="114"/>
        <v>14669.562505291664</v>
      </c>
      <c r="N13" s="9">
        <f t="shared" si="114"/>
        <v>19173.66588373615</v>
      </c>
      <c r="O13" s="9">
        <f t="shared" si="114"/>
        <v>24274.557861184632</v>
      </c>
      <c r="P13" s="9">
        <f t="shared" si="114"/>
        <v>29979.550902386567</v>
      </c>
      <c r="Q13" s="9">
        <f t="shared" si="114"/>
        <v>36281.775722810809</v>
      </c>
      <c r="R13" s="9">
        <f t="shared" si="114"/>
        <v>43187.164690664235</v>
      </c>
      <c r="S13" s="9">
        <f t="shared" si="114"/>
        <v>50690.871355462245</v>
      </c>
      <c r="T13" s="9">
        <f t="shared" si="114"/>
        <v>58796.725646843748</v>
      </c>
      <c r="U13" s="9">
        <f t="shared" si="114"/>
        <v>67501.777016062479</v>
      </c>
      <c r="V13" s="9">
        <f t="shared" si="114"/>
        <v>76808.258246548081</v>
      </c>
      <c r="W13" s="9">
        <f t="shared" si="114"/>
        <v>86714.504052896169</v>
      </c>
      <c r="X13" s="9">
        <f t="shared" si="114"/>
        <v>97221.742647082952</v>
      </c>
      <c r="Y13" s="9">
        <f t="shared" si="114"/>
        <v>108329.07661982294</v>
      </c>
      <c r="Z13" s="9">
        <f t="shared" si="114"/>
        <v>120037.15668032515</v>
      </c>
      <c r="AA13" s="9">
        <f t="shared" si="114"/>
        <v>132345.51408065279</v>
      </c>
      <c r="AB13" s="9">
        <f t="shared" si="114"/>
        <v>145254.48462097312</v>
      </c>
      <c r="AC13" s="9">
        <f t="shared" si="114"/>
        <v>158763.82890326087</v>
      </c>
      <c r="AD13" s="9">
        <f t="shared" si="114"/>
        <v>172873.71688174989</v>
      </c>
      <c r="AE13" s="9">
        <f t="shared" si="114"/>
        <v>187584.02835053075</v>
      </c>
      <c r="AF13" s="9">
        <f t="shared" si="114"/>
        <v>202894.84804920395</v>
      </c>
      <c r="AG13" s="9">
        <f t="shared" si="114"/>
        <v>218806.11641660761</v>
      </c>
      <c r="AH13" s="9">
        <f t="shared" si="114"/>
        <v>235317.87520563221</v>
      </c>
      <c r="AI13" s="9">
        <f t="shared" si="114"/>
        <v>252430.09521740885</v>
      </c>
      <c r="AJ13" s="9">
        <f t="shared" si="114"/>
        <v>270142.79682693555</v>
      </c>
      <c r="AK13" s="9">
        <f t="shared" si="114"/>
        <v>288455.96584482968</v>
      </c>
      <c r="AL13" s="9">
        <f t="shared" si="114"/>
        <v>307369.61213471554</v>
      </c>
      <c r="AM13" s="9">
        <f t="shared" si="114"/>
        <v>326883.72885148786</v>
      </c>
      <c r="AN13" s="9">
        <f t="shared" si="114"/>
        <v>346998.32073812588</v>
      </c>
      <c r="AO13" s="9">
        <f t="shared" si="114"/>
        <v>367713.38451292145</v>
      </c>
      <c r="AP13" s="9">
        <f t="shared" si="114"/>
        <v>389028.92244349286</v>
      </c>
      <c r="AQ13" s="9">
        <f t="shared" si="114"/>
        <v>410944.93296488799</v>
      </c>
      <c r="AR13" s="9">
        <f t="shared" si="114"/>
        <v>433461.41715587612</v>
      </c>
      <c r="AS13" s="9">
        <f t="shared" si="114"/>
        <v>456578.37427363481</v>
      </c>
      <c r="AT13" s="9">
        <f t="shared" si="114"/>
        <v>480295.80482914415</v>
      </c>
      <c r="AU13" s="9">
        <f t="shared" si="114"/>
        <v>504613.70847124088</v>
      </c>
      <c r="AV13" s="9">
        <f t="shared" si="114"/>
        <v>529532.08544103953</v>
      </c>
      <c r="AW13" s="9">
        <f t="shared" si="114"/>
        <v>555050.93557312607</v>
      </c>
      <c r="AX13" s="9">
        <f t="shared" si="114"/>
        <v>581170.25898089202</v>
      </c>
      <c r="AY13" s="9">
        <f t="shared" si="114"/>
        <v>607890.05558666703</v>
      </c>
      <c r="AZ13" s="9">
        <f t="shared" si="114"/>
        <v>635210.32544361393</v>
      </c>
      <c r="BA13" s="9">
        <f t="shared" si="114"/>
        <v>663131.0685153642</v>
      </c>
      <c r="BB13" s="9">
        <f t="shared" si="114"/>
        <v>691652.28482677881</v>
      </c>
      <c r="BC13" s="9">
        <f t="shared" si="114"/>
        <v>720773.97436087776</v>
      </c>
      <c r="BD13" s="9">
        <f t="shared" si="114"/>
        <v>750496.13712925429</v>
      </c>
      <c r="BE13" s="9">
        <f t="shared" si="114"/>
        <v>780818.77312399296</v>
      </c>
      <c r="BF13" s="9">
        <f t="shared" si="114"/>
        <v>811741.88235049229</v>
      </c>
      <c r="BG13" s="9">
        <f t="shared" si="114"/>
        <v>843265.46480507194</v>
      </c>
      <c r="BH13" s="9">
        <f t="shared" si="114"/>
        <v>875389.52049023286</v>
      </c>
      <c r="BI13" s="9">
        <f t="shared" si="114"/>
        <v>908114.04940427945</v>
      </c>
      <c r="BJ13" s="9">
        <f t="shared" si="114"/>
        <v>941439.05154836585</v>
      </c>
      <c r="BK13" s="9">
        <f t="shared" si="114"/>
        <v>975364.52692170988</v>
      </c>
      <c r="BL13" s="9">
        <f t="shared" si="114"/>
        <v>1009890.4755248388</v>
      </c>
      <c r="BM13" s="9">
        <f t="shared" si="114"/>
        <v>1045016.897357399</v>
      </c>
      <c r="BN13" s="9">
        <f t="shared" si="114"/>
        <v>1080743.7924196362</v>
      </c>
      <c r="BO13" s="9">
        <f t="shared" si="114"/>
        <v>1117071.1607113748</v>
      </c>
      <c r="BP13" s="9">
        <f t="shared" si="114"/>
        <v>1153999.0022327267</v>
      </c>
      <c r="BQ13" s="9">
        <f t="shared" si="114"/>
        <v>1191527.3169836248</v>
      </c>
      <c r="BR13" s="9">
        <f t="shared" si="114"/>
        <v>1229656.1049641243</v>
      </c>
      <c r="BS13" s="9">
        <f t="shared" si="114"/>
        <v>1268385.3661741782</v>
      </c>
      <c r="BT13" s="9">
        <f t="shared" si="114"/>
        <v>1307715.1006138164</v>
      </c>
      <c r="BU13" s="9">
        <f t="shared" si="114"/>
        <v>1347645.3082830249</v>
      </c>
      <c r="BV13" s="9">
        <f t="shared" ref="BV13:DR13" si="115">BV11*BV5</f>
        <v>1388175.9891818094</v>
      </c>
      <c r="BW13" s="9">
        <f t="shared" si="115"/>
        <v>1429307.143310166</v>
      </c>
      <c r="BX13" s="9">
        <f t="shared" si="115"/>
        <v>1471038.7706680966</v>
      </c>
      <c r="BY13" s="9">
        <f t="shared" si="115"/>
        <v>1513370.8712556004</v>
      </c>
      <c r="BZ13" s="9">
        <f t="shared" si="115"/>
        <v>1556303.4450726777</v>
      </c>
      <c r="CA13" s="9">
        <f t="shared" si="115"/>
        <v>1599836.4921193286</v>
      </c>
      <c r="CB13" s="9">
        <f t="shared" si="115"/>
        <v>1643970.0123955531</v>
      </c>
      <c r="CC13" s="9">
        <f t="shared" si="115"/>
        <v>1688704.0059013511</v>
      </c>
      <c r="CD13" s="9">
        <f t="shared" si="115"/>
        <v>1734038.4726367225</v>
      </c>
      <c r="CE13" s="9">
        <f t="shared" si="115"/>
        <v>1779973.4126016675</v>
      </c>
      <c r="CF13" s="9">
        <f t="shared" si="115"/>
        <v>1826508.8257961862</v>
      </c>
      <c r="CG13" s="9">
        <f t="shared" si="115"/>
        <v>1873644.7122202783</v>
      </c>
      <c r="CH13" s="9">
        <f t="shared" si="115"/>
        <v>1921381.0718739438</v>
      </c>
      <c r="CI13" s="9">
        <f t="shared" si="115"/>
        <v>1969717.904757183</v>
      </c>
      <c r="CJ13" s="9">
        <f t="shared" si="115"/>
        <v>2018655.2108699956</v>
      </c>
      <c r="CK13" s="9">
        <f t="shared" si="115"/>
        <v>2068192.9902123821</v>
      </c>
      <c r="CL13" s="9">
        <f t="shared" si="115"/>
        <v>2118331.2427843418</v>
      </c>
      <c r="CM13" s="9">
        <f t="shared" si="115"/>
        <v>2169069.9685858749</v>
      </c>
      <c r="CN13" s="9">
        <f t="shared" si="115"/>
        <v>2220409.167616982</v>
      </c>
      <c r="CO13" s="9">
        <f t="shared" si="115"/>
        <v>2272348.8398776622</v>
      </c>
      <c r="CP13" s="9">
        <f t="shared" si="115"/>
        <v>2324888.9853679161</v>
      </c>
      <c r="CQ13" s="9">
        <f t="shared" si="115"/>
        <v>2378029.6040877434</v>
      </c>
      <c r="CR13" s="9">
        <f t="shared" si="115"/>
        <v>2431770.6960371444</v>
      </c>
      <c r="CS13" s="9">
        <f t="shared" si="115"/>
        <v>2486112.2612161189</v>
      </c>
      <c r="CT13" s="9">
        <f t="shared" si="115"/>
        <v>2541054.299624667</v>
      </c>
      <c r="CU13" s="9">
        <f t="shared" si="115"/>
        <v>2596596.8112627887</v>
      </c>
      <c r="CV13" s="9">
        <f t="shared" si="115"/>
        <v>2652739.796130484</v>
      </c>
      <c r="CW13" s="9">
        <f t="shared" si="115"/>
        <v>2709483.2542277523</v>
      </c>
      <c r="CX13" s="9">
        <f t="shared" si="115"/>
        <v>2766827.1855545947</v>
      </c>
      <c r="CY13" s="9">
        <f t="shared" si="115"/>
        <v>2824771.5901110102</v>
      </c>
      <c r="CZ13" s="9">
        <f t="shared" si="115"/>
        <v>2883316.4678969993</v>
      </c>
      <c r="DA13" s="9">
        <f t="shared" si="115"/>
        <v>2942461.8189125624</v>
      </c>
      <c r="DB13" s="9">
        <f t="shared" si="115"/>
        <v>3002207.6431576987</v>
      </c>
      <c r="DC13" s="9">
        <f t="shared" si="115"/>
        <v>3062553.9406324085</v>
      </c>
      <c r="DD13" s="9">
        <f t="shared" si="115"/>
        <v>3123500.7113366919</v>
      </c>
      <c r="DE13" s="9">
        <f t="shared" si="115"/>
        <v>3185047.9552705488</v>
      </c>
      <c r="DF13" s="9">
        <f t="shared" si="115"/>
        <v>3247195.6724339793</v>
      </c>
      <c r="DG13" s="9">
        <f t="shared" si="115"/>
        <v>3309943.862826983</v>
      </c>
      <c r="DH13" s="9">
        <f t="shared" si="115"/>
        <v>3373292.5264495607</v>
      </c>
      <c r="DI13" s="9">
        <f t="shared" si="115"/>
        <v>3437241.6633017114</v>
      </c>
      <c r="DJ13" s="9">
        <f t="shared" si="115"/>
        <v>3501791.2733834363</v>
      </c>
      <c r="DK13" s="9">
        <f t="shared" si="115"/>
        <v>3566941.3566947342</v>
      </c>
      <c r="DL13" s="9">
        <f t="shared" si="115"/>
        <v>3632691.9132356062</v>
      </c>
      <c r="DM13" s="9">
        <f t="shared" si="115"/>
        <v>3699042.9430060512</v>
      </c>
      <c r="DN13" s="9">
        <f t="shared" si="115"/>
        <v>3765994.4460060699</v>
      </c>
      <c r="DO13" s="9">
        <f t="shared" si="115"/>
        <v>3833546.4222356621</v>
      </c>
      <c r="DP13" s="9">
        <f t="shared" si="115"/>
        <v>3901698.8716948279</v>
      </c>
      <c r="DQ13" s="9">
        <f t="shared" si="115"/>
        <v>3970451.7943835673</v>
      </c>
      <c r="DR13" s="9">
        <f t="shared" si="115"/>
        <v>4039805.1903018798</v>
      </c>
    </row>
    <row r="14" spans="2:122" s="11" customFormat="1" x14ac:dyDescent="0.25">
      <c r="B14" s="11" t="s">
        <v>74</v>
      </c>
      <c r="C14" s="11">
        <f>C12/C4</f>
        <v>0.12218649517684887</v>
      </c>
      <c r="D14" s="11">
        <f t="shared" ref="D14:H14" si="116">D12/D4</f>
        <v>0.12410189418680601</v>
      </c>
      <c r="E14" s="11">
        <f t="shared" si="116"/>
        <v>9.0270812437311942E-3</v>
      </c>
      <c r="F14" s="11">
        <f t="shared" si="116"/>
        <v>-4.6253137325206167E-2</v>
      </c>
      <c r="G14" s="11">
        <f t="shared" si="116"/>
        <v>7.3676132003069841E-2</v>
      </c>
      <c r="H14" s="11">
        <f t="shared" si="116"/>
        <v>0.18906379453189726</v>
      </c>
    </row>
    <row r="18" spans="2:123" x14ac:dyDescent="0.25">
      <c r="I18" s="1" t="s">
        <v>75</v>
      </c>
      <c r="J18" s="4">
        <v>0.05</v>
      </c>
    </row>
    <row r="19" spans="2:123" x14ac:dyDescent="0.25">
      <c r="I19" s="1" t="s">
        <v>76</v>
      </c>
      <c r="J19" s="3">
        <f>NPV(J18,I13:DR13)</f>
        <v>5254728.0806826772</v>
      </c>
    </row>
    <row r="20" spans="2:123" x14ac:dyDescent="0.25">
      <c r="I20" s="1" t="s">
        <v>77</v>
      </c>
      <c r="J20" s="12">
        <f ca="1">J19/(Main!F8/1000000)</f>
        <v>1636956343.7078054</v>
      </c>
    </row>
    <row r="21" spans="2:123" x14ac:dyDescent="0.25">
      <c r="J21" s="12"/>
    </row>
    <row r="22" spans="2:123" x14ac:dyDescent="0.25">
      <c r="J22" s="12"/>
    </row>
    <row r="23" spans="2:123" x14ac:dyDescent="0.25">
      <c r="B23" s="3" t="s">
        <v>60</v>
      </c>
      <c r="E23" s="3">
        <v>509737</v>
      </c>
      <c r="F23" s="3">
        <v>930422</v>
      </c>
      <c r="G23" s="3">
        <v>1369611</v>
      </c>
      <c r="H23" s="3">
        <v>1845985</v>
      </c>
      <c r="I23" s="3">
        <f t="shared" ref="I23:N23" si="117">H23*(1+I25)</f>
        <v>2030583.5000000002</v>
      </c>
      <c r="J23" s="3">
        <f t="shared" si="117"/>
        <v>2233641.8500000006</v>
      </c>
      <c r="K23" s="3">
        <f t="shared" si="117"/>
        <v>2457006.0350000006</v>
      </c>
      <c r="L23" s="3">
        <f t="shared" si="117"/>
        <v>2702706.6385000008</v>
      </c>
      <c r="M23" s="3">
        <f t="shared" si="117"/>
        <v>2972977.3023500009</v>
      </c>
      <c r="N23" s="3">
        <f t="shared" si="117"/>
        <v>3270275.0325850011</v>
      </c>
    </row>
    <row r="24" spans="2:123" x14ac:dyDescent="0.25">
      <c r="B24" s="3" t="s">
        <v>61</v>
      </c>
      <c r="E24" s="3">
        <v>499550</v>
      </c>
      <c r="F24" s="3">
        <v>936172</v>
      </c>
      <c r="G24" s="3">
        <v>1313851</v>
      </c>
      <c r="H24" s="3">
        <v>1808851</v>
      </c>
      <c r="I24" s="3"/>
      <c r="J24" s="3"/>
      <c r="K24" s="3"/>
      <c r="L24" s="3"/>
      <c r="M24" s="3"/>
      <c r="N24" s="3"/>
    </row>
    <row r="25" spans="2:123" x14ac:dyDescent="0.25">
      <c r="B25" s="4" t="s">
        <v>62</v>
      </c>
      <c r="E25" s="4" t="e">
        <f>E23/D23-1</f>
        <v>#DIV/0!</v>
      </c>
      <c r="F25" s="4">
        <f>F23/E23-1</f>
        <v>0.8252981439448186</v>
      </c>
      <c r="G25" s="4">
        <f>G23/F23-1</f>
        <v>0.47203204567389845</v>
      </c>
      <c r="H25" s="4">
        <f>H23/G23-1</f>
        <v>0.34781700789494252</v>
      </c>
      <c r="I25" s="4">
        <v>0.1</v>
      </c>
      <c r="J25" s="4">
        <v>0.1</v>
      </c>
      <c r="K25" s="4">
        <v>0.1</v>
      </c>
      <c r="L25" s="4">
        <v>0.1</v>
      </c>
      <c r="M25" s="4">
        <v>0.1</v>
      </c>
      <c r="N25" s="4">
        <v>0.1</v>
      </c>
    </row>
    <row r="26" spans="2:123" x14ac:dyDescent="0.25">
      <c r="B26" s="4" t="s">
        <v>70</v>
      </c>
      <c r="E26" s="4">
        <f t="shared" ref="E26:H26" si="118">E24/E23</f>
        <v>0.98001518430092383</v>
      </c>
      <c r="F26" s="4">
        <f t="shared" si="118"/>
        <v>1.0061799914447422</v>
      </c>
      <c r="G26" s="4">
        <f t="shared" si="118"/>
        <v>0.95928771016003811</v>
      </c>
      <c r="H26" s="4">
        <f t="shared" si="118"/>
        <v>0.97988391021595522</v>
      </c>
      <c r="I26" s="4"/>
      <c r="J26" s="4"/>
      <c r="K26" s="4"/>
      <c r="L26" s="4"/>
      <c r="M26" s="4"/>
      <c r="N26" s="4"/>
    </row>
    <row r="27" spans="2:123" x14ac:dyDescent="0.25">
      <c r="B27" s="3" t="s">
        <v>63</v>
      </c>
      <c r="E27" s="3">
        <f>E31*1000000/E23</f>
        <v>51367.666070934618</v>
      </c>
      <c r="F27" s="3">
        <f>F31*1000000/F23</f>
        <v>47424.716956391829</v>
      </c>
      <c r="G27" s="3">
        <f>G31*1000000/G23</f>
        <v>49072.327836152013</v>
      </c>
      <c r="H27" s="3">
        <f>H31*1000000/H23</f>
        <v>42529.598019485529</v>
      </c>
      <c r="I27" s="3">
        <v>42529.598019485529</v>
      </c>
      <c r="J27" s="3">
        <v>42529.598019485529</v>
      </c>
      <c r="K27" s="3">
        <v>42529.598019485529</v>
      </c>
      <c r="L27" s="3">
        <v>42529.598019485529</v>
      </c>
      <c r="M27" s="3">
        <v>42529.598019485529</v>
      </c>
      <c r="N27" s="3">
        <v>42529.598019485529</v>
      </c>
    </row>
    <row r="28" spans="2:123" x14ac:dyDescent="0.25">
      <c r="B28" s="3" t="s">
        <v>69</v>
      </c>
      <c r="E28" s="3">
        <v>38639.533720330292</v>
      </c>
      <c r="F28" s="3">
        <v>34839.030031534079</v>
      </c>
      <c r="G28" s="3">
        <v>36213.932277121021</v>
      </c>
      <c r="H28" s="3">
        <v>35277.101384897491</v>
      </c>
      <c r="I28" s="3">
        <v>36242</v>
      </c>
      <c r="J28" s="3">
        <v>36242</v>
      </c>
      <c r="K28" s="3">
        <v>36242</v>
      </c>
      <c r="L28" s="3">
        <v>36242</v>
      </c>
      <c r="M28" s="3">
        <v>36242</v>
      </c>
      <c r="N28" s="3">
        <v>36242</v>
      </c>
      <c r="DS28" s="1" t="s">
        <v>81</v>
      </c>
    </row>
    <row r="29" spans="2:123" x14ac:dyDescent="0.25">
      <c r="B29" s="3" t="s">
        <v>85</v>
      </c>
      <c r="E29" s="3">
        <f>E27-E28</f>
        <v>12728.132350604326</v>
      </c>
      <c r="F29" s="3">
        <f t="shared" ref="F29:N29" si="119">F27-F28</f>
        <v>12585.68692485775</v>
      </c>
      <c r="G29" s="3">
        <f t="shared" si="119"/>
        <v>12858.395559030992</v>
      </c>
      <c r="H29" s="3">
        <f t="shared" si="119"/>
        <v>7252.4966345880384</v>
      </c>
      <c r="I29" s="3">
        <f t="shared" si="119"/>
        <v>6287.5980194855292</v>
      </c>
      <c r="J29" s="3">
        <f t="shared" si="119"/>
        <v>6287.5980194855292</v>
      </c>
      <c r="K29" s="3">
        <f t="shared" si="119"/>
        <v>6287.5980194855292</v>
      </c>
      <c r="L29" s="3">
        <f t="shared" si="119"/>
        <v>6287.5980194855292</v>
      </c>
      <c r="M29" s="3">
        <f t="shared" si="119"/>
        <v>6287.5980194855292</v>
      </c>
      <c r="N29" s="3">
        <f t="shared" si="119"/>
        <v>6287.5980194855292</v>
      </c>
      <c r="DS29" s="1" t="s">
        <v>81</v>
      </c>
    </row>
    <row r="30" spans="2:123" x14ac:dyDescent="0.25">
      <c r="B30" s="3"/>
      <c r="E30" s="3"/>
      <c r="F30" s="3"/>
      <c r="G30" s="3"/>
      <c r="H30" s="3"/>
      <c r="I30" s="3"/>
      <c r="J30" s="3"/>
      <c r="K30" s="3"/>
      <c r="L30" s="3"/>
      <c r="M30" s="3"/>
      <c r="N30" s="3"/>
      <c r="DS30" s="1" t="s">
        <v>81</v>
      </c>
    </row>
    <row r="31" spans="2:123" x14ac:dyDescent="0.25">
      <c r="B31" s="1" t="s">
        <v>16</v>
      </c>
      <c r="E31" s="3">
        <v>26184</v>
      </c>
      <c r="F31" s="3">
        <v>44125</v>
      </c>
      <c r="G31" s="3">
        <v>67210</v>
      </c>
      <c r="H31" s="3">
        <v>78509</v>
      </c>
      <c r="I31" s="3">
        <f t="shared" ref="I31:N31" si="120">I27*I23/1000000</f>
        <v>86359.9</v>
      </c>
      <c r="J31" s="3">
        <f t="shared" si="120"/>
        <v>94995.890000000014</v>
      </c>
      <c r="K31" s="3">
        <f t="shared" si="120"/>
        <v>104495.47900000002</v>
      </c>
      <c r="L31" s="3">
        <f t="shared" si="120"/>
        <v>114945.02690000003</v>
      </c>
      <c r="M31" s="3">
        <f t="shared" si="120"/>
        <v>126439.52959000003</v>
      </c>
      <c r="N31" s="3">
        <f t="shared" si="120"/>
        <v>139083.48254900004</v>
      </c>
      <c r="DS31" s="1" t="s">
        <v>81</v>
      </c>
    </row>
    <row r="32" spans="2:123" x14ac:dyDescent="0.25">
      <c r="B32" s="1" t="s">
        <v>18</v>
      </c>
      <c r="E32" s="3" t="s">
        <v>45</v>
      </c>
      <c r="F32" s="3">
        <v>1465</v>
      </c>
      <c r="G32" s="3">
        <v>1776</v>
      </c>
      <c r="H32" s="3">
        <v>1790</v>
      </c>
      <c r="I32" s="3">
        <v>1790</v>
      </c>
      <c r="J32" s="3">
        <v>1790</v>
      </c>
      <c r="K32" s="3">
        <v>1790</v>
      </c>
      <c r="L32" s="3">
        <v>1790</v>
      </c>
      <c r="M32" s="3">
        <v>1790</v>
      </c>
      <c r="N32" s="3">
        <v>1790</v>
      </c>
      <c r="DS32" s="1" t="s">
        <v>81</v>
      </c>
    </row>
    <row r="33" spans="2:123" x14ac:dyDescent="0.25">
      <c r="B33" s="1" t="s">
        <v>19</v>
      </c>
      <c r="E33" s="3">
        <v>1052</v>
      </c>
      <c r="F33" s="3">
        <v>1642</v>
      </c>
      <c r="G33" s="3">
        <v>2476</v>
      </c>
      <c r="H33" s="3">
        <v>2120</v>
      </c>
      <c r="I33" s="3">
        <v>2120</v>
      </c>
      <c r="J33" s="3">
        <v>2120</v>
      </c>
      <c r="K33" s="3">
        <v>2120</v>
      </c>
      <c r="L33" s="3">
        <v>2120</v>
      </c>
      <c r="M33" s="3">
        <v>2120</v>
      </c>
      <c r="N33" s="3">
        <v>2120</v>
      </c>
      <c r="DS33" s="1" t="s">
        <v>81</v>
      </c>
    </row>
    <row r="34" spans="2:123" x14ac:dyDescent="0.25">
      <c r="B34" s="1" t="s">
        <v>20</v>
      </c>
      <c r="E34" s="3">
        <f t="shared" ref="E34:N34" si="121">SUM(E31:E33)</f>
        <v>27236</v>
      </c>
      <c r="F34" s="3">
        <f t="shared" si="121"/>
        <v>47232</v>
      </c>
      <c r="G34" s="3">
        <f t="shared" si="121"/>
        <v>71462</v>
      </c>
      <c r="H34" s="3">
        <f t="shared" si="121"/>
        <v>82419</v>
      </c>
      <c r="I34" s="3">
        <f t="shared" si="121"/>
        <v>90269.9</v>
      </c>
      <c r="J34" s="3">
        <f t="shared" si="121"/>
        <v>98905.890000000014</v>
      </c>
      <c r="K34" s="3">
        <f t="shared" si="121"/>
        <v>108405.47900000002</v>
      </c>
      <c r="L34" s="3">
        <f t="shared" si="121"/>
        <v>118855.02690000003</v>
      </c>
      <c r="M34" s="3">
        <f t="shared" si="121"/>
        <v>130349.52959000003</v>
      </c>
      <c r="N34" s="3">
        <f t="shared" si="121"/>
        <v>142993.48254900004</v>
      </c>
      <c r="O34" s="3">
        <f>N34</f>
        <v>142993.48254900004</v>
      </c>
      <c r="P34" s="3">
        <f t="shared" ref="P34:CA34" si="122">O34</f>
        <v>142993.48254900004</v>
      </c>
      <c r="Q34" s="3">
        <f t="shared" si="122"/>
        <v>142993.48254900004</v>
      </c>
      <c r="R34" s="3">
        <f t="shared" si="122"/>
        <v>142993.48254900004</v>
      </c>
      <c r="S34" s="3">
        <f t="shared" si="122"/>
        <v>142993.48254900004</v>
      </c>
      <c r="T34" s="3">
        <f t="shared" si="122"/>
        <v>142993.48254900004</v>
      </c>
      <c r="U34" s="3">
        <f t="shared" si="122"/>
        <v>142993.48254900004</v>
      </c>
      <c r="V34" s="3">
        <f t="shared" si="122"/>
        <v>142993.48254900004</v>
      </c>
      <c r="W34" s="3">
        <f t="shared" si="122"/>
        <v>142993.48254900004</v>
      </c>
      <c r="X34" s="3">
        <f t="shared" si="122"/>
        <v>142993.48254900004</v>
      </c>
      <c r="Y34" s="3">
        <f t="shared" si="122"/>
        <v>142993.48254900004</v>
      </c>
      <c r="Z34" s="3">
        <f t="shared" si="122"/>
        <v>142993.48254900004</v>
      </c>
      <c r="AA34" s="3">
        <f t="shared" si="122"/>
        <v>142993.48254900004</v>
      </c>
      <c r="AB34" s="3">
        <f t="shared" si="122"/>
        <v>142993.48254900004</v>
      </c>
      <c r="AC34" s="3">
        <f t="shared" si="122"/>
        <v>142993.48254900004</v>
      </c>
      <c r="AD34" s="3">
        <f t="shared" si="122"/>
        <v>142993.48254900004</v>
      </c>
      <c r="AE34" s="3">
        <f t="shared" si="122"/>
        <v>142993.48254900004</v>
      </c>
      <c r="AF34" s="3">
        <f t="shared" si="122"/>
        <v>142993.48254900004</v>
      </c>
      <c r="AG34" s="3">
        <f t="shared" si="122"/>
        <v>142993.48254900004</v>
      </c>
      <c r="AH34" s="3">
        <f t="shared" si="122"/>
        <v>142993.48254900004</v>
      </c>
      <c r="AI34" s="3">
        <f t="shared" si="122"/>
        <v>142993.48254900004</v>
      </c>
      <c r="AJ34" s="3">
        <f t="shared" si="122"/>
        <v>142993.48254900004</v>
      </c>
      <c r="AK34" s="3">
        <f t="shared" si="122"/>
        <v>142993.48254900004</v>
      </c>
      <c r="AL34" s="3">
        <f t="shared" si="122"/>
        <v>142993.48254900004</v>
      </c>
      <c r="AM34" s="3">
        <f t="shared" si="122"/>
        <v>142993.48254900004</v>
      </c>
      <c r="AN34" s="3">
        <f t="shared" si="122"/>
        <v>142993.48254900004</v>
      </c>
      <c r="AO34" s="3">
        <f t="shared" si="122"/>
        <v>142993.48254900004</v>
      </c>
      <c r="AP34" s="3">
        <f t="shared" si="122"/>
        <v>142993.48254900004</v>
      </c>
      <c r="AQ34" s="3">
        <f t="shared" si="122"/>
        <v>142993.48254900004</v>
      </c>
      <c r="AR34" s="3">
        <f t="shared" si="122"/>
        <v>142993.48254900004</v>
      </c>
      <c r="AS34" s="3">
        <f t="shared" si="122"/>
        <v>142993.48254900004</v>
      </c>
      <c r="AT34" s="3">
        <f t="shared" si="122"/>
        <v>142993.48254900004</v>
      </c>
      <c r="AU34" s="3">
        <f t="shared" si="122"/>
        <v>142993.48254900004</v>
      </c>
      <c r="AV34" s="3">
        <f t="shared" si="122"/>
        <v>142993.48254900004</v>
      </c>
      <c r="AW34" s="3">
        <f t="shared" si="122"/>
        <v>142993.48254900004</v>
      </c>
      <c r="AX34" s="3">
        <f t="shared" si="122"/>
        <v>142993.48254900004</v>
      </c>
      <c r="AY34" s="3">
        <f t="shared" si="122"/>
        <v>142993.48254900004</v>
      </c>
      <c r="AZ34" s="3">
        <f t="shared" si="122"/>
        <v>142993.48254900004</v>
      </c>
      <c r="BA34" s="3">
        <f t="shared" si="122"/>
        <v>142993.48254900004</v>
      </c>
      <c r="BB34" s="3">
        <f t="shared" si="122"/>
        <v>142993.48254900004</v>
      </c>
      <c r="BC34" s="3">
        <f t="shared" si="122"/>
        <v>142993.48254900004</v>
      </c>
      <c r="BD34" s="3">
        <f t="shared" si="122"/>
        <v>142993.48254900004</v>
      </c>
      <c r="BE34" s="3">
        <f t="shared" si="122"/>
        <v>142993.48254900004</v>
      </c>
      <c r="BF34" s="3">
        <f t="shared" si="122"/>
        <v>142993.48254900004</v>
      </c>
      <c r="BG34" s="3">
        <f t="shared" si="122"/>
        <v>142993.48254900004</v>
      </c>
      <c r="BH34" s="3">
        <f t="shared" si="122"/>
        <v>142993.48254900004</v>
      </c>
      <c r="BI34" s="3">
        <f t="shared" si="122"/>
        <v>142993.48254900004</v>
      </c>
      <c r="BJ34" s="3">
        <f t="shared" si="122"/>
        <v>142993.48254900004</v>
      </c>
      <c r="BK34" s="3">
        <f t="shared" si="122"/>
        <v>142993.48254900004</v>
      </c>
      <c r="BL34" s="3">
        <f t="shared" si="122"/>
        <v>142993.48254900004</v>
      </c>
      <c r="BM34" s="3">
        <f t="shared" si="122"/>
        <v>142993.48254900004</v>
      </c>
      <c r="BN34" s="3">
        <f t="shared" si="122"/>
        <v>142993.48254900004</v>
      </c>
      <c r="BO34" s="3">
        <f t="shared" si="122"/>
        <v>142993.48254900004</v>
      </c>
      <c r="BP34" s="3">
        <f t="shared" si="122"/>
        <v>142993.48254900004</v>
      </c>
      <c r="BQ34" s="3">
        <f t="shared" si="122"/>
        <v>142993.48254900004</v>
      </c>
      <c r="BR34" s="3">
        <f t="shared" si="122"/>
        <v>142993.48254900004</v>
      </c>
      <c r="BS34" s="3">
        <f t="shared" si="122"/>
        <v>142993.48254900004</v>
      </c>
      <c r="BT34" s="3">
        <f t="shared" si="122"/>
        <v>142993.48254900004</v>
      </c>
      <c r="BU34" s="3">
        <f t="shared" si="122"/>
        <v>142993.48254900004</v>
      </c>
      <c r="BV34" s="3">
        <f t="shared" si="122"/>
        <v>142993.48254900004</v>
      </c>
      <c r="BW34" s="3">
        <f t="shared" si="122"/>
        <v>142993.48254900004</v>
      </c>
      <c r="BX34" s="3">
        <f t="shared" si="122"/>
        <v>142993.48254900004</v>
      </c>
      <c r="BY34" s="3">
        <f t="shared" si="122"/>
        <v>142993.48254900004</v>
      </c>
      <c r="BZ34" s="3">
        <f t="shared" si="122"/>
        <v>142993.48254900004</v>
      </c>
      <c r="CA34" s="3">
        <f t="shared" si="122"/>
        <v>142993.48254900004</v>
      </c>
      <c r="CB34" s="3">
        <f t="shared" ref="CB34:DR34" si="123">CA34</f>
        <v>142993.48254900004</v>
      </c>
      <c r="CC34" s="3">
        <f t="shared" si="123"/>
        <v>142993.48254900004</v>
      </c>
      <c r="CD34" s="3">
        <f t="shared" si="123"/>
        <v>142993.48254900004</v>
      </c>
      <c r="CE34" s="3">
        <f t="shared" si="123"/>
        <v>142993.48254900004</v>
      </c>
      <c r="CF34" s="3">
        <f t="shared" si="123"/>
        <v>142993.48254900004</v>
      </c>
      <c r="CG34" s="3">
        <f t="shared" si="123"/>
        <v>142993.48254900004</v>
      </c>
      <c r="CH34" s="3">
        <f t="shared" si="123"/>
        <v>142993.48254900004</v>
      </c>
      <c r="CI34" s="3">
        <f t="shared" si="123"/>
        <v>142993.48254900004</v>
      </c>
      <c r="CJ34" s="3">
        <f t="shared" si="123"/>
        <v>142993.48254900004</v>
      </c>
      <c r="CK34" s="3">
        <f t="shared" si="123"/>
        <v>142993.48254900004</v>
      </c>
      <c r="CL34" s="3">
        <f t="shared" si="123"/>
        <v>142993.48254900004</v>
      </c>
      <c r="CM34" s="3">
        <f t="shared" si="123"/>
        <v>142993.48254900004</v>
      </c>
      <c r="CN34" s="3">
        <f t="shared" si="123"/>
        <v>142993.48254900004</v>
      </c>
      <c r="CO34" s="3">
        <f t="shared" si="123"/>
        <v>142993.48254900004</v>
      </c>
      <c r="CP34" s="3">
        <f t="shared" si="123"/>
        <v>142993.48254900004</v>
      </c>
      <c r="CQ34" s="3">
        <f t="shared" si="123"/>
        <v>142993.48254900004</v>
      </c>
      <c r="CR34" s="3">
        <f t="shared" si="123"/>
        <v>142993.48254900004</v>
      </c>
      <c r="CS34" s="3">
        <f t="shared" si="123"/>
        <v>142993.48254900004</v>
      </c>
      <c r="CT34" s="3">
        <f t="shared" si="123"/>
        <v>142993.48254900004</v>
      </c>
      <c r="CU34" s="3">
        <f t="shared" si="123"/>
        <v>142993.48254900004</v>
      </c>
      <c r="CV34" s="3">
        <f t="shared" si="123"/>
        <v>142993.48254900004</v>
      </c>
      <c r="CW34" s="3">
        <f t="shared" si="123"/>
        <v>142993.48254900004</v>
      </c>
      <c r="CX34" s="3">
        <f t="shared" si="123"/>
        <v>142993.48254900004</v>
      </c>
      <c r="CY34" s="3">
        <f t="shared" si="123"/>
        <v>142993.48254900004</v>
      </c>
      <c r="CZ34" s="3">
        <f t="shared" si="123"/>
        <v>142993.48254900004</v>
      </c>
      <c r="DA34" s="3">
        <f t="shared" si="123"/>
        <v>142993.48254900004</v>
      </c>
      <c r="DB34" s="3">
        <f t="shared" si="123"/>
        <v>142993.48254900004</v>
      </c>
      <c r="DC34" s="3">
        <f t="shared" si="123"/>
        <v>142993.48254900004</v>
      </c>
      <c r="DD34" s="3">
        <f t="shared" si="123"/>
        <v>142993.48254900004</v>
      </c>
      <c r="DE34" s="3">
        <f t="shared" si="123"/>
        <v>142993.48254900004</v>
      </c>
      <c r="DF34" s="3">
        <f t="shared" si="123"/>
        <v>142993.48254900004</v>
      </c>
      <c r="DG34" s="3">
        <f t="shared" si="123"/>
        <v>142993.48254900004</v>
      </c>
      <c r="DH34" s="3">
        <f t="shared" si="123"/>
        <v>142993.48254900004</v>
      </c>
      <c r="DI34" s="3">
        <f t="shared" si="123"/>
        <v>142993.48254900004</v>
      </c>
      <c r="DJ34" s="3">
        <f t="shared" si="123"/>
        <v>142993.48254900004</v>
      </c>
      <c r="DK34" s="3">
        <f t="shared" si="123"/>
        <v>142993.48254900004</v>
      </c>
      <c r="DL34" s="3">
        <f t="shared" si="123"/>
        <v>142993.48254900004</v>
      </c>
      <c r="DM34" s="3">
        <f t="shared" si="123"/>
        <v>142993.48254900004</v>
      </c>
      <c r="DN34" s="3">
        <f t="shared" si="123"/>
        <v>142993.48254900004</v>
      </c>
      <c r="DO34" s="3">
        <f t="shared" si="123"/>
        <v>142993.48254900004</v>
      </c>
      <c r="DP34" s="3">
        <f t="shared" si="123"/>
        <v>142993.48254900004</v>
      </c>
      <c r="DQ34" s="3">
        <f t="shared" si="123"/>
        <v>142993.48254900004</v>
      </c>
      <c r="DR34" s="3">
        <f t="shared" si="123"/>
        <v>142993.48254900004</v>
      </c>
      <c r="DS34" s="1" t="s">
        <v>81</v>
      </c>
    </row>
    <row r="35" spans="2:123" s="3" customFormat="1" x14ac:dyDescent="0.25">
      <c r="B35" s="3" t="s">
        <v>86</v>
      </c>
      <c r="E35" s="3">
        <f>E29*E23/1000000</f>
        <v>6487.9999999999973</v>
      </c>
      <c r="F35" s="3">
        <f t="shared" ref="F35:N35" si="124">F29*F23/1000000</f>
        <v>11709.999999999996</v>
      </c>
      <c r="G35" s="3">
        <f t="shared" si="124"/>
        <v>17610.999999999996</v>
      </c>
      <c r="H35" s="3">
        <f t="shared" si="124"/>
        <v>13388</v>
      </c>
      <c r="I35" s="3">
        <f t="shared" si="124"/>
        <v>12767.492792999996</v>
      </c>
      <c r="J35" s="3">
        <f t="shared" si="124"/>
        <v>14044.242072299998</v>
      </c>
      <c r="K35" s="3">
        <f t="shared" si="124"/>
        <v>15448.666279529996</v>
      </c>
      <c r="L35" s="3">
        <f t="shared" si="124"/>
        <v>16993.532907482997</v>
      </c>
      <c r="M35" s="3">
        <f t="shared" si="124"/>
        <v>18692.886198231296</v>
      </c>
      <c r="N35" s="3">
        <f t="shared" si="124"/>
        <v>20562.174818054427</v>
      </c>
      <c r="O35" s="3">
        <f>N35</f>
        <v>20562.174818054427</v>
      </c>
      <c r="P35" s="3">
        <f t="shared" ref="P35:CA35" si="125">O35</f>
        <v>20562.174818054427</v>
      </c>
      <c r="Q35" s="3">
        <f t="shared" si="125"/>
        <v>20562.174818054427</v>
      </c>
      <c r="R35" s="3">
        <f t="shared" si="125"/>
        <v>20562.174818054427</v>
      </c>
      <c r="S35" s="3">
        <f t="shared" si="125"/>
        <v>20562.174818054427</v>
      </c>
      <c r="T35" s="3">
        <f t="shared" si="125"/>
        <v>20562.174818054427</v>
      </c>
      <c r="U35" s="3">
        <f t="shared" si="125"/>
        <v>20562.174818054427</v>
      </c>
      <c r="V35" s="3">
        <f t="shared" si="125"/>
        <v>20562.174818054427</v>
      </c>
      <c r="W35" s="3">
        <f t="shared" si="125"/>
        <v>20562.174818054427</v>
      </c>
      <c r="X35" s="3">
        <f t="shared" si="125"/>
        <v>20562.174818054427</v>
      </c>
      <c r="Y35" s="3">
        <f t="shared" si="125"/>
        <v>20562.174818054427</v>
      </c>
      <c r="Z35" s="3">
        <f t="shared" si="125"/>
        <v>20562.174818054427</v>
      </c>
      <c r="AA35" s="3">
        <f t="shared" si="125"/>
        <v>20562.174818054427</v>
      </c>
      <c r="AB35" s="3">
        <f t="shared" si="125"/>
        <v>20562.174818054427</v>
      </c>
      <c r="AC35" s="3">
        <f t="shared" si="125"/>
        <v>20562.174818054427</v>
      </c>
      <c r="AD35" s="3">
        <f t="shared" si="125"/>
        <v>20562.174818054427</v>
      </c>
      <c r="AE35" s="3">
        <f t="shared" si="125"/>
        <v>20562.174818054427</v>
      </c>
      <c r="AF35" s="3">
        <f t="shared" si="125"/>
        <v>20562.174818054427</v>
      </c>
      <c r="AG35" s="3">
        <f t="shared" si="125"/>
        <v>20562.174818054427</v>
      </c>
      <c r="AH35" s="3">
        <f t="shared" si="125"/>
        <v>20562.174818054427</v>
      </c>
      <c r="AI35" s="3">
        <f t="shared" si="125"/>
        <v>20562.174818054427</v>
      </c>
      <c r="AJ35" s="3">
        <f t="shared" si="125"/>
        <v>20562.174818054427</v>
      </c>
      <c r="AK35" s="3">
        <f t="shared" si="125"/>
        <v>20562.174818054427</v>
      </c>
      <c r="AL35" s="3">
        <f t="shared" si="125"/>
        <v>20562.174818054427</v>
      </c>
      <c r="AM35" s="3">
        <f t="shared" si="125"/>
        <v>20562.174818054427</v>
      </c>
      <c r="AN35" s="3">
        <f t="shared" si="125"/>
        <v>20562.174818054427</v>
      </c>
      <c r="AO35" s="3">
        <f t="shared" si="125"/>
        <v>20562.174818054427</v>
      </c>
      <c r="AP35" s="3">
        <f t="shared" si="125"/>
        <v>20562.174818054427</v>
      </c>
      <c r="AQ35" s="3">
        <f t="shared" si="125"/>
        <v>20562.174818054427</v>
      </c>
      <c r="AR35" s="3">
        <f t="shared" si="125"/>
        <v>20562.174818054427</v>
      </c>
      <c r="AS35" s="3">
        <f t="shared" si="125"/>
        <v>20562.174818054427</v>
      </c>
      <c r="AT35" s="3">
        <f t="shared" si="125"/>
        <v>20562.174818054427</v>
      </c>
      <c r="AU35" s="3">
        <f t="shared" si="125"/>
        <v>20562.174818054427</v>
      </c>
      <c r="AV35" s="3">
        <f t="shared" si="125"/>
        <v>20562.174818054427</v>
      </c>
      <c r="AW35" s="3">
        <f t="shared" si="125"/>
        <v>20562.174818054427</v>
      </c>
      <c r="AX35" s="3">
        <f t="shared" si="125"/>
        <v>20562.174818054427</v>
      </c>
      <c r="AY35" s="3">
        <f t="shared" si="125"/>
        <v>20562.174818054427</v>
      </c>
      <c r="AZ35" s="3">
        <f t="shared" si="125"/>
        <v>20562.174818054427</v>
      </c>
      <c r="BA35" s="3">
        <f t="shared" si="125"/>
        <v>20562.174818054427</v>
      </c>
      <c r="BB35" s="3">
        <f t="shared" si="125"/>
        <v>20562.174818054427</v>
      </c>
      <c r="BC35" s="3">
        <f t="shared" si="125"/>
        <v>20562.174818054427</v>
      </c>
      <c r="BD35" s="3">
        <f t="shared" si="125"/>
        <v>20562.174818054427</v>
      </c>
      <c r="BE35" s="3">
        <f t="shared" si="125"/>
        <v>20562.174818054427</v>
      </c>
      <c r="BF35" s="3">
        <f t="shared" si="125"/>
        <v>20562.174818054427</v>
      </c>
      <c r="BG35" s="3">
        <f t="shared" si="125"/>
        <v>20562.174818054427</v>
      </c>
      <c r="BH35" s="3">
        <f t="shared" si="125"/>
        <v>20562.174818054427</v>
      </c>
      <c r="BI35" s="3">
        <f t="shared" si="125"/>
        <v>20562.174818054427</v>
      </c>
      <c r="BJ35" s="3">
        <f t="shared" si="125"/>
        <v>20562.174818054427</v>
      </c>
      <c r="BK35" s="3">
        <f t="shared" si="125"/>
        <v>20562.174818054427</v>
      </c>
      <c r="BL35" s="3">
        <f t="shared" si="125"/>
        <v>20562.174818054427</v>
      </c>
      <c r="BM35" s="3">
        <f t="shared" si="125"/>
        <v>20562.174818054427</v>
      </c>
      <c r="BN35" s="3">
        <f t="shared" si="125"/>
        <v>20562.174818054427</v>
      </c>
      <c r="BO35" s="3">
        <f t="shared" si="125"/>
        <v>20562.174818054427</v>
      </c>
      <c r="BP35" s="3">
        <f t="shared" si="125"/>
        <v>20562.174818054427</v>
      </c>
      <c r="BQ35" s="3">
        <f t="shared" si="125"/>
        <v>20562.174818054427</v>
      </c>
      <c r="BR35" s="3">
        <f t="shared" si="125"/>
        <v>20562.174818054427</v>
      </c>
      <c r="BS35" s="3">
        <f t="shared" si="125"/>
        <v>20562.174818054427</v>
      </c>
      <c r="BT35" s="3">
        <f t="shared" si="125"/>
        <v>20562.174818054427</v>
      </c>
      <c r="BU35" s="3">
        <f t="shared" si="125"/>
        <v>20562.174818054427</v>
      </c>
      <c r="BV35" s="3">
        <f t="shared" si="125"/>
        <v>20562.174818054427</v>
      </c>
      <c r="BW35" s="3">
        <f t="shared" si="125"/>
        <v>20562.174818054427</v>
      </c>
      <c r="BX35" s="3">
        <f t="shared" si="125"/>
        <v>20562.174818054427</v>
      </c>
      <c r="BY35" s="3">
        <f t="shared" si="125"/>
        <v>20562.174818054427</v>
      </c>
      <c r="BZ35" s="3">
        <f t="shared" si="125"/>
        <v>20562.174818054427</v>
      </c>
      <c r="CA35" s="3">
        <f t="shared" si="125"/>
        <v>20562.174818054427</v>
      </c>
      <c r="CB35" s="3">
        <f t="shared" ref="CB35:DR35" si="126">CA35</f>
        <v>20562.174818054427</v>
      </c>
      <c r="CC35" s="3">
        <f t="shared" si="126"/>
        <v>20562.174818054427</v>
      </c>
      <c r="CD35" s="3">
        <f t="shared" si="126"/>
        <v>20562.174818054427</v>
      </c>
      <c r="CE35" s="3">
        <f t="shared" si="126"/>
        <v>20562.174818054427</v>
      </c>
      <c r="CF35" s="3">
        <f t="shared" si="126"/>
        <v>20562.174818054427</v>
      </c>
      <c r="CG35" s="3">
        <f t="shared" si="126"/>
        <v>20562.174818054427</v>
      </c>
      <c r="CH35" s="3">
        <f t="shared" si="126"/>
        <v>20562.174818054427</v>
      </c>
      <c r="CI35" s="3">
        <f t="shared" si="126"/>
        <v>20562.174818054427</v>
      </c>
      <c r="CJ35" s="3">
        <f t="shared" si="126"/>
        <v>20562.174818054427</v>
      </c>
      <c r="CK35" s="3">
        <f t="shared" si="126"/>
        <v>20562.174818054427</v>
      </c>
      <c r="CL35" s="3">
        <f t="shared" si="126"/>
        <v>20562.174818054427</v>
      </c>
      <c r="CM35" s="3">
        <f t="shared" si="126"/>
        <v>20562.174818054427</v>
      </c>
      <c r="CN35" s="3">
        <f t="shared" si="126"/>
        <v>20562.174818054427</v>
      </c>
      <c r="CO35" s="3">
        <f t="shared" si="126"/>
        <v>20562.174818054427</v>
      </c>
      <c r="CP35" s="3">
        <f t="shared" si="126"/>
        <v>20562.174818054427</v>
      </c>
      <c r="CQ35" s="3">
        <f t="shared" si="126"/>
        <v>20562.174818054427</v>
      </c>
      <c r="CR35" s="3">
        <f t="shared" si="126"/>
        <v>20562.174818054427</v>
      </c>
      <c r="CS35" s="3">
        <f t="shared" si="126"/>
        <v>20562.174818054427</v>
      </c>
      <c r="CT35" s="3">
        <f t="shared" si="126"/>
        <v>20562.174818054427</v>
      </c>
      <c r="CU35" s="3">
        <f t="shared" si="126"/>
        <v>20562.174818054427</v>
      </c>
      <c r="CV35" s="3">
        <f t="shared" si="126"/>
        <v>20562.174818054427</v>
      </c>
      <c r="CW35" s="3">
        <f t="shared" si="126"/>
        <v>20562.174818054427</v>
      </c>
      <c r="CX35" s="3">
        <f t="shared" si="126"/>
        <v>20562.174818054427</v>
      </c>
      <c r="CY35" s="3">
        <f t="shared" si="126"/>
        <v>20562.174818054427</v>
      </c>
      <c r="CZ35" s="3">
        <f t="shared" si="126"/>
        <v>20562.174818054427</v>
      </c>
      <c r="DA35" s="3">
        <f t="shared" si="126"/>
        <v>20562.174818054427</v>
      </c>
      <c r="DB35" s="3">
        <f t="shared" si="126"/>
        <v>20562.174818054427</v>
      </c>
      <c r="DC35" s="3">
        <f t="shared" si="126"/>
        <v>20562.174818054427</v>
      </c>
      <c r="DD35" s="3">
        <f t="shared" si="126"/>
        <v>20562.174818054427</v>
      </c>
      <c r="DE35" s="3">
        <f t="shared" si="126"/>
        <v>20562.174818054427</v>
      </c>
      <c r="DF35" s="3">
        <f t="shared" si="126"/>
        <v>20562.174818054427</v>
      </c>
      <c r="DG35" s="3">
        <f t="shared" si="126"/>
        <v>20562.174818054427</v>
      </c>
      <c r="DH35" s="3">
        <f t="shared" si="126"/>
        <v>20562.174818054427</v>
      </c>
      <c r="DI35" s="3">
        <f t="shared" si="126"/>
        <v>20562.174818054427</v>
      </c>
      <c r="DJ35" s="3">
        <f t="shared" si="126"/>
        <v>20562.174818054427</v>
      </c>
      <c r="DK35" s="3">
        <f t="shared" si="126"/>
        <v>20562.174818054427</v>
      </c>
      <c r="DL35" s="3">
        <f t="shared" si="126"/>
        <v>20562.174818054427</v>
      </c>
      <c r="DM35" s="3">
        <f t="shared" si="126"/>
        <v>20562.174818054427</v>
      </c>
      <c r="DN35" s="3">
        <f t="shared" si="126"/>
        <v>20562.174818054427</v>
      </c>
      <c r="DO35" s="3">
        <f t="shared" si="126"/>
        <v>20562.174818054427</v>
      </c>
      <c r="DP35" s="3">
        <f t="shared" si="126"/>
        <v>20562.174818054427</v>
      </c>
      <c r="DQ35" s="3">
        <f t="shared" si="126"/>
        <v>20562.174818054427</v>
      </c>
      <c r="DR35" s="3">
        <f t="shared" si="126"/>
        <v>20562.174818054427</v>
      </c>
      <c r="DS35" s="3" t="s">
        <v>81</v>
      </c>
    </row>
    <row r="36" spans="2:123" x14ac:dyDescent="0.25">
      <c r="DS36" s="1" t="s">
        <v>81</v>
      </c>
    </row>
    <row r="37" spans="2:123" s="2" customFormat="1" x14ac:dyDescent="0.25">
      <c r="B37" s="2" t="s">
        <v>82</v>
      </c>
      <c r="H37" s="2">
        <v>1141</v>
      </c>
      <c r="I37" s="2">
        <f>H37*(1+$K$41)</f>
        <v>1198.05</v>
      </c>
      <c r="J37" s="2">
        <f t="shared" ref="J37:BU37" si="127">I37*(1+$K$41)</f>
        <v>1257.9525000000001</v>
      </c>
      <c r="K37" s="2">
        <f t="shared" si="127"/>
        <v>1320.8501250000002</v>
      </c>
      <c r="L37" s="2">
        <f t="shared" si="127"/>
        <v>1386.8926312500002</v>
      </c>
      <c r="M37" s="2">
        <f t="shared" si="127"/>
        <v>1456.2372628125004</v>
      </c>
      <c r="N37" s="2">
        <f t="shared" si="127"/>
        <v>1529.0491259531254</v>
      </c>
      <c r="O37" s="2">
        <f t="shared" si="127"/>
        <v>1605.5015822507817</v>
      </c>
      <c r="P37" s="2">
        <f t="shared" si="127"/>
        <v>1685.7766613633207</v>
      </c>
      <c r="Q37" s="2">
        <f t="shared" si="127"/>
        <v>1770.0654944314867</v>
      </c>
      <c r="R37" s="2">
        <f t="shared" si="127"/>
        <v>1858.5687691530611</v>
      </c>
      <c r="S37" s="2">
        <f t="shared" si="127"/>
        <v>1951.4972076107142</v>
      </c>
      <c r="T37" s="2">
        <f t="shared" si="127"/>
        <v>2049.0720679912502</v>
      </c>
      <c r="U37" s="2">
        <f t="shared" si="127"/>
        <v>2151.5256713908129</v>
      </c>
      <c r="V37" s="2">
        <f t="shared" si="127"/>
        <v>2259.1019549603539</v>
      </c>
      <c r="W37" s="2">
        <f t="shared" si="127"/>
        <v>2372.0570527083714</v>
      </c>
      <c r="X37" s="2">
        <f t="shared" si="127"/>
        <v>2490.6599053437899</v>
      </c>
      <c r="Y37" s="2">
        <f t="shared" si="127"/>
        <v>2615.1929006109794</v>
      </c>
      <c r="Z37" s="2">
        <f t="shared" si="127"/>
        <v>2745.9525456415286</v>
      </c>
      <c r="AA37" s="2">
        <f t="shared" si="127"/>
        <v>2883.2501729236051</v>
      </c>
      <c r="AB37" s="2">
        <f t="shared" si="127"/>
        <v>3027.4126815697855</v>
      </c>
      <c r="AC37" s="2">
        <f t="shared" si="127"/>
        <v>3178.7833156482748</v>
      </c>
      <c r="AD37" s="2">
        <f t="shared" si="127"/>
        <v>3337.7224814306887</v>
      </c>
      <c r="AE37" s="2">
        <f t="shared" si="127"/>
        <v>3504.6086055022233</v>
      </c>
      <c r="AF37" s="2">
        <f t="shared" si="127"/>
        <v>3679.8390357773346</v>
      </c>
      <c r="AG37" s="2">
        <f t="shared" si="127"/>
        <v>3863.8309875662017</v>
      </c>
      <c r="AH37" s="2">
        <f t="shared" si="127"/>
        <v>4057.022536944512</v>
      </c>
      <c r="AI37" s="2">
        <f t="shared" si="127"/>
        <v>4259.8736637917382</v>
      </c>
      <c r="AJ37" s="2">
        <f t="shared" si="127"/>
        <v>4472.8673469813257</v>
      </c>
      <c r="AK37" s="2">
        <f t="shared" si="127"/>
        <v>4696.5107143303921</v>
      </c>
      <c r="AL37" s="2">
        <f t="shared" si="127"/>
        <v>4931.336250046912</v>
      </c>
      <c r="AM37" s="2">
        <f t="shared" si="127"/>
        <v>5177.9030625492578</v>
      </c>
      <c r="AN37" s="2">
        <f t="shared" si="127"/>
        <v>5436.7982156767212</v>
      </c>
      <c r="AO37" s="2">
        <f t="shared" si="127"/>
        <v>5708.638126460557</v>
      </c>
      <c r="AP37" s="2">
        <f t="shared" si="127"/>
        <v>5994.0700327835848</v>
      </c>
      <c r="AQ37" s="2">
        <f t="shared" si="127"/>
        <v>6293.773534422764</v>
      </c>
      <c r="AR37" s="2">
        <f t="shared" si="127"/>
        <v>6608.4622111439021</v>
      </c>
      <c r="AS37" s="2">
        <f t="shared" si="127"/>
        <v>6938.8853217010974</v>
      </c>
      <c r="AT37" s="2">
        <f t="shared" si="127"/>
        <v>7285.8295877861528</v>
      </c>
      <c r="AU37" s="2">
        <f t="shared" si="127"/>
        <v>7650.1210671754607</v>
      </c>
      <c r="AV37" s="2">
        <f t="shared" si="127"/>
        <v>8032.6271205342337</v>
      </c>
      <c r="AW37" s="2">
        <f t="shared" si="127"/>
        <v>8434.2584765609463</v>
      </c>
      <c r="AX37" s="2">
        <f t="shared" si="127"/>
        <v>8855.9714003889949</v>
      </c>
      <c r="AY37" s="2">
        <f t="shared" si="127"/>
        <v>9298.7699704084444</v>
      </c>
      <c r="AZ37" s="2">
        <f t="shared" si="127"/>
        <v>9763.7084689288677</v>
      </c>
      <c r="BA37" s="2">
        <f t="shared" si="127"/>
        <v>10251.893892375312</v>
      </c>
      <c r="BB37" s="2">
        <f t="shared" si="127"/>
        <v>10764.488586994079</v>
      </c>
      <c r="BC37" s="2">
        <f t="shared" si="127"/>
        <v>11302.713016343783</v>
      </c>
      <c r="BD37" s="2">
        <f t="shared" si="127"/>
        <v>11867.848667160973</v>
      </c>
      <c r="BE37" s="2">
        <f t="shared" si="127"/>
        <v>12461.241100519022</v>
      </c>
      <c r="BF37" s="2">
        <f t="shared" si="127"/>
        <v>13084.303155544974</v>
      </c>
      <c r="BG37" s="2">
        <f t="shared" si="127"/>
        <v>13738.518313322224</v>
      </c>
      <c r="BH37" s="2">
        <f t="shared" si="127"/>
        <v>14425.444228988335</v>
      </c>
      <c r="BI37" s="2">
        <f t="shared" si="127"/>
        <v>15146.716440437753</v>
      </c>
      <c r="BJ37" s="2">
        <f t="shared" si="127"/>
        <v>15904.052262459641</v>
      </c>
      <c r="BK37" s="2">
        <f t="shared" si="127"/>
        <v>16699.254875582625</v>
      </c>
      <c r="BL37" s="2">
        <f t="shared" si="127"/>
        <v>17534.217619361756</v>
      </c>
      <c r="BM37" s="2">
        <f t="shared" si="127"/>
        <v>18410.928500329846</v>
      </c>
      <c r="BN37" s="2">
        <f t="shared" si="127"/>
        <v>19331.474925346338</v>
      </c>
      <c r="BO37" s="2">
        <f t="shared" si="127"/>
        <v>20298.048671613655</v>
      </c>
      <c r="BP37" s="2">
        <f t="shared" si="127"/>
        <v>21312.951105194337</v>
      </c>
      <c r="BQ37" s="2">
        <f t="shared" si="127"/>
        <v>22378.598660454056</v>
      </c>
      <c r="BR37" s="2">
        <f t="shared" si="127"/>
        <v>23497.52859347676</v>
      </c>
      <c r="BS37" s="2">
        <f t="shared" si="127"/>
        <v>24672.405023150597</v>
      </c>
      <c r="BT37" s="2">
        <f t="shared" si="127"/>
        <v>25906.025274308129</v>
      </c>
      <c r="BU37" s="2">
        <f t="shared" si="127"/>
        <v>27201.326538023535</v>
      </c>
      <c r="BV37" s="2">
        <f t="shared" ref="BV37:DR37" si="128">BU37*(1+$K$41)</f>
        <v>28561.392864924714</v>
      </c>
      <c r="BW37" s="2">
        <f t="shared" si="128"/>
        <v>29989.462508170949</v>
      </c>
      <c r="BX37" s="2">
        <f t="shared" si="128"/>
        <v>31488.935633579498</v>
      </c>
      <c r="BY37" s="2">
        <f t="shared" si="128"/>
        <v>33063.382415258471</v>
      </c>
      <c r="BZ37" s="2">
        <f t="shared" si="128"/>
        <v>34716.551536021398</v>
      </c>
      <c r="CA37" s="2">
        <f t="shared" si="128"/>
        <v>36452.379112822469</v>
      </c>
      <c r="CB37" s="2">
        <f t="shared" si="128"/>
        <v>38274.998068463596</v>
      </c>
      <c r="CC37" s="2">
        <f t="shared" si="128"/>
        <v>40188.747971886776</v>
      </c>
      <c r="CD37" s="2">
        <f t="shared" si="128"/>
        <v>42198.185370481115</v>
      </c>
      <c r="CE37" s="2">
        <f t="shared" si="128"/>
        <v>44308.094639005176</v>
      </c>
      <c r="CF37" s="2">
        <f t="shared" si="128"/>
        <v>46523.49937095544</v>
      </c>
      <c r="CG37" s="2">
        <f t="shared" si="128"/>
        <v>48849.674339503217</v>
      </c>
      <c r="CH37" s="2">
        <f t="shared" si="128"/>
        <v>51292.15805647838</v>
      </c>
      <c r="CI37" s="2">
        <f t="shared" si="128"/>
        <v>53856.765959302298</v>
      </c>
      <c r="CJ37" s="2">
        <f t="shared" si="128"/>
        <v>56549.604257267412</v>
      </c>
      <c r="CK37" s="2">
        <f t="shared" si="128"/>
        <v>59377.084470130787</v>
      </c>
      <c r="CL37" s="2">
        <f t="shared" si="128"/>
        <v>62345.938693637327</v>
      </c>
      <c r="CM37" s="2">
        <f t="shared" si="128"/>
        <v>65463.235628319198</v>
      </c>
      <c r="CN37" s="2">
        <f t="shared" si="128"/>
        <v>68736.39740973516</v>
      </c>
      <c r="CO37" s="2">
        <f t="shared" si="128"/>
        <v>72173.217280221928</v>
      </c>
      <c r="CP37" s="2">
        <f t="shared" si="128"/>
        <v>75781.878144233022</v>
      </c>
      <c r="CQ37" s="2">
        <f t="shared" si="128"/>
        <v>79570.972051444682</v>
      </c>
      <c r="CR37" s="2">
        <f t="shared" si="128"/>
        <v>83549.520654016917</v>
      </c>
      <c r="CS37" s="2">
        <f t="shared" si="128"/>
        <v>87726.996686717772</v>
      </c>
      <c r="CT37" s="2">
        <f t="shared" si="128"/>
        <v>92113.346521053667</v>
      </c>
      <c r="CU37" s="2">
        <f t="shared" si="128"/>
        <v>96719.013847106355</v>
      </c>
      <c r="CV37" s="2">
        <f t="shared" si="128"/>
        <v>101554.96453946168</v>
      </c>
      <c r="CW37" s="2">
        <f t="shared" si="128"/>
        <v>106632.71276643476</v>
      </c>
      <c r="CX37" s="2">
        <f t="shared" si="128"/>
        <v>111964.34840475651</v>
      </c>
      <c r="CY37" s="2">
        <f t="shared" si="128"/>
        <v>117562.56582499435</v>
      </c>
      <c r="CZ37" s="2">
        <f t="shared" si="128"/>
        <v>123440.69411624408</v>
      </c>
      <c r="DA37" s="2">
        <f t="shared" si="128"/>
        <v>129612.72882205629</v>
      </c>
      <c r="DB37" s="2">
        <f t="shared" si="128"/>
        <v>136093.36526315912</v>
      </c>
      <c r="DC37" s="2">
        <f t="shared" si="128"/>
        <v>142898.0335263171</v>
      </c>
      <c r="DD37" s="2">
        <f t="shared" si="128"/>
        <v>150042.93520263297</v>
      </c>
      <c r="DE37" s="2">
        <f t="shared" si="128"/>
        <v>157545.08196276464</v>
      </c>
      <c r="DF37" s="2">
        <f t="shared" si="128"/>
        <v>165422.33606090289</v>
      </c>
      <c r="DG37" s="2">
        <f t="shared" si="128"/>
        <v>173693.45286394804</v>
      </c>
      <c r="DH37" s="2">
        <f t="shared" si="128"/>
        <v>182378.12550714545</v>
      </c>
      <c r="DI37" s="2">
        <f t="shared" si="128"/>
        <v>191497.03178250275</v>
      </c>
      <c r="DJ37" s="2">
        <f t="shared" si="128"/>
        <v>201071.88337162789</v>
      </c>
      <c r="DK37" s="2">
        <f t="shared" si="128"/>
        <v>211125.47754020931</v>
      </c>
      <c r="DL37" s="2">
        <f t="shared" si="128"/>
        <v>221681.75141721978</v>
      </c>
      <c r="DM37" s="2">
        <f t="shared" si="128"/>
        <v>232765.8389880808</v>
      </c>
      <c r="DN37" s="2">
        <f t="shared" si="128"/>
        <v>244404.13093748485</v>
      </c>
      <c r="DO37" s="2">
        <f t="shared" si="128"/>
        <v>256624.3374843591</v>
      </c>
      <c r="DP37" s="2">
        <f t="shared" si="128"/>
        <v>269455.55435857706</v>
      </c>
      <c r="DQ37" s="2">
        <f t="shared" si="128"/>
        <v>282928.33207650593</v>
      </c>
      <c r="DR37" s="2">
        <f t="shared" si="128"/>
        <v>297074.74868033122</v>
      </c>
      <c r="DS37" s="2" t="s">
        <v>81</v>
      </c>
    </row>
    <row r="38" spans="2:123" x14ac:dyDescent="0.25">
      <c r="DS38" s="1" t="s">
        <v>81</v>
      </c>
    </row>
    <row r="39" spans="2:123" s="5" customFormat="1" x14ac:dyDescent="0.25">
      <c r="B39" s="5" t="s">
        <v>73</v>
      </c>
      <c r="H39" s="2">
        <f>H37+H35</f>
        <v>14529</v>
      </c>
      <c r="I39" s="2">
        <f t="shared" ref="I39:BT39" si="129">I37+I35</f>
        <v>13965.542792999995</v>
      </c>
      <c r="J39" s="2">
        <f t="shared" si="129"/>
        <v>15302.194572299997</v>
      </c>
      <c r="K39" s="2">
        <f t="shared" si="129"/>
        <v>16769.516404529997</v>
      </c>
      <c r="L39" s="2">
        <f t="shared" si="129"/>
        <v>18380.425538732998</v>
      </c>
      <c r="M39" s="2">
        <f t="shared" si="129"/>
        <v>20149.123461043797</v>
      </c>
      <c r="N39" s="2">
        <f t="shared" si="129"/>
        <v>22091.223944007554</v>
      </c>
      <c r="O39" s="2">
        <f t="shared" si="129"/>
        <v>22167.676400305209</v>
      </c>
      <c r="P39" s="2">
        <f t="shared" si="129"/>
        <v>22247.951479417748</v>
      </c>
      <c r="Q39" s="2">
        <f t="shared" si="129"/>
        <v>22332.240312485916</v>
      </c>
      <c r="R39" s="2">
        <f t="shared" si="129"/>
        <v>22420.743587207489</v>
      </c>
      <c r="S39" s="2">
        <f t="shared" si="129"/>
        <v>22513.672025665142</v>
      </c>
      <c r="T39" s="2">
        <f t="shared" si="129"/>
        <v>22611.246886045679</v>
      </c>
      <c r="U39" s="2">
        <f t="shared" si="129"/>
        <v>22713.70048944524</v>
      </c>
      <c r="V39" s="2">
        <f t="shared" si="129"/>
        <v>22821.276773014783</v>
      </c>
      <c r="W39" s="2">
        <f t="shared" si="129"/>
        <v>22934.2318707628</v>
      </c>
      <c r="X39" s="2">
        <f t="shared" si="129"/>
        <v>23052.834723398217</v>
      </c>
      <c r="Y39" s="2">
        <f t="shared" si="129"/>
        <v>23177.367718665406</v>
      </c>
      <c r="Z39" s="2">
        <f t="shared" si="129"/>
        <v>23308.127363695956</v>
      </c>
      <c r="AA39" s="2">
        <f t="shared" si="129"/>
        <v>23445.424990978034</v>
      </c>
      <c r="AB39" s="2">
        <f t="shared" si="129"/>
        <v>23589.587499624213</v>
      </c>
      <c r="AC39" s="2">
        <f t="shared" si="129"/>
        <v>23740.958133702701</v>
      </c>
      <c r="AD39" s="2">
        <f t="shared" si="129"/>
        <v>23899.897299485117</v>
      </c>
      <c r="AE39" s="2">
        <f t="shared" si="129"/>
        <v>24066.783423556652</v>
      </c>
      <c r="AF39" s="2">
        <f t="shared" si="129"/>
        <v>24242.013853831762</v>
      </c>
      <c r="AG39" s="2">
        <f t="shared" si="129"/>
        <v>24426.005805620629</v>
      </c>
      <c r="AH39" s="2">
        <f t="shared" si="129"/>
        <v>24619.197354998938</v>
      </c>
      <c r="AI39" s="2">
        <f t="shared" si="129"/>
        <v>24822.048481846166</v>
      </c>
      <c r="AJ39" s="2">
        <f t="shared" si="129"/>
        <v>25035.042165035753</v>
      </c>
      <c r="AK39" s="2">
        <f t="shared" si="129"/>
        <v>25258.685532384821</v>
      </c>
      <c r="AL39" s="2">
        <f t="shared" si="129"/>
        <v>25493.511068101339</v>
      </c>
      <c r="AM39" s="2">
        <f t="shared" si="129"/>
        <v>25740.077880603683</v>
      </c>
      <c r="AN39" s="2">
        <f t="shared" si="129"/>
        <v>25998.973033731148</v>
      </c>
      <c r="AO39" s="2">
        <f t="shared" si="129"/>
        <v>26270.812944514983</v>
      </c>
      <c r="AP39" s="2">
        <f t="shared" si="129"/>
        <v>26556.244850838011</v>
      </c>
      <c r="AQ39" s="2">
        <f t="shared" si="129"/>
        <v>26855.948352477193</v>
      </c>
      <c r="AR39" s="2">
        <f t="shared" si="129"/>
        <v>27170.637029198329</v>
      </c>
      <c r="AS39" s="2">
        <f t="shared" si="129"/>
        <v>27501.060139755526</v>
      </c>
      <c r="AT39" s="2">
        <f t="shared" si="129"/>
        <v>27848.00440584058</v>
      </c>
      <c r="AU39" s="2">
        <f t="shared" si="129"/>
        <v>28212.295885229887</v>
      </c>
      <c r="AV39" s="2">
        <f t="shared" si="129"/>
        <v>28594.801938588662</v>
      </c>
      <c r="AW39" s="2">
        <f t="shared" si="129"/>
        <v>28996.433294615374</v>
      </c>
      <c r="AX39" s="2">
        <f t="shared" si="129"/>
        <v>29418.14621844342</v>
      </c>
      <c r="AY39" s="2">
        <f t="shared" si="129"/>
        <v>29860.944788462872</v>
      </c>
      <c r="AZ39" s="2">
        <f t="shared" si="129"/>
        <v>30325.883286983295</v>
      </c>
      <c r="BA39" s="2">
        <f t="shared" si="129"/>
        <v>30814.068710429739</v>
      </c>
      <c r="BB39" s="2">
        <f t="shared" si="129"/>
        <v>31326.663405048508</v>
      </c>
      <c r="BC39" s="2">
        <f t="shared" si="129"/>
        <v>31864.887834398211</v>
      </c>
      <c r="BD39" s="2">
        <f t="shared" si="129"/>
        <v>32430.023485215403</v>
      </c>
      <c r="BE39" s="2">
        <f t="shared" si="129"/>
        <v>33023.415918573446</v>
      </c>
      <c r="BF39" s="2">
        <f t="shared" si="129"/>
        <v>33646.477973599402</v>
      </c>
      <c r="BG39" s="2">
        <f t="shared" si="129"/>
        <v>34300.693131376654</v>
      </c>
      <c r="BH39" s="2">
        <f t="shared" si="129"/>
        <v>34987.619047042761</v>
      </c>
      <c r="BI39" s="2">
        <f t="shared" si="129"/>
        <v>35708.891258492178</v>
      </c>
      <c r="BJ39" s="2">
        <f t="shared" si="129"/>
        <v>36466.227080514072</v>
      </c>
      <c r="BK39" s="2">
        <f t="shared" si="129"/>
        <v>37261.429693637052</v>
      </c>
      <c r="BL39" s="2">
        <f t="shared" si="129"/>
        <v>38096.392437416187</v>
      </c>
      <c r="BM39" s="2">
        <f t="shared" si="129"/>
        <v>38973.103318384274</v>
      </c>
      <c r="BN39" s="2">
        <f t="shared" si="129"/>
        <v>39893.649743400762</v>
      </c>
      <c r="BO39" s="2">
        <f t="shared" si="129"/>
        <v>40860.223489668082</v>
      </c>
      <c r="BP39" s="2">
        <f t="shared" si="129"/>
        <v>41875.125923248765</v>
      </c>
      <c r="BQ39" s="2">
        <f t="shared" si="129"/>
        <v>42940.773478508483</v>
      </c>
      <c r="BR39" s="2">
        <f t="shared" si="129"/>
        <v>44059.703411531184</v>
      </c>
      <c r="BS39" s="2">
        <f t="shared" si="129"/>
        <v>45234.579841205021</v>
      </c>
      <c r="BT39" s="2">
        <f t="shared" si="129"/>
        <v>46468.20009236256</v>
      </c>
      <c r="BU39" s="2">
        <f t="shared" ref="BU39:DR39" si="130">BU37+BU35</f>
        <v>47763.501356077963</v>
      </c>
      <c r="BV39" s="2">
        <f t="shared" si="130"/>
        <v>49123.567682979141</v>
      </c>
      <c r="BW39" s="2">
        <f t="shared" si="130"/>
        <v>50551.637326225376</v>
      </c>
      <c r="BX39" s="2">
        <f t="shared" si="130"/>
        <v>52051.110451633926</v>
      </c>
      <c r="BY39" s="2">
        <f t="shared" si="130"/>
        <v>53625.557233312895</v>
      </c>
      <c r="BZ39" s="2">
        <f t="shared" si="130"/>
        <v>55278.726354075829</v>
      </c>
      <c r="CA39" s="2">
        <f t="shared" si="130"/>
        <v>57014.553930876893</v>
      </c>
      <c r="CB39" s="2">
        <f t="shared" si="130"/>
        <v>58837.172886518019</v>
      </c>
      <c r="CC39" s="2">
        <f t="shared" si="130"/>
        <v>60750.922789941207</v>
      </c>
      <c r="CD39" s="2">
        <f t="shared" si="130"/>
        <v>62760.360188535546</v>
      </c>
      <c r="CE39" s="2">
        <f t="shared" si="130"/>
        <v>64870.269457059607</v>
      </c>
      <c r="CF39" s="2">
        <f t="shared" si="130"/>
        <v>67085.674189009864</v>
      </c>
      <c r="CG39" s="2">
        <f t="shared" si="130"/>
        <v>69411.849157557648</v>
      </c>
      <c r="CH39" s="2">
        <f t="shared" si="130"/>
        <v>71854.332874532804</v>
      </c>
      <c r="CI39" s="2">
        <f t="shared" si="130"/>
        <v>74418.940777356722</v>
      </c>
      <c r="CJ39" s="2">
        <f t="shared" si="130"/>
        <v>77111.779075321843</v>
      </c>
      <c r="CK39" s="2">
        <f t="shared" si="130"/>
        <v>79939.259288185218</v>
      </c>
      <c r="CL39" s="2">
        <f t="shared" si="130"/>
        <v>82908.113511691758</v>
      </c>
      <c r="CM39" s="2">
        <f t="shared" si="130"/>
        <v>86025.410446373629</v>
      </c>
      <c r="CN39" s="2">
        <f t="shared" si="130"/>
        <v>89298.572227789584</v>
      </c>
      <c r="CO39" s="2">
        <f t="shared" si="130"/>
        <v>92735.392098276352</v>
      </c>
      <c r="CP39" s="2">
        <f t="shared" si="130"/>
        <v>96344.052962287446</v>
      </c>
      <c r="CQ39" s="2">
        <f t="shared" si="130"/>
        <v>100133.14686949911</v>
      </c>
      <c r="CR39" s="2">
        <f t="shared" si="130"/>
        <v>104111.69547207134</v>
      </c>
      <c r="CS39" s="2">
        <f t="shared" si="130"/>
        <v>108289.1715047722</v>
      </c>
      <c r="CT39" s="2">
        <f t="shared" si="130"/>
        <v>112675.52133910809</v>
      </c>
      <c r="CU39" s="2">
        <f t="shared" si="130"/>
        <v>117281.18866516078</v>
      </c>
      <c r="CV39" s="2">
        <f t="shared" si="130"/>
        <v>122117.13935751611</v>
      </c>
      <c r="CW39" s="2">
        <f t="shared" si="130"/>
        <v>127194.88758448919</v>
      </c>
      <c r="CX39" s="2">
        <f t="shared" si="130"/>
        <v>132526.52322281094</v>
      </c>
      <c r="CY39" s="2">
        <f t="shared" si="130"/>
        <v>138124.74064304878</v>
      </c>
      <c r="CZ39" s="2">
        <f t="shared" si="130"/>
        <v>144002.86893429852</v>
      </c>
      <c r="DA39" s="2">
        <f t="shared" si="130"/>
        <v>150174.90364011072</v>
      </c>
      <c r="DB39" s="2">
        <f t="shared" si="130"/>
        <v>156655.54008121355</v>
      </c>
      <c r="DC39" s="2">
        <f t="shared" si="130"/>
        <v>163460.20834437152</v>
      </c>
      <c r="DD39" s="2">
        <f t="shared" si="130"/>
        <v>170605.1100206874</v>
      </c>
      <c r="DE39" s="2">
        <f t="shared" si="130"/>
        <v>178107.25678081907</v>
      </c>
      <c r="DF39" s="2">
        <f t="shared" si="130"/>
        <v>185984.51087895731</v>
      </c>
      <c r="DG39" s="2">
        <f t="shared" si="130"/>
        <v>194255.62768200247</v>
      </c>
      <c r="DH39" s="2">
        <f t="shared" si="130"/>
        <v>202940.30032519987</v>
      </c>
      <c r="DI39" s="2">
        <f t="shared" si="130"/>
        <v>212059.20660055717</v>
      </c>
      <c r="DJ39" s="2">
        <f t="shared" si="130"/>
        <v>221634.05818968231</v>
      </c>
      <c r="DK39" s="2">
        <f t="shared" si="130"/>
        <v>231687.65235826373</v>
      </c>
      <c r="DL39" s="2">
        <f t="shared" si="130"/>
        <v>242243.92623527421</v>
      </c>
      <c r="DM39" s="2">
        <f t="shared" si="130"/>
        <v>253328.01380613522</v>
      </c>
      <c r="DN39" s="2">
        <f t="shared" si="130"/>
        <v>264966.30575553927</v>
      </c>
      <c r="DO39" s="2">
        <f t="shared" si="130"/>
        <v>277186.51230241352</v>
      </c>
      <c r="DP39" s="2">
        <f t="shared" si="130"/>
        <v>290017.72917663149</v>
      </c>
      <c r="DQ39" s="2">
        <f t="shared" si="130"/>
        <v>303490.50689456036</v>
      </c>
      <c r="DR39" s="2">
        <f t="shared" si="130"/>
        <v>317636.92349838564</v>
      </c>
      <c r="DS39" s="5" t="s">
        <v>81</v>
      </c>
    </row>
    <row r="40" spans="2:123" x14ac:dyDescent="0.25">
      <c r="DS40" s="1" t="s">
        <v>81</v>
      </c>
    </row>
    <row r="41" spans="2:123" x14ac:dyDescent="0.25">
      <c r="J41" s="1" t="s">
        <v>83</v>
      </c>
      <c r="K41" s="4">
        <v>0.05</v>
      </c>
    </row>
    <row r="42" spans="2:123" x14ac:dyDescent="0.25">
      <c r="J42" s="1" t="s">
        <v>75</v>
      </c>
      <c r="K42" s="4">
        <v>0.05</v>
      </c>
    </row>
    <row r="43" spans="2:123" x14ac:dyDescent="0.25">
      <c r="J43" s="1" t="s">
        <v>76</v>
      </c>
      <c r="K43" s="3">
        <f>NPV(K42,I39:DR39)</f>
        <v>517584.72699591768</v>
      </c>
    </row>
    <row r="44" spans="2:123" x14ac:dyDescent="0.25">
      <c r="J44" s="1" t="s">
        <v>77</v>
      </c>
      <c r="K44" s="3">
        <f ca="1">K43/(Main!F8/1000000)</f>
        <v>161238334.17316738</v>
      </c>
    </row>
    <row r="45" spans="2:123" x14ac:dyDescent="0.25">
      <c r="J45" s="1" t="s">
        <v>84</v>
      </c>
      <c r="K45" s="4">
        <f ca="1">K44/Main!F7-1</f>
        <v>389802.53489306493</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1DE65-76A2-465D-BE5F-E85FF52DA283}">
  <dimension ref="A2"/>
  <sheetViews>
    <sheetView workbookViewId="0">
      <selection activeCell="C27" sqref="C27"/>
    </sheetView>
  </sheetViews>
  <sheetFormatPr defaultRowHeight="13.2" x14ac:dyDescent="0.25"/>
  <cols>
    <col min="1" max="1" width="11" style="1" bestFit="1" customWidth="1"/>
    <col min="2" max="16384" width="8.88671875" style="1"/>
  </cols>
  <sheetData>
    <row r="2" spans="1:1" x14ac:dyDescent="0.25">
      <c r="A2" s="13">
        <v>45414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Model</vt:lpstr>
      <vt:lpstr>Energy</vt:lpstr>
      <vt:lpstr>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Franciszek Kessler</dc:creator>
  <cp:lastModifiedBy>Franciszek Kessler</cp:lastModifiedBy>
  <dcterms:created xsi:type="dcterms:W3CDTF">2024-01-06T21:29:40Z</dcterms:created>
  <dcterms:modified xsi:type="dcterms:W3CDTF">2025-01-16T20:36:29Z</dcterms:modified>
</cp:coreProperties>
</file>