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3b49c27706f3b32/Portfolio/"/>
    </mc:Choice>
  </mc:AlternateContent>
  <xr:revisionPtr revIDLastSave="14" documentId="8_{106805D6-F640-42A7-B4AF-3F4E2D89A1AC}" xr6:coauthVersionLast="47" xr6:coauthVersionMax="47" xr10:uidLastSave="{0E61E896-53A1-4C18-ABC7-82E26C5B9217}"/>
  <bookViews>
    <workbookView xWindow="-120" yWindow="-120" windowWidth="20730" windowHeight="11160" tabRatio="902" xr2:uid="{928C45AE-D6BD-4AB4-8511-D6439157DD22}"/>
  </bookViews>
  <sheets>
    <sheet name="Puntos a tratar" sheetId="3" r:id="rId1"/>
    <sheet name="TD" sheetId="22" state="hidden" r:id="rId2"/>
    <sheet name="Hoja Final" sheetId="19" r:id="rId3"/>
    <sheet name="Hoja de Practica" sheetId="26" r:id="rId4"/>
    <sheet name="Recibo" sheetId="12" r:id="rId5"/>
    <sheet name="Aux Inf 2023 y 2024" sheetId="10" r:id="rId6"/>
    <sheet name="Aux Vac Ley y Feriados" sheetId="6" r:id="rId7"/>
    <sheet name="AuxDpto" sheetId="28" r:id="rId8"/>
    <sheet name="SI" sheetId="16" r:id="rId9"/>
    <sheet name="INDICE + COINCIDIR" sheetId="23" r:id="rId10"/>
  </sheets>
  <externalReferences>
    <externalReference r:id="rId11"/>
  </externalReferences>
  <definedNames>
    <definedName name="_xlnm._FilterDatabase" localSheetId="6" hidden="1">'Aux Vac Ley y Feriados'!#REF!</definedName>
    <definedName name="_xlnm._FilterDatabase" localSheetId="3" hidden="1">'Hoja de Practica'!$B$11:$G$11</definedName>
    <definedName name="_xlnm._FilterDatabase" localSheetId="2" hidden="1">'Hoja Final'!$B$11:$G$11</definedName>
    <definedName name="listadepart">[1]!Depart[Departamentos]</definedName>
    <definedName name="SegmentaciónDeDatos_Ciudad">#N/A</definedName>
    <definedName name="SegmentaciónDeDatos_Departamento1">#N/A</definedName>
  </definedNames>
  <calcPr calcId="191029"/>
  <pivotCaches>
    <pivotCache cacheId="0" r:id="rId12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3" l="1"/>
  <c r="D5" i="16"/>
  <c r="D6" i="16"/>
  <c r="D7" i="16"/>
  <c r="D8" i="16"/>
  <c r="I12" i="19"/>
  <c r="J12" i="19"/>
  <c r="M12" i="19"/>
  <c r="O12" i="19"/>
  <c r="Q12" i="19" s="1"/>
  <c r="I13" i="19"/>
  <c r="J13" i="19"/>
  <c r="M13" i="19"/>
  <c r="O13" i="19"/>
  <c r="I14" i="19"/>
  <c r="J14" i="19"/>
  <c r="M14" i="19"/>
  <c r="O14" i="19"/>
  <c r="I15" i="19"/>
  <c r="J15" i="19"/>
  <c r="M15" i="19"/>
  <c r="O15" i="19"/>
  <c r="I16" i="19"/>
  <c r="J16" i="19"/>
  <c r="M16" i="19"/>
  <c r="O16" i="19"/>
  <c r="Q16" i="19" s="1"/>
  <c r="I17" i="19"/>
  <c r="J17" i="19"/>
  <c r="M17" i="19"/>
  <c r="O17" i="19"/>
  <c r="Q17" i="19" s="1"/>
  <c r="I18" i="19"/>
  <c r="J18" i="19"/>
  <c r="M18" i="19"/>
  <c r="O18" i="19"/>
  <c r="I19" i="19"/>
  <c r="J19" i="19"/>
  <c r="M19" i="19"/>
  <c r="O19" i="19"/>
  <c r="I20" i="19"/>
  <c r="J20" i="19"/>
  <c r="M20" i="19"/>
  <c r="O20" i="19"/>
  <c r="Q20" i="19" s="1"/>
  <c r="I21" i="19"/>
  <c r="J21" i="19"/>
  <c r="M21" i="19"/>
  <c r="O21" i="19"/>
  <c r="Q21" i="19" s="1"/>
  <c r="I22" i="19"/>
  <c r="J22" i="19"/>
  <c r="M22" i="19"/>
  <c r="O22" i="19"/>
  <c r="I23" i="19"/>
  <c r="J23" i="19"/>
  <c r="M23" i="19"/>
  <c r="O23" i="19"/>
  <c r="Q23" i="19" s="1"/>
  <c r="I24" i="19"/>
  <c r="J24" i="19"/>
  <c r="M24" i="19"/>
  <c r="O24" i="19"/>
  <c r="Q24" i="19" s="1"/>
  <c r="I25" i="19"/>
  <c r="J25" i="19"/>
  <c r="M25" i="19"/>
  <c r="O25" i="19"/>
  <c r="Q25" i="19" s="1"/>
  <c r="I26" i="19"/>
  <c r="J26" i="19"/>
  <c r="M26" i="19"/>
  <c r="O26" i="19"/>
  <c r="Q26" i="19" s="1"/>
  <c r="I27" i="19"/>
  <c r="J27" i="19"/>
  <c r="M27" i="19"/>
  <c r="O27" i="19"/>
  <c r="Q27" i="19" s="1"/>
  <c r="I28" i="19"/>
  <c r="J28" i="19"/>
  <c r="M28" i="19"/>
  <c r="O28" i="19"/>
  <c r="I29" i="19"/>
  <c r="J29" i="19"/>
  <c r="M29" i="19"/>
  <c r="O29" i="19"/>
  <c r="I30" i="19"/>
  <c r="J30" i="19"/>
  <c r="M30" i="19"/>
  <c r="O30" i="19"/>
  <c r="S12" i="19"/>
  <c r="S13" i="19"/>
  <c r="S14" i="19"/>
  <c r="S15" i="19"/>
  <c r="S16" i="19"/>
  <c r="S17" i="19"/>
  <c r="S18" i="19"/>
  <c r="S19" i="19"/>
  <c r="S20" i="19"/>
  <c r="S21" i="19"/>
  <c r="S22" i="19"/>
  <c r="T22" i="19"/>
  <c r="U22" i="19" s="1"/>
  <c r="V22" i="19" s="1"/>
  <c r="S23" i="19"/>
  <c r="S24" i="19"/>
  <c r="S25" i="19"/>
  <c r="S26" i="19"/>
  <c r="S27" i="19"/>
  <c r="S28" i="19"/>
  <c r="S29" i="19"/>
  <c r="T29" i="19"/>
  <c r="U29" i="19" s="1"/>
  <c r="S30" i="19"/>
  <c r="H31" i="26"/>
  <c r="K10" i="26"/>
  <c r="H10" i="26"/>
  <c r="H9" i="26"/>
  <c r="H8" i="26"/>
  <c r="H7" i="26"/>
  <c r="C17" i="12"/>
  <c r="C16" i="12" s="1"/>
  <c r="Q14" i="19"/>
  <c r="Q15" i="19"/>
  <c r="Q18" i="19"/>
  <c r="Q19" i="19"/>
  <c r="Q29" i="19"/>
  <c r="Q30" i="19"/>
  <c r="Q13" i="19"/>
  <c r="Q22" i="19"/>
  <c r="Q28" i="19"/>
  <c r="H10" i="19"/>
  <c r="H9" i="19"/>
  <c r="H8" i="19"/>
  <c r="H7" i="19"/>
  <c r="D15" i="3"/>
  <c r="D10" i="3"/>
  <c r="D23" i="3"/>
  <c r="D9" i="3"/>
  <c r="D18" i="3"/>
  <c r="D8" i="3"/>
  <c r="D11" i="3"/>
  <c r="D20" i="3"/>
  <c r="D17" i="3"/>
  <c r="D14" i="3"/>
  <c r="D12" i="3"/>
  <c r="D19" i="3"/>
  <c r="D6" i="3"/>
  <c r="D7" i="3"/>
  <c r="T25" i="19" l="1"/>
  <c r="T13" i="19"/>
  <c r="T18" i="19"/>
  <c r="T20" i="19"/>
  <c r="U20" i="19" s="1"/>
  <c r="V20" i="19" s="1"/>
  <c r="T16" i="19"/>
  <c r="T12" i="19"/>
  <c r="T28" i="19"/>
  <c r="U28" i="19" s="1"/>
  <c r="V28" i="19" s="1"/>
  <c r="T24" i="19"/>
  <c r="U24" i="19" s="1"/>
  <c r="V24" i="19" s="1"/>
  <c r="T21" i="19"/>
  <c r="T17" i="19"/>
  <c r="U17" i="19" s="1"/>
  <c r="V17" i="19" s="1"/>
  <c r="T14" i="19"/>
  <c r="U14" i="19" s="1"/>
  <c r="V14" i="19" s="1"/>
  <c r="T27" i="19"/>
  <c r="U27" i="19" s="1"/>
  <c r="V27" i="19" s="1"/>
  <c r="T26" i="19"/>
  <c r="U26" i="19" s="1"/>
  <c r="V26" i="19" s="1"/>
  <c r="T23" i="19"/>
  <c r="U23" i="19" s="1"/>
  <c r="V23" i="19" s="1"/>
  <c r="T30" i="19"/>
  <c r="U30" i="19" s="1"/>
  <c r="V30" i="19" s="1"/>
  <c r="K30" i="19"/>
  <c r="L30" i="19" s="1"/>
  <c r="N30" i="19" s="1"/>
  <c r="R30" i="19" s="1"/>
  <c r="K29" i="19"/>
  <c r="L29" i="19" s="1"/>
  <c r="N29" i="19" s="1"/>
  <c r="R29" i="19" s="1"/>
  <c r="K28" i="19"/>
  <c r="L28" i="19" s="1"/>
  <c r="N28" i="19" s="1"/>
  <c r="R28" i="19" s="1"/>
  <c r="K27" i="19"/>
  <c r="L27" i="19" s="1"/>
  <c r="N27" i="19" s="1"/>
  <c r="R27" i="19" s="1"/>
  <c r="K26" i="19"/>
  <c r="L26" i="19" s="1"/>
  <c r="N26" i="19" s="1"/>
  <c r="R26" i="19" s="1"/>
  <c r="K25" i="19"/>
  <c r="L25" i="19" s="1"/>
  <c r="N25" i="19" s="1"/>
  <c r="R25" i="19" s="1"/>
  <c r="K24" i="19"/>
  <c r="L24" i="19" s="1"/>
  <c r="N24" i="19" s="1"/>
  <c r="R24" i="19" s="1"/>
  <c r="K23" i="19"/>
  <c r="L23" i="19" s="1"/>
  <c r="N23" i="19" s="1"/>
  <c r="R23" i="19" s="1"/>
  <c r="K22" i="19"/>
  <c r="L22" i="19" s="1"/>
  <c r="N22" i="19" s="1"/>
  <c r="R22" i="19" s="1"/>
  <c r="K21" i="19"/>
  <c r="L21" i="19" s="1"/>
  <c r="N21" i="19" s="1"/>
  <c r="R21" i="19" s="1"/>
  <c r="K20" i="19"/>
  <c r="L20" i="19" s="1"/>
  <c r="N20" i="19" s="1"/>
  <c r="R20" i="19" s="1"/>
  <c r="K19" i="19"/>
  <c r="L19" i="19" s="1"/>
  <c r="N19" i="19" s="1"/>
  <c r="R19" i="19" s="1"/>
  <c r="K18" i="19"/>
  <c r="L18" i="19" s="1"/>
  <c r="N18" i="19" s="1"/>
  <c r="R18" i="19" s="1"/>
  <c r="K17" i="19"/>
  <c r="L17" i="19" s="1"/>
  <c r="N17" i="19" s="1"/>
  <c r="R17" i="19" s="1"/>
  <c r="K16" i="19"/>
  <c r="L16" i="19" s="1"/>
  <c r="N16" i="19" s="1"/>
  <c r="R16" i="19" s="1"/>
  <c r="K15" i="19"/>
  <c r="L15" i="19" s="1"/>
  <c r="N15" i="19" s="1"/>
  <c r="R15" i="19" s="1"/>
  <c r="K14" i="19"/>
  <c r="L14" i="19" s="1"/>
  <c r="N14" i="19" s="1"/>
  <c r="R14" i="19" s="1"/>
  <c r="K13" i="19"/>
  <c r="L13" i="19" s="1"/>
  <c r="N13" i="19" s="1"/>
  <c r="R13" i="19" s="1"/>
  <c r="K12" i="19"/>
  <c r="L12" i="19" s="1"/>
  <c r="N12" i="19" s="1"/>
  <c r="R12" i="19" s="1"/>
  <c r="T19" i="19"/>
  <c r="U19" i="19" s="1"/>
  <c r="T15" i="19"/>
  <c r="U15" i="19" s="1"/>
  <c r="V15" i="19" s="1"/>
  <c r="U25" i="19"/>
  <c r="V25" i="19" s="1"/>
  <c r="U13" i="19"/>
  <c r="V13" i="19" s="1"/>
  <c r="U18" i="19"/>
  <c r="V18" i="19" s="1"/>
  <c r="U21" i="19"/>
  <c r="V21" i="19" s="1"/>
  <c r="U12" i="19"/>
  <c r="V12" i="19" s="1"/>
  <c r="U16" i="19"/>
  <c r="V16" i="19" s="1"/>
  <c r="V29" i="19"/>
  <c r="C36" i="19"/>
  <c r="C9" i="12"/>
  <c r="D16" i="12" s="1"/>
  <c r="C7" i="12"/>
  <c r="H31" i="19"/>
  <c r="K10" i="19"/>
  <c r="F21" i="12" l="1"/>
  <c r="V19" i="19"/>
  <c r="C10" i="12"/>
  <c r="D17" i="12" s="1"/>
  <c r="D28" i="3"/>
  <c r="D30" i="3"/>
  <c r="D31" i="3"/>
  <c r="D29" i="3"/>
  <c r="D27" i="3"/>
  <c r="F6" i="6" l="1"/>
  <c r="F5" i="6"/>
  <c r="F7" i="6"/>
  <c r="F8" i="6"/>
  <c r="E19" i="12" l="1"/>
  <c r="D22" i="12" l="1"/>
  <c r="E20" i="12"/>
  <c r="E18" i="12"/>
  <c r="E22" i="12" l="1"/>
  <c r="F22" i="12" s="1"/>
</calcChain>
</file>

<file path=xl/sharedStrings.xml><?xml version="1.0" encoding="utf-8"?>
<sst xmlns="http://schemas.openxmlformats.org/spreadsheetml/2006/main" count="474" uniqueCount="145">
  <si>
    <t>Nombre</t>
  </si>
  <si>
    <t>Fecha de Ingreso</t>
  </si>
  <si>
    <t>Departamento</t>
  </si>
  <si>
    <t>Ventas</t>
  </si>
  <si>
    <t>Mercadeo</t>
  </si>
  <si>
    <t>Tecnología</t>
  </si>
  <si>
    <t>Finanzas</t>
  </si>
  <si>
    <t>Trabajador 1</t>
  </si>
  <si>
    <t>Trabajador 2</t>
  </si>
  <si>
    <t>Trabajador 3</t>
  </si>
  <si>
    <t>Trabajador 4</t>
  </si>
  <si>
    <t>Trabajador 5</t>
  </si>
  <si>
    <t>Trabajador 6</t>
  </si>
  <si>
    <t>Trabajador 7</t>
  </si>
  <si>
    <t>Trabajador 8</t>
  </si>
  <si>
    <t>Trabajador 9</t>
  </si>
  <si>
    <t>Trabajador 10</t>
  </si>
  <si>
    <t>Trabajador 11</t>
  </si>
  <si>
    <t>Trabajador 12</t>
  </si>
  <si>
    <t>Trabajador 13</t>
  </si>
  <si>
    <t>Trabajador 14</t>
  </si>
  <si>
    <t>Trabajador 15</t>
  </si>
  <si>
    <t>Trabajador 16</t>
  </si>
  <si>
    <t>Trabajador 17</t>
  </si>
  <si>
    <t>Trabajador 18</t>
  </si>
  <si>
    <t>Trabajador 19</t>
  </si>
  <si>
    <t>Mendoza</t>
  </si>
  <si>
    <t>Cordoba</t>
  </si>
  <si>
    <t>ID</t>
  </si>
  <si>
    <t>Status</t>
  </si>
  <si>
    <t>Puntos a abordar</t>
  </si>
  <si>
    <t>Ciudad</t>
  </si>
  <si>
    <t>Antigüedad</t>
  </si>
  <si>
    <t>Más de 10 años y hasta 20 años</t>
  </si>
  <si>
    <t xml:space="preserve">Más de 20 años </t>
  </si>
  <si>
    <t>https://www.argentina.gob.ar/trabajo/casasparticulares/trabajador/vacaciones</t>
  </si>
  <si>
    <t>Fuente:</t>
  </si>
  <si>
    <t>Más de 06 meses y hasta 05 años</t>
  </si>
  <si>
    <t>Más de 05 años y hasta 10 años</t>
  </si>
  <si>
    <t>Días de Vacaciones (Corridos)</t>
  </si>
  <si>
    <t>Años</t>
  </si>
  <si>
    <t>Vacaciones solicitadas</t>
  </si>
  <si>
    <t>Fecha de Salida</t>
  </si>
  <si>
    <t>Fecha de Retorno</t>
  </si>
  <si>
    <t>Días no laborables</t>
  </si>
  <si>
    <t>https://www.lanacion.com.ar/feriados/2025/</t>
  </si>
  <si>
    <t>Feriados</t>
  </si>
  <si>
    <t>Fines de Sem</t>
  </si>
  <si>
    <t>Días Disponibles futuras vac</t>
  </si>
  <si>
    <t>Dias Disponibles futuras vacaciones</t>
  </si>
  <si>
    <t>Días de Vac s/Ley</t>
  </si>
  <si>
    <t>Días Hábiles Vac</t>
  </si>
  <si>
    <t>Días Tomados</t>
  </si>
  <si>
    <t>Días acum año anterior</t>
  </si>
  <si>
    <t>Total días Acum por Disfrute</t>
  </si>
  <si>
    <t xml:space="preserve">Vacaciones solicitadas </t>
  </si>
  <si>
    <t>Nombre de la Empresa, S.A.</t>
  </si>
  <si>
    <t xml:space="preserve">Período: </t>
  </si>
  <si>
    <t xml:space="preserve">Control de Vacaciones </t>
  </si>
  <si>
    <t>Días de Vac s/Ley año actual</t>
  </si>
  <si>
    <t>Días de Vac según Ley (año actual)</t>
  </si>
  <si>
    <t>Días restantes por disfrutar</t>
  </si>
  <si>
    <t>Fecha de salida</t>
  </si>
  <si>
    <t>Sueldo</t>
  </si>
  <si>
    <t>Subtotal vac</t>
  </si>
  <si>
    <t>Retenciones 17%</t>
  </si>
  <si>
    <t>Neto Vacaciones</t>
  </si>
  <si>
    <t>Total</t>
  </si>
  <si>
    <t>RRHH</t>
  </si>
  <si>
    <t>Resumen:</t>
  </si>
  <si>
    <t>Salario con plus vacacional</t>
  </si>
  <si>
    <t>Razón Social:</t>
  </si>
  <si>
    <t>CUIT</t>
  </si>
  <si>
    <t>30-XXXXXXXX-7</t>
  </si>
  <si>
    <t>Concepto</t>
  </si>
  <si>
    <t>Remuneraciones</t>
  </si>
  <si>
    <t>Descuentos</t>
  </si>
  <si>
    <t>Días</t>
  </si>
  <si>
    <t>Sueldo Normal</t>
  </si>
  <si>
    <t>Sueldo Vacaciones</t>
  </si>
  <si>
    <t>Jubilación 11%</t>
  </si>
  <si>
    <t>Obra Social 3%</t>
  </si>
  <si>
    <t>PAMI 3%</t>
  </si>
  <si>
    <t>Total a Pagar</t>
  </si>
  <si>
    <t>Adelanto de Vacaciones</t>
  </si>
  <si>
    <t>Recibo</t>
  </si>
  <si>
    <t>Prov Bs As</t>
  </si>
  <si>
    <t>CABA</t>
  </si>
  <si>
    <t>Firma Trabajador</t>
  </si>
  <si>
    <t>Firma empleador</t>
  </si>
  <si>
    <t>Carnaval</t>
  </si>
  <si>
    <t>Motivo</t>
  </si>
  <si>
    <t>Año nuevo</t>
  </si>
  <si>
    <t>Serv. al Cliente</t>
  </si>
  <si>
    <t>Admon</t>
  </si>
  <si>
    <t>Runa</t>
  </si>
  <si>
    <t>Misty</t>
  </si>
  <si>
    <t>Milo</t>
  </si>
  <si>
    <t>Merlot</t>
  </si>
  <si>
    <t>Adulto</t>
  </si>
  <si>
    <t>Clasificación</t>
  </si>
  <si>
    <t>Edad</t>
  </si>
  <si>
    <t>Días tomados durante el año en curso (Info previamente levantada)</t>
  </si>
  <si>
    <t>Días acum año anterior 2023</t>
  </si>
  <si>
    <t>Días acumulados ejercicio anterior (Info archivo anterior)</t>
  </si>
  <si>
    <t>Días tomados 2024</t>
  </si>
  <si>
    <t>Información recopilada durante ejercicio 2024</t>
  </si>
  <si>
    <t xml:space="preserve">Información guardada en nuestro archivos </t>
  </si>
  <si>
    <t>Vacaciones solicitadas (Info previamente levantada)</t>
  </si>
  <si>
    <t>Vacaciones Acumuladas por disfrutar Ejercicio anterior (2023)</t>
  </si>
  <si>
    <t>Vacaciones disfrutadas durante Ejercicio actual (2024)</t>
  </si>
  <si>
    <t>Vacaciones solicitadas período (2024)</t>
  </si>
  <si>
    <t>Información recopilada a partir de octubre 2024</t>
  </si>
  <si>
    <t>Crtl + E   / Crl +SHIFT +V  y Formato Personalizado de fecha</t>
  </si>
  <si>
    <t>Fecha de retorno (Ver feriados Ejm T13)</t>
  </si>
  <si>
    <t>Cálculo de liquidación "Adelanto Vacaciones"</t>
  </si>
  <si>
    <t>Salario con plus Vacacional</t>
  </si>
  <si>
    <t>Subtotal Vacaciones</t>
  </si>
  <si>
    <t>Función /Fórmula /Atajo /Herramienta (a aprender)</t>
  </si>
  <si>
    <t>Aplicar Segmentanción</t>
  </si>
  <si>
    <t>Filtros por Departamento y Ciudad</t>
  </si>
  <si>
    <t>Nombre del Trabajador</t>
  </si>
  <si>
    <t>Lista Desplegable</t>
  </si>
  <si>
    <t>Sueldo de Vacaciones</t>
  </si>
  <si>
    <t>FUNCION "SI"</t>
  </si>
  <si>
    <t>Neto Vacaciones (Adelanto)</t>
  </si>
  <si>
    <t>Resumen</t>
  </si>
  <si>
    <t>Género</t>
  </si>
  <si>
    <t>Total general</t>
  </si>
  <si>
    <t>👨 Masculino</t>
  </si>
  <si>
    <t>👩 Femenino</t>
  </si>
  <si>
    <t>% sobre el total</t>
  </si>
  <si>
    <t>% sobre filas</t>
  </si>
  <si>
    <t>Viernes Santo</t>
  </si>
  <si>
    <t>SUELDO</t>
  </si>
  <si>
    <t>FORMULA</t>
  </si>
  <si>
    <t>Cantidad de trabajadores de vacaciones por Dpto</t>
  </si>
  <si>
    <t>Fecha de Pago</t>
  </si>
  <si>
    <t>Mes Abonado</t>
  </si>
  <si>
    <t>COINCIDIR(E2;Tabla6[ID];0)</t>
  </si>
  <si>
    <t>INDICE(Tabla6[SUELDO];2)</t>
  </si>
  <si>
    <t xml:space="preserve">Total días acumulados de disfrute </t>
  </si>
  <si>
    <t>Fecha:</t>
  </si>
  <si>
    <r>
      <t xml:space="preserve">INDICE la usamos para traer el </t>
    </r>
    <r>
      <rPr>
        <b/>
        <sz val="11"/>
        <color theme="8" tint="0.39997558519241921"/>
        <rFont val="Segoe UI"/>
        <family val="2"/>
      </rPr>
      <t>VALOR BUSCADO</t>
    </r>
    <r>
      <rPr>
        <b/>
        <sz val="11"/>
        <color theme="1" tint="-0.249977111117893"/>
        <rFont val="Segoe UI"/>
        <family val="2"/>
      </rPr>
      <t xml:space="preserve"> (Días solicitados)</t>
    </r>
  </si>
  <si>
    <r>
      <t xml:space="preserve">COINCIDIR la usamos para saber </t>
    </r>
    <r>
      <rPr>
        <b/>
        <sz val="11"/>
        <color theme="8" tint="0.39997558519241921"/>
        <rFont val="Segoe UI"/>
        <family val="2"/>
      </rPr>
      <t>POSICIÓN</t>
    </r>
    <r>
      <rPr>
        <b/>
        <sz val="11"/>
        <color theme="1" tint="-0.249977111117893"/>
        <rFont val="Segoe UI"/>
        <family val="2"/>
      </rPr>
      <t xml:space="preserve"> del ID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</si>
</sst>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[$-2C0A]dddd\,\ dd&quot; de &quot;mmmm&quot; de &quot;yyyy;@"/>
    <numFmt numFmtId="166" formatCode="ddd\-dd\-mmm\-yyyy"/>
  </numFmts>
  <fonts count="22" x14ac:knownFonts="1"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rgb="FFFF0000"/>
      <name val="Segoe UI"/>
      <family val="2"/>
    </font>
    <font>
      <sz val="8"/>
      <name val="Segoe UI"/>
      <family val="2"/>
    </font>
    <font>
      <sz val="11"/>
      <name val="Segoe UI"/>
      <family val="2"/>
    </font>
    <font>
      <b/>
      <sz val="8"/>
      <name val="Aptos Narrow"/>
      <family val="2"/>
      <scheme val="minor"/>
    </font>
    <font>
      <b/>
      <sz val="11"/>
      <name val="Segoe UI"/>
      <family val="2"/>
    </font>
    <font>
      <u/>
      <sz val="11"/>
      <color theme="10"/>
      <name val="Segoe UI"/>
      <family val="2"/>
    </font>
    <font>
      <sz val="12"/>
      <name val="Segoe UI"/>
      <family val="2"/>
    </font>
    <font>
      <sz val="12"/>
      <name val="Aptos Narrow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b/>
      <sz val="11"/>
      <color theme="1"/>
      <name val="Segoe UI"/>
      <family val="2"/>
    </font>
    <font>
      <b/>
      <sz val="12"/>
      <name val="Aptos Narrow"/>
      <family val="2"/>
      <scheme val="minor"/>
    </font>
    <font>
      <sz val="10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sz val="8"/>
      <color theme="3" tint="-0.89999084444715716"/>
      <name val="Aptos Narrow"/>
      <family val="2"/>
      <scheme val="minor"/>
    </font>
    <font>
      <sz val="11"/>
      <color theme="3" tint="-0.89999084444715716"/>
      <name val="Segoe UI"/>
      <family val="2"/>
    </font>
    <font>
      <b/>
      <sz val="11"/>
      <color theme="3" tint="-0.89999084444715716"/>
      <name val="Segoe UI"/>
      <family val="2"/>
    </font>
    <font>
      <b/>
      <sz val="11"/>
      <color theme="1" tint="-0.249977111117893"/>
      <name val="Segoe UI"/>
      <family val="2"/>
    </font>
    <font>
      <b/>
      <sz val="11"/>
      <color theme="8" tint="0.399975585192419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1" tint="0.39997558519241921"/>
        <bgColor indexed="64"/>
      </patternFill>
    </fill>
    <fill>
      <patternFill patternType="solid">
        <fgColor theme="1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2" applyFill="1" applyBorder="1"/>
    <xf numFmtId="0" fontId="9" fillId="0" borderId="0" xfId="0" applyFont="1"/>
    <xf numFmtId="164" fontId="4" fillId="0" borderId="0" xfId="1" applyNumberFormat="1" applyFont="1" applyFill="1" applyBorder="1"/>
    <xf numFmtId="165" fontId="4" fillId="0" borderId="1" xfId="0" applyNumberFormat="1" applyFont="1" applyBorder="1"/>
    <xf numFmtId="165" fontId="6" fillId="2" borderId="2" xfId="0" applyNumberFormat="1" applyFont="1" applyFill="1" applyBorder="1"/>
    <xf numFmtId="164" fontId="9" fillId="0" borderId="3" xfId="1" applyNumberFormat="1" applyFont="1" applyBorder="1"/>
    <xf numFmtId="0" fontId="9" fillId="0" borderId="3" xfId="0" applyFont="1" applyBorder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6" fillId="0" borderId="0" xfId="0" applyNumberFormat="1" applyFont="1"/>
    <xf numFmtId="0" fontId="11" fillId="0" borderId="0" xfId="0" applyFont="1" applyAlignment="1">
      <alignment horizontal="center"/>
    </xf>
    <xf numFmtId="4" fontId="9" fillId="0" borderId="0" xfId="0" applyNumberFormat="1" applyFont="1"/>
    <xf numFmtId="0" fontId="8" fillId="0" borderId="0" xfId="0" applyFont="1"/>
    <xf numFmtId="14" fontId="6" fillId="0" borderId="0" xfId="0" applyNumberFormat="1" applyFont="1" applyAlignment="1">
      <alignment horizontal="left"/>
    </xf>
    <xf numFmtId="0" fontId="2" fillId="0" borderId="0" xfId="0" applyFont="1"/>
    <xf numFmtId="0" fontId="5" fillId="2" borderId="3" xfId="0" applyFont="1" applyFill="1" applyBorder="1" applyAlignment="1">
      <alignment horizontal="center" wrapText="1"/>
    </xf>
    <xf numFmtId="0" fontId="13" fillId="2" borderId="4" xfId="0" applyFont="1" applyFill="1" applyBorder="1" applyAlignment="1">
      <alignment horizontal="center" wrapText="1"/>
    </xf>
    <xf numFmtId="43" fontId="4" fillId="0" borderId="0" xfId="1" applyFont="1"/>
    <xf numFmtId="0" fontId="12" fillId="0" borderId="0" xfId="0" applyFont="1"/>
    <xf numFmtId="164" fontId="4" fillId="0" borderId="0" xfId="1" applyNumberFormat="1" applyFont="1"/>
    <xf numFmtId="43" fontId="0" fillId="0" borderId="0" xfId="0" applyNumberFormat="1"/>
    <xf numFmtId="43" fontId="4" fillId="0" borderId="0" xfId="0" applyNumberFormat="1" applyFont="1"/>
    <xf numFmtId="43" fontId="0" fillId="0" borderId="0" xfId="1" applyFont="1"/>
    <xf numFmtId="165" fontId="6" fillId="2" borderId="0" xfId="0" applyNumberFormat="1" applyFont="1" applyFill="1"/>
    <xf numFmtId="1" fontId="6" fillId="0" borderId="0" xfId="0" applyNumberFormat="1" applyFont="1" applyAlignment="1">
      <alignment horizontal="left"/>
    </xf>
    <xf numFmtId="1" fontId="6" fillId="3" borderId="0" xfId="0" applyNumberFormat="1" applyFont="1" applyFill="1" applyAlignment="1">
      <alignment horizontal="center"/>
    </xf>
    <xf numFmtId="0" fontId="4" fillId="4" borderId="0" xfId="0" applyFont="1" applyFill="1"/>
    <xf numFmtId="0" fontId="6" fillId="4" borderId="0" xfId="0" applyFont="1" applyFill="1" applyAlignment="1">
      <alignment horizontal="center"/>
    </xf>
    <xf numFmtId="164" fontId="5" fillId="0" borderId="0" xfId="1" applyNumberFormat="1" applyFont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164" fontId="8" fillId="0" borderId="3" xfId="1" applyNumberFormat="1" applyFont="1" applyBorder="1"/>
    <xf numFmtId="166" fontId="9" fillId="0" borderId="3" xfId="0" applyNumberFormat="1" applyFont="1" applyBorder="1"/>
    <xf numFmtId="166" fontId="13" fillId="0" borderId="3" xfId="0" applyNumberFormat="1" applyFont="1" applyBorder="1"/>
    <xf numFmtId="164" fontId="4" fillId="0" borderId="5" xfId="1" applyNumberFormat="1" applyFont="1" applyBorder="1"/>
    <xf numFmtId="164" fontId="4" fillId="0" borderId="7" xfId="1" applyNumberFormat="1" applyFont="1" applyBorder="1"/>
    <xf numFmtId="0" fontId="5" fillId="2" borderId="6" xfId="0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indent="2"/>
    </xf>
    <xf numFmtId="0" fontId="16" fillId="0" borderId="0" xfId="0" applyFont="1"/>
    <xf numFmtId="164" fontId="8" fillId="0" borderId="0" xfId="1" applyNumberFormat="1" applyFont="1" applyFill="1"/>
    <xf numFmtId="164" fontId="8" fillId="0" borderId="0" xfId="1" applyNumberFormat="1" applyFont="1" applyFill="1" applyBorder="1" applyAlignment="1">
      <alignment horizontal="center"/>
    </xf>
    <xf numFmtId="166" fontId="9" fillId="0" borderId="0" xfId="0" applyNumberFormat="1" applyFont="1"/>
    <xf numFmtId="164" fontId="4" fillId="0" borderId="0" xfId="0" applyNumberFormat="1" applyFont="1"/>
    <xf numFmtId="43" fontId="4" fillId="0" borderId="0" xfId="1" applyFont="1" applyFill="1"/>
    <xf numFmtId="0" fontId="9" fillId="5" borderId="0" xfId="0" applyFont="1" applyFill="1"/>
    <xf numFmtId="164" fontId="9" fillId="5" borderId="0" xfId="1" applyNumberFormat="1" applyFont="1" applyFill="1" applyBorder="1"/>
    <xf numFmtId="14" fontId="9" fillId="5" borderId="0" xfId="0" applyNumberFormat="1" applyFont="1" applyFill="1"/>
    <xf numFmtId="4" fontId="9" fillId="5" borderId="0" xfId="0" applyNumberFormat="1" applyFont="1" applyFill="1"/>
    <xf numFmtId="166" fontId="9" fillId="5" borderId="0" xfId="0" applyNumberFormat="1" applyFont="1" applyFill="1"/>
    <xf numFmtId="166" fontId="13" fillId="5" borderId="0" xfId="0" applyNumberFormat="1" applyFont="1" applyFill="1"/>
    <xf numFmtId="14" fontId="4" fillId="0" borderId="0" xfId="0" applyNumberFormat="1" applyFont="1"/>
    <xf numFmtId="0" fontId="6" fillId="0" borderId="0" xfId="0" applyFont="1" applyAlignment="1">
      <alignment horizontal="left"/>
    </xf>
    <xf numFmtId="164" fontId="8" fillId="0" borderId="0" xfId="0" applyNumberFormat="1" applyFont="1"/>
    <xf numFmtId="0" fontId="17" fillId="5" borderId="0" xfId="0" applyFont="1" applyFill="1" applyAlignment="1">
      <alignment horizontal="center"/>
    </xf>
    <xf numFmtId="0" fontId="18" fillId="3" borderId="0" xfId="0" applyFont="1" applyFill="1"/>
    <xf numFmtId="0" fontId="18" fillId="0" borderId="0" xfId="0" applyFont="1" applyAlignment="1">
      <alignment horizontal="left"/>
    </xf>
    <xf numFmtId="10" fontId="18" fillId="0" borderId="0" xfId="0" applyNumberFormat="1" applyFont="1"/>
    <xf numFmtId="0" fontId="18" fillId="0" borderId="0" xfId="0" applyFont="1"/>
    <xf numFmtId="0" fontId="19" fillId="3" borderId="0" xfId="0" applyFont="1" applyFill="1" applyAlignment="1">
      <alignment horizontal="center"/>
    </xf>
    <xf numFmtId="4" fontId="18" fillId="0" borderId="0" xfId="0" applyNumberFormat="1" applyFont="1"/>
    <xf numFmtId="0" fontId="19" fillId="0" borderId="0" xfId="0" applyFont="1"/>
    <xf numFmtId="0" fontId="10" fillId="0" borderId="0" xfId="0" applyFont="1"/>
    <xf numFmtId="14" fontId="9" fillId="5" borderId="0" xfId="0" applyNumberFormat="1" applyFont="1" applyFill="1" applyAlignment="1">
      <alignment horizontal="center"/>
    </xf>
    <xf numFmtId="0" fontId="20" fillId="0" borderId="0" xfId="0" applyFont="1"/>
    <xf numFmtId="43" fontId="12" fillId="0" borderId="0" xfId="0" applyNumberFormat="1" applyFont="1"/>
    <xf numFmtId="0" fontId="9" fillId="5" borderId="3" xfId="0" applyFont="1" applyFill="1" applyBorder="1"/>
  </cellXfs>
  <cellStyles count="3">
    <cellStyle name="Hipervínculo" xfId="2" builtinId="8"/>
    <cellStyle name="Millares" xfId="1" builtinId="3"/>
    <cellStyle name="Normal" xfId="0" builtinId="0"/>
  </cellStyles>
  <dxfs count="1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/>
        <color theme="1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89999084444715716"/>
        <name val="Segoe UI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89999084444715716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89999084444715716"/>
        <name val="Segoe U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89999084444715716"/>
        <name val="Segoe UI"/>
        <family val="2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1" tint="0.79998168889431442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1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5" formatCode="[$-2C0A]dddd\,\ dd&quot; de &quot;mmmm&quot; de &quot;yyyy;@"/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0" formatCode="General"/>
      <fill>
        <patternFill patternType="solid">
          <fgColor indexed="64"/>
          <bgColor theme="1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1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6" formatCode="ddd\-dd\-mmm\-yyyy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4" formatCode="_-* #,##0_-;\-* #,##0_-;_-* &quot;-&quot;??_-;_-@_-"/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4" formatCode="_-* #,##0_-;\-* #,##0_-;_-* &quot;-&quot;??_-;_-@_-"/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4" formatCode="_-* #,##0_-;\-* #,##0_-;_-* &quot;-&quot;??_-;_-@_-"/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4" formatCode="_-* #,##0_-;\-* #,##0_-;_-* &quot;-&quot;??_-;_-@_-"/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numFmt numFmtId="164" formatCode="_-* #,##0_-;\-* #,##0_-;_-* &quot;-&quot;??_-;_-@_-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_-* #,##0_-;\-* #,##0_-;_-* &quot;-&quot;??_-;_-@_-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_-* #,##0_-;\-* #,##0_-;_-* &quot;-&quot;??_-;_-@_-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_-* #,##0_-;\-* #,##0_-;_-* &quot;-&quot;??_-;_-@_-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_-* #,##0_-;\-* #,##0_-;_-* &quot;-&quot;??_-;_-@_-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</dxf>
    <dxf>
      <font>
        <b val="0"/>
        <strike val="0"/>
        <outline val="0"/>
        <shadow val="0"/>
        <u val="none"/>
        <vertAlign val="baseline"/>
        <sz val="11"/>
        <color auto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0" formatCode="General"/>
      <fill>
        <patternFill patternType="solid">
          <fgColor indexed="64"/>
          <bgColor theme="1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1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numFmt numFmtId="164" formatCode="_-* #,##0_-;\-* #,##0_-;_-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6" formatCode="ddd\-dd\-mmm\-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6" formatCode="ddd\-dd\-mmm\-yyyy"/>
      <fill>
        <patternFill patternType="solid">
          <fgColor indexed="64"/>
          <bgColor theme="1" tint="0.79998168889431442"/>
        </patternFill>
      </fill>
    </dxf>
    <dxf>
      <font>
        <strike val="0"/>
        <outline val="0"/>
        <shadow val="0"/>
        <u val="none"/>
        <vertAlign val="baseline"/>
        <color auto="1"/>
      </font>
      <numFmt numFmtId="164" formatCode="_-* #,##0_-;\-* #,##0_-;_-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numFmt numFmtId="164" formatCode="_-* #,##0_-;\-* #,##0_-;_-* &quot;-&quot;??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numFmt numFmtId="164" formatCode="_-* #,##0_-;\-* #,##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numFmt numFmtId="164" formatCode="_-* #,##0_-;\-* #,##0_-;_-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numFmt numFmtId="164" formatCode="_-* #,##0_-;\-* #,##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4" formatCode="#,##0.00"/>
      <fill>
        <patternFill patternType="solid">
          <fgColor indexed="64"/>
          <bgColor theme="1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1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9" formatCode="d/m/yyyy"/>
      <fill>
        <patternFill patternType="solid">
          <fgColor indexed="64"/>
          <bgColor theme="1" tint="0.79998168889431442"/>
        </patternFill>
      </fill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9" formatCode="d/m/yyyy"/>
      <fill>
        <patternFill patternType="solid">
          <fgColor indexed="64"/>
          <bgColor theme="1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89999084444715716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1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1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1" tint="0.79998168889431442"/>
        </patternFill>
      </fill>
    </dxf>
    <dxf>
      <font>
        <strike val="0"/>
        <outline val="0"/>
        <shadow val="0"/>
        <u val="none"/>
        <vertAlign val="baseline"/>
        <color auto="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0" formatCode="General"/>
      <fill>
        <patternFill patternType="solid">
          <fgColor indexed="64"/>
          <bgColor theme="1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1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</dxf>
    <dxf>
      <font>
        <strike val="0"/>
        <outline val="0"/>
        <shadow val="0"/>
        <u val="none"/>
        <vertAlign val="baseline"/>
        <color auto="1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</dxf>
    <dxf>
      <font>
        <strike val="0"/>
        <outline val="0"/>
        <shadow val="0"/>
        <u val="none"/>
        <vertAlign val="baseline"/>
        <color auto="1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</dxf>
    <dxf>
      <font>
        <strike val="0"/>
        <outline val="0"/>
        <shadow val="0"/>
        <u val="none"/>
        <vertAlign val="baseline"/>
        <color auto="1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</dxf>
    <dxf>
      <font>
        <strike val="0"/>
        <outline val="0"/>
        <shadow val="0"/>
        <u val="none"/>
        <vertAlign val="baseline"/>
        <color auto="1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color auto="1"/>
      </font>
      <numFmt numFmtId="164" formatCode="_-* #,##0_-;\-* #,##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6" formatCode="ddd\-dd\-mmm\-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6" formatCode="ddd\-dd\-mmm\-yyyy"/>
      <fill>
        <patternFill patternType="solid">
          <fgColor indexed="64"/>
          <bgColor theme="1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color auto="1"/>
      </font>
      <numFmt numFmtId="164" formatCode="_-* #,##0_-;\-* #,##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numFmt numFmtId="164" formatCode="_-* #,##0_-;\-* #,##0_-;_-* &quot;-&quot;??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numFmt numFmtId="164" formatCode="_-* #,##0_-;\-* #,##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numFmt numFmtId="164" formatCode="_-* #,##0_-;\-* #,##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numFmt numFmtId="164" formatCode="_-* #,##0_-;\-* #,##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4" formatCode="#,##0.00"/>
      <fill>
        <patternFill patternType="solid">
          <fgColor indexed="64"/>
          <bgColor theme="1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1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9" formatCode="d/m/yyyy"/>
      <fill>
        <patternFill patternType="solid">
          <fgColor indexed="64"/>
          <bgColor theme="1" tint="0.79998168889431442"/>
        </patternFill>
      </fill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9" formatCode="d/m/yyyy"/>
      <fill>
        <patternFill patternType="solid">
          <fgColor indexed="64"/>
          <bgColor theme="1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89999084444715716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1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1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1" tint="0.79998168889431442"/>
        </patternFill>
      </fill>
    </dxf>
    <dxf>
      <font>
        <strike val="0"/>
        <outline val="0"/>
        <shadow val="0"/>
        <u val="none"/>
        <vertAlign val="baseline"/>
        <color auto="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numFmt numFmtId="14" formatCode="0.00%"/>
    </dxf>
    <dxf>
      <numFmt numFmtId="14" formatCode="0.00%"/>
    </dxf>
    <dxf>
      <font>
        <color theme="3" tint="-0.89999084444715716"/>
      </font>
    </dxf>
    <dxf>
      <font>
        <color theme="3" tint="-0.89999084444715716"/>
      </font>
    </dxf>
    <dxf>
      <font>
        <color theme="3" tint="-0.89999084444715716"/>
      </font>
    </dxf>
    <dxf>
      <font>
        <color theme="3" tint="-0.89999084444715716"/>
      </font>
    </dxf>
    <dxf>
      <font>
        <color theme="3" tint="-0.89999084444715716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</dxfs>
  <tableStyles count="0" defaultTableStyle="TableStyleMedium2" defaultPivotStyle="PivotStyleLight16"/>
  <colors>
    <mruColors>
      <color rgb="FFFFCCCC"/>
      <color rgb="FFF8F8F8"/>
      <color rgb="FFFFFEFB"/>
      <color rgb="FFFF5050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0</xdr:row>
      <xdr:rowOff>69144</xdr:rowOff>
    </xdr:from>
    <xdr:to>
      <xdr:col>1</xdr:col>
      <xdr:colOff>638174</xdr:colOff>
      <xdr:row>5</xdr:row>
      <xdr:rowOff>286828</xdr:rowOff>
    </xdr:to>
    <xdr:pic>
      <xdr:nvPicPr>
        <xdr:cNvPr id="3" name="Gráfico 2" descr="Ambulancia contorno">
          <a:extLst>
            <a:ext uri="{FF2B5EF4-FFF2-40B4-BE49-F238E27FC236}">
              <a16:creationId xmlns:a16="http://schemas.microsoft.com/office/drawing/2014/main" id="{69D48D91-C417-4D00-BE19-740F1BA42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49" y="69144"/>
          <a:ext cx="1800225" cy="1265434"/>
        </a:xfrm>
        <a:prstGeom prst="rect">
          <a:avLst/>
        </a:prstGeom>
      </xdr:spPr>
    </xdr:pic>
    <xdr:clientData/>
  </xdr:twoCellAnchor>
  <xdr:twoCellAnchor editAs="absolute">
    <xdr:from>
      <xdr:col>11</xdr:col>
      <xdr:colOff>85724</xdr:colOff>
      <xdr:row>0</xdr:row>
      <xdr:rowOff>85726</xdr:rowOff>
    </xdr:from>
    <xdr:to>
      <xdr:col>22</xdr:col>
      <xdr:colOff>66675</xdr:colOff>
      <xdr:row>3</xdr:row>
      <xdr:rowOff>161926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Departamento 1">
              <a:extLst>
                <a:ext uri="{FF2B5EF4-FFF2-40B4-BE49-F238E27FC236}">
                  <a16:creationId xmlns:a16="http://schemas.microsoft.com/office/drawing/2014/main" id="{51A32027-0E78-211C-5754-7905C7A5AD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34699" y="85726"/>
              <a:ext cx="9925051" cy="70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190500</xdr:colOff>
      <xdr:row>0</xdr:row>
      <xdr:rowOff>85725</xdr:rowOff>
    </xdr:from>
    <xdr:to>
      <xdr:col>11</xdr:col>
      <xdr:colOff>95250</xdr:colOff>
      <xdr:row>3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Ciudad">
              <a:extLst>
                <a:ext uri="{FF2B5EF4-FFF2-40B4-BE49-F238E27FC236}">
                  <a16:creationId xmlns:a16="http://schemas.microsoft.com/office/drawing/2014/main" id="{34619981-82DB-C49C-8349-B988DE5C89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0" y="85725"/>
              <a:ext cx="3324225" cy="71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0</xdr:row>
      <xdr:rowOff>69144</xdr:rowOff>
    </xdr:from>
    <xdr:to>
      <xdr:col>1</xdr:col>
      <xdr:colOff>638174</xdr:colOff>
      <xdr:row>5</xdr:row>
      <xdr:rowOff>286828</xdr:rowOff>
    </xdr:to>
    <xdr:pic>
      <xdr:nvPicPr>
        <xdr:cNvPr id="2" name="Gráfico 1" descr="Ambulancia contorno">
          <a:extLst>
            <a:ext uri="{FF2B5EF4-FFF2-40B4-BE49-F238E27FC236}">
              <a16:creationId xmlns:a16="http://schemas.microsoft.com/office/drawing/2014/main" id="{70D18D19-EAA5-40EA-96E2-DCDF483AD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49" y="69144"/>
          <a:ext cx="1800225" cy="12654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104775</xdr:rowOff>
    </xdr:from>
    <xdr:to>
      <xdr:col>1</xdr:col>
      <xdr:colOff>1189884</xdr:colOff>
      <xdr:row>4</xdr:row>
      <xdr:rowOff>76200</xdr:rowOff>
    </xdr:to>
    <xdr:pic>
      <xdr:nvPicPr>
        <xdr:cNvPr id="3" name="Gráfico 2" descr="Ambulancia contorno">
          <a:extLst>
            <a:ext uri="{FF2B5EF4-FFF2-40B4-BE49-F238E27FC236}">
              <a16:creationId xmlns:a16="http://schemas.microsoft.com/office/drawing/2014/main" id="{7DAA5435-F144-4D9D-AF4A-558DE9E8F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" y="104775"/>
          <a:ext cx="1151784" cy="809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197172</xdr:colOff>
      <xdr:row>16</xdr:row>
      <xdr:rowOff>57150</xdr:rowOff>
    </xdr:from>
    <xdr:to>
      <xdr:col>4</xdr:col>
      <xdr:colOff>18172</xdr:colOff>
      <xdr:row>30</xdr:row>
      <xdr:rowOff>180271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FC78F04-EC85-52DF-69F2-3863B1E4A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172" y="3200400"/>
          <a:ext cx="3811975" cy="3056821"/>
        </a:xfrm>
        <a:prstGeom prst="rect">
          <a:avLst/>
        </a:prstGeom>
      </xdr:spPr>
    </xdr:pic>
    <xdr:clientData/>
  </xdr:twoCellAnchor>
  <xdr:twoCellAnchor editAs="oneCell">
    <xdr:from>
      <xdr:col>9</xdr:col>
      <xdr:colOff>9526</xdr:colOff>
      <xdr:row>13</xdr:row>
      <xdr:rowOff>57150</xdr:rowOff>
    </xdr:from>
    <xdr:to>
      <xdr:col>11</xdr:col>
      <xdr:colOff>223829</xdr:colOff>
      <xdr:row>22</xdr:row>
      <xdr:rowOff>85725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71E2FFF-CF78-760F-FC9A-2FAA7D60B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1" y="3200400"/>
          <a:ext cx="3548053" cy="19145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elquiz%20Moreno\Desktop\Clase%201%20Excel%20Aplicado%20a%20RRHH.xlsm" TargetMode="External"/><Relationship Id="rId1" Type="http://schemas.openxmlformats.org/officeDocument/2006/relationships/externalLinkPath" Target="file:///C:\Users\Belquiz%20Moreno\Desktop\escritorio%202022\escritorio%202023\Clase%201%20Excel%20Aplicado%20a%20RRHH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Data empleados"/>
      <sheetName val="Hoja2"/>
      <sheetName val="Hoja1"/>
      <sheetName val="perfil"/>
      <sheetName val="pv-consol"/>
      <sheetName val="pivot-headcount"/>
      <sheetName val="pv-departamento"/>
      <sheetName val="pv-fte"/>
      <sheetName val="pv-capac"/>
      <sheetName val="leeme"/>
      <sheetName val="PSW_Sheet"/>
      <sheetName val="Clase 1 Excel Aplicado a RRH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O4">
            <v>3</v>
          </cell>
        </row>
      </sheetData>
      <sheetData sheetId="9"/>
      <sheetData sheetId="10"/>
      <sheetData sheetId="1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onzalez" refreshedDate="45605.503246990738" createdVersion="8" refreshedVersion="8" minRefreshableVersion="3" recordCount="19" xr:uid="{3644A4E9-6F8C-4315-B134-EB5B4EA06209}">
  <cacheSource type="worksheet">
    <worksheetSource name="Control_Vacaciones6"/>
  </cacheSource>
  <cacheFields count="21">
    <cacheField name="Nombre" numFmtId="0">
      <sharedItems/>
    </cacheField>
    <cacheField name="ID" numFmtId="164">
      <sharedItems containsSemiMixedTypes="0" containsString="0" containsNumber="1" containsInteger="1" minValue="10868508" maxValue="13455665"/>
    </cacheField>
    <cacheField name="Género" numFmtId="0">
      <sharedItems count="2">
        <s v="👩 Femenino"/>
        <s v="👨 Masculino"/>
      </sharedItems>
    </cacheField>
    <cacheField name="Fecha de Ingreso" numFmtId="14">
      <sharedItems containsSemiMixedTypes="0" containsNonDate="0" containsDate="1" containsString="0" minDate="2000-09-08T00:00:00" maxDate="2023-10-25T00:00:00"/>
    </cacheField>
    <cacheField name="Ciudad" numFmtId="14">
      <sharedItems containsNonDate="0"/>
    </cacheField>
    <cacheField name="Departamento" numFmtId="0">
      <sharedItems/>
    </cacheField>
    <cacheField name="Sueldo" numFmtId="4">
      <sharedItems containsSemiMixedTypes="0" containsString="0" containsNumber="1" containsInteger="1" minValue="1000" maxValue="2900"/>
    </cacheField>
    <cacheField name="Antigüedad" numFmtId="0">
      <sharedItems containsSemiMixedTypes="0" containsString="0" containsNumber="1" containsInteger="1" minValue="1" maxValue="24"/>
    </cacheField>
    <cacheField name="Días acum año anterior" numFmtId="164">
      <sharedItems containsSemiMixedTypes="0" containsString="0" containsNumber="1" containsInteger="1" minValue="0" maxValue="10"/>
    </cacheField>
    <cacheField name="Días de Vac s/Ley año actual" numFmtId="0">
      <sharedItems containsSemiMixedTypes="0" containsString="0" containsNumber="1" containsInteger="1" minValue="10" maxValue="25"/>
    </cacheField>
    <cacheField name="Total días Acum por Disfrute" numFmtId="164">
      <sharedItems containsSemiMixedTypes="0" containsString="0" containsNumber="1" containsInteger="1" minValue="10" maxValue="35"/>
    </cacheField>
    <cacheField name="Días Tomados" numFmtId="164">
      <sharedItems containsSemiMixedTypes="0" containsString="0" containsNumber="1" containsInteger="1" minValue="0" maxValue="10"/>
    </cacheField>
    <cacheField name="Días restantes por disfrutar" numFmtId="164">
      <sharedItems containsSemiMixedTypes="0" containsString="0" containsNumber="1" containsInteger="1" minValue="0" maxValue="35"/>
    </cacheField>
    <cacheField name="Vacaciones solicitadas " numFmtId="164">
      <sharedItems containsSemiMixedTypes="0" containsString="0" containsNumber="1" containsInteger="1" minValue="0" maxValue="15"/>
    </cacheField>
    <cacheField name="Fecha de Salida" numFmtId="166">
      <sharedItems containsNonDate="0" containsDate="1" containsString="0" containsBlank="1" minDate="2025-01-06T00:00:00" maxDate="2025-01-28T00:00:00"/>
    </cacheField>
    <cacheField name="Fecha de Retorno" numFmtId="166">
      <sharedItems containsNonDate="0" containsDate="1" containsMixedTypes="1" minDate="2025-01-13T00:00:00" maxDate="2025-02-13T00:00:00"/>
    </cacheField>
    <cacheField name="Días Disponibles futuras vac" numFmtId="164">
      <sharedItems containsSemiMixedTypes="0" containsString="0" containsNumber="1" containsInteger="1" minValue="0" maxValue="25"/>
    </cacheField>
    <cacheField name="Salario con plus vacacional" numFmtId="43">
      <sharedItems containsSemiMixedTypes="0" containsString="0" containsNumber="1" containsInteger="1" minValue="40" maxValue="116"/>
    </cacheField>
    <cacheField name="Subtotal vac" numFmtId="43">
      <sharedItems containsSemiMixedTypes="0" containsString="0" containsNumber="1" containsInteger="1" minValue="0" maxValue="1160"/>
    </cacheField>
    <cacheField name="Retenciones 17%" numFmtId="43">
      <sharedItems containsSemiMixedTypes="0" containsString="0" containsNumber="1" minValue="0" maxValue="197.20000000000002"/>
    </cacheField>
    <cacheField name="Neto Vacaciones" numFmtId="43">
      <sharedItems containsSemiMixedTypes="0" containsString="0" containsNumber="1" minValue="0" maxValue="962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Trabajador 1"/>
    <n v="12190455"/>
    <x v="0"/>
    <d v="2021-12-03T00:00:00"/>
    <s v="Prov Bs As"/>
    <s v="Ventas"/>
    <n v="2900"/>
    <n v="2"/>
    <n v="5"/>
    <n v="10"/>
    <n v="15"/>
    <n v="0"/>
    <n v="15"/>
    <n v="5"/>
    <d v="2025-01-06T00:00:00"/>
    <d v="2025-01-13T00:00:00"/>
    <n v="10"/>
    <n v="116"/>
    <n v="580"/>
    <n v="98.600000000000009"/>
    <n v="481.4"/>
  </r>
  <r>
    <s v="Trabajador 2"/>
    <n v="11559566"/>
    <x v="0"/>
    <d v="2019-05-13T00:00:00"/>
    <s v="Prov Bs As"/>
    <s v="Tecnología"/>
    <n v="1400"/>
    <n v="5"/>
    <n v="5"/>
    <n v="10"/>
    <n v="15"/>
    <n v="0"/>
    <n v="15"/>
    <n v="5"/>
    <d v="2025-01-13T00:00:00"/>
    <d v="2025-01-20T00:00:00"/>
    <n v="10"/>
    <n v="56"/>
    <n v="280"/>
    <n v="47.6"/>
    <n v="232.4"/>
  </r>
  <r>
    <s v="Trabajador 3"/>
    <n v="10868508"/>
    <x v="1"/>
    <d v="2023-10-24T00:00:00"/>
    <s v="CABA"/>
    <s v="Tecnología"/>
    <n v="2600"/>
    <n v="1"/>
    <n v="0"/>
    <n v="10"/>
    <n v="10"/>
    <n v="5"/>
    <n v="5"/>
    <n v="0"/>
    <m/>
    <s v=""/>
    <n v="5"/>
    <n v="104"/>
    <n v="0"/>
    <n v="0"/>
    <n v="0"/>
  </r>
  <r>
    <s v="Trabajador 4"/>
    <n v="12510006"/>
    <x v="1"/>
    <d v="2020-10-24T00:00:00"/>
    <s v="CABA"/>
    <s v="RRHH"/>
    <n v="1400"/>
    <n v="4"/>
    <n v="0"/>
    <n v="10"/>
    <n v="10"/>
    <n v="5"/>
    <n v="5"/>
    <n v="0"/>
    <m/>
    <s v=""/>
    <n v="5"/>
    <n v="56"/>
    <n v="0"/>
    <n v="0"/>
    <n v="0"/>
  </r>
  <r>
    <s v="Trabajador 5"/>
    <n v="11028824"/>
    <x v="1"/>
    <d v="2000-10-24T00:00:00"/>
    <s v="CABA"/>
    <s v="Serv. al Cliente"/>
    <n v="1400"/>
    <n v="24"/>
    <n v="0"/>
    <n v="25"/>
    <n v="25"/>
    <n v="10"/>
    <n v="15"/>
    <n v="15"/>
    <d v="2025-01-06T00:00:00"/>
    <d v="2025-01-27T00:00:00"/>
    <n v="0"/>
    <n v="56"/>
    <n v="840"/>
    <n v="142.80000000000001"/>
    <n v="697.2"/>
  </r>
  <r>
    <s v="Trabajador 6"/>
    <n v="11415613"/>
    <x v="1"/>
    <d v="2019-09-18T00:00:00"/>
    <s v="CABA"/>
    <s v="Serv. al Cliente"/>
    <n v="1000"/>
    <n v="5"/>
    <n v="0"/>
    <n v="10"/>
    <n v="10"/>
    <n v="5"/>
    <n v="5"/>
    <n v="5"/>
    <d v="2025-01-20T00:00:00"/>
    <d v="2025-01-27T00:00:00"/>
    <n v="0"/>
    <n v="40"/>
    <n v="200"/>
    <n v="34"/>
    <n v="166"/>
  </r>
  <r>
    <s v="Trabajador 7"/>
    <n v="13080635"/>
    <x v="1"/>
    <d v="2019-09-18T00:00:00"/>
    <s v="CABA"/>
    <s v="Serv. al Cliente"/>
    <n v="2900"/>
    <n v="5"/>
    <n v="0"/>
    <n v="10"/>
    <n v="10"/>
    <n v="10"/>
    <n v="0"/>
    <n v="0"/>
    <m/>
    <s v=""/>
    <n v="0"/>
    <n v="116"/>
    <n v="0"/>
    <n v="0"/>
    <n v="0"/>
  </r>
  <r>
    <s v="Trabajador 8"/>
    <n v="11141428"/>
    <x v="1"/>
    <d v="2022-05-10T00:00:00"/>
    <s v="CABA"/>
    <s v="Ventas"/>
    <n v="2400"/>
    <n v="2"/>
    <n v="0"/>
    <n v="10"/>
    <n v="10"/>
    <n v="5"/>
    <n v="5"/>
    <n v="0"/>
    <m/>
    <s v=""/>
    <n v="5"/>
    <n v="96"/>
    <n v="0"/>
    <n v="0"/>
    <n v="0"/>
  </r>
  <r>
    <s v="Trabajador 9"/>
    <n v="11633855"/>
    <x v="0"/>
    <d v="2019-05-10T00:00:00"/>
    <s v="CABA"/>
    <s v="Ventas"/>
    <n v="1200"/>
    <n v="5"/>
    <n v="0"/>
    <n v="10"/>
    <n v="10"/>
    <n v="5"/>
    <n v="5"/>
    <n v="5"/>
    <d v="2025-01-13T00:00:00"/>
    <d v="2025-01-20T00:00:00"/>
    <n v="0"/>
    <n v="48"/>
    <n v="240"/>
    <n v="40.800000000000004"/>
    <n v="199.2"/>
  </r>
  <r>
    <s v="Trabajador 10"/>
    <n v="13166130"/>
    <x v="0"/>
    <d v="2022-09-08T00:00:00"/>
    <s v="Prov Bs As"/>
    <s v="RRHH"/>
    <n v="2600"/>
    <n v="2"/>
    <n v="0"/>
    <n v="10"/>
    <n v="10"/>
    <n v="0"/>
    <n v="10"/>
    <n v="5"/>
    <d v="2025-01-27T00:00:00"/>
    <d v="2025-02-05T00:00:00"/>
    <n v="5"/>
    <n v="104"/>
    <n v="520"/>
    <n v="88.4"/>
    <n v="431.6"/>
  </r>
  <r>
    <s v="Trabajador 11"/>
    <n v="11464559"/>
    <x v="0"/>
    <d v="2000-09-08T00:00:00"/>
    <s v="Prov Bs As"/>
    <s v="RRHH"/>
    <n v="1400"/>
    <n v="24"/>
    <n v="10"/>
    <n v="25"/>
    <n v="35"/>
    <n v="0"/>
    <n v="35"/>
    <n v="10"/>
    <d v="2025-01-20T00:00:00"/>
    <d v="2025-02-05T00:00:00"/>
    <n v="25"/>
    <n v="56"/>
    <n v="560"/>
    <n v="95.2"/>
    <n v="464.8"/>
  </r>
  <r>
    <s v="Trabajador 12"/>
    <n v="11982661"/>
    <x v="0"/>
    <d v="2021-01-16T00:00:00"/>
    <s v="Prov Bs As"/>
    <s v="Ventas"/>
    <n v="2400"/>
    <n v="3"/>
    <n v="0"/>
    <n v="10"/>
    <n v="10"/>
    <n v="0"/>
    <n v="10"/>
    <n v="5"/>
    <d v="2025-01-20T00:00:00"/>
    <d v="2025-01-27T00:00:00"/>
    <n v="5"/>
    <n v="96"/>
    <n v="480"/>
    <n v="81.600000000000009"/>
    <n v="398.4"/>
  </r>
  <r>
    <s v="Trabajador 13"/>
    <n v="12556039"/>
    <x v="1"/>
    <d v="2020-01-16T00:00:00"/>
    <s v="Prov Bs As"/>
    <s v="Ventas"/>
    <n v="1800"/>
    <n v="4"/>
    <n v="0"/>
    <n v="10"/>
    <n v="10"/>
    <n v="0"/>
    <n v="10"/>
    <n v="10"/>
    <d v="2025-01-27T00:00:00"/>
    <d v="2025-02-12T00:00:00"/>
    <n v="0"/>
    <n v="72"/>
    <n v="720"/>
    <n v="122.4"/>
    <n v="597.6"/>
  </r>
  <r>
    <s v="Trabajador 14"/>
    <n v="12662501"/>
    <x v="1"/>
    <d v="2021-01-03T00:00:00"/>
    <s v="Prov Bs As"/>
    <s v="Tecnología"/>
    <n v="1700"/>
    <n v="3"/>
    <n v="5"/>
    <n v="10"/>
    <n v="15"/>
    <n v="0"/>
    <n v="15"/>
    <n v="5"/>
    <d v="2025-01-20T00:00:00"/>
    <d v="2025-01-27T00:00:00"/>
    <n v="10"/>
    <n v="68"/>
    <n v="340"/>
    <n v="57.800000000000004"/>
    <n v="282.2"/>
  </r>
  <r>
    <s v="Trabajador 15"/>
    <n v="12160435"/>
    <x v="1"/>
    <d v="2020-11-25T00:00:00"/>
    <s v="Mendoza"/>
    <s v="Mercadeo"/>
    <n v="1400"/>
    <n v="3"/>
    <n v="0"/>
    <n v="10"/>
    <n v="10"/>
    <n v="0"/>
    <n v="10"/>
    <n v="5"/>
    <d v="2025-01-06T00:00:00"/>
    <d v="2025-01-13T00:00:00"/>
    <n v="5"/>
    <n v="56"/>
    <n v="280"/>
    <n v="47.6"/>
    <n v="232.4"/>
  </r>
  <r>
    <s v="Trabajador 16"/>
    <n v="13113392"/>
    <x v="0"/>
    <d v="2019-06-23T00:00:00"/>
    <s v="Mendoza"/>
    <s v="Finanzas"/>
    <n v="2900"/>
    <n v="5"/>
    <n v="0"/>
    <n v="10"/>
    <n v="10"/>
    <n v="0"/>
    <n v="10"/>
    <n v="10"/>
    <d v="2025-01-13T00:00:00"/>
    <d v="2025-01-27T00:00:00"/>
    <n v="0"/>
    <n v="116"/>
    <n v="1160"/>
    <n v="197.20000000000002"/>
    <n v="962.8"/>
  </r>
  <r>
    <s v="Trabajador 17"/>
    <n v="13455422"/>
    <x v="0"/>
    <d v="2019-06-23T00:00:00"/>
    <s v="Mendoza"/>
    <s v="Finanzas"/>
    <n v="2400"/>
    <n v="5"/>
    <n v="0"/>
    <n v="10"/>
    <n v="10"/>
    <n v="5"/>
    <n v="5"/>
    <n v="5"/>
    <d v="2025-01-06T00:00:00"/>
    <d v="2025-01-13T00:00:00"/>
    <n v="0"/>
    <n v="96"/>
    <n v="480"/>
    <n v="81.600000000000009"/>
    <n v="398.4"/>
  </r>
  <r>
    <s v="Trabajador 18"/>
    <n v="13455665"/>
    <x v="0"/>
    <d v="2019-10-24T00:00:00"/>
    <s v="Prov Bs As"/>
    <s v="Admon"/>
    <n v="1200"/>
    <n v="5"/>
    <n v="0"/>
    <n v="10"/>
    <n v="10"/>
    <n v="0"/>
    <n v="10"/>
    <n v="0"/>
    <m/>
    <s v=""/>
    <n v="10"/>
    <n v="48"/>
    <n v="0"/>
    <n v="0"/>
    <n v="0"/>
  </r>
  <r>
    <s v="Trabajador 19"/>
    <n v="13055388"/>
    <x v="0"/>
    <d v="2022-01-13T00:00:00"/>
    <s v="Cordoba"/>
    <s v="Admon"/>
    <n v="1700"/>
    <n v="2"/>
    <n v="0"/>
    <n v="10"/>
    <n v="10"/>
    <n v="0"/>
    <n v="10"/>
    <n v="0"/>
    <m/>
    <s v=""/>
    <n v="10"/>
    <n v="68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1245F-7D79-4E8B-9423-374AFB28917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Género">
  <location ref="A3:C6" firstHeaderRow="0" firstDataRow="1" firstDataCol="1"/>
  <pivotFields count="21">
    <pivotField dataField="1" showAll="0"/>
    <pivotField numFmtId="164" showAll="0"/>
    <pivotField axis="axisRow" showAll="0">
      <items count="3">
        <item x="1"/>
        <item x="0"/>
        <item t="default"/>
      </items>
    </pivotField>
    <pivotField numFmtId="14" showAll="0"/>
    <pivotField showAll="0"/>
    <pivotField showAll="0"/>
    <pivotField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% sobre el total" fld="0" subtotal="count" showDataAs="percentOfTotal" baseField="2" baseItem="0" numFmtId="10"/>
    <dataField name="% sobre filas" fld="0" subtotal="count" showDataAs="percentOfRow" baseField="0" baseItem="0" numFmtId="10"/>
  </dataFields>
  <formats count="9">
    <format dxfId="166">
      <pivotArea field="2" type="button" dataOnly="0" labelOnly="1" outline="0" axis="axisRow" fieldPosition="0"/>
    </format>
    <format dxfId="1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4">
      <pivotArea field="2" type="button" dataOnly="0" labelOnly="1" outline="0" axis="axisRow" fieldPosition="0"/>
    </format>
    <format dxfId="1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2">
      <pivotArea outline="0" collapsedLevelsAreSubtotals="1" fieldPosition="0"/>
    </format>
    <format dxfId="161">
      <pivotArea dataOnly="0" labelOnly="1" fieldPosition="0">
        <references count="1">
          <reference field="2" count="0"/>
        </references>
      </pivotArea>
    </format>
    <format dxfId="160">
      <pivotArea dataOnly="0" labelOnly="1" grandRow="1" outline="0" fieldPosition="0"/>
    </format>
    <format dxfId="159">
      <pivotArea outline="0" fieldPosition="0">
        <references count="1">
          <reference field="4294967294" count="1">
            <x v="0"/>
          </reference>
        </references>
      </pivotArea>
    </format>
    <format dxfId="158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1" xr10:uid="{4BE58C8A-B72F-4E2A-B099-80015D4237A5}" sourceName="Departamento">
  <extLst>
    <x:ext xmlns:x15="http://schemas.microsoft.com/office/spreadsheetml/2010/11/main" uri="{2F2917AC-EB37-4324-AD4E-5DD8C200BD13}">
      <x15:tableSlicerCache tableId="5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" xr10:uid="{DAB90647-41EC-4CE3-BEE3-79812894BA3F}" sourceName="Ciudad">
  <extLst>
    <x:ext xmlns:x15="http://schemas.microsoft.com/office/spreadsheetml/2010/11/main" uri="{2F2917AC-EB37-4324-AD4E-5DD8C200BD13}">
      <x15:tableSlicerCache tableId="5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 1" xr10:uid="{852D90C8-992D-4A08-AB51-95041A4014E8}" cache="SegmentaciónDeDatos_Departamento1" caption="Departamento" columnCount="7" style="SlicerStyleLight2" rowHeight="273050"/>
  <slicer name="Ciudad" xr10:uid="{40C84950-C1C7-4EEC-BC39-ECBB68FD6155}" cache="SegmentaciónDeDatos_Ciudad" caption="Ciudad" columnCount="4" style="SlicerStyleLight2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68910D-AE07-494F-A55B-586D84701CD1}" name="Control_Vacaciones6" displayName="Control_Vacaciones6" ref="B11:V31" totalsRowCount="1" headerRowDxfId="157" dataDxfId="156">
  <autoFilter ref="B11:V30" xr:uid="{6533DFC6-5055-4618-8C88-EA36A3E0305E}"/>
  <tableColumns count="21">
    <tableColumn id="1" xr3:uid="{62D2610A-6ACE-492F-A270-72C58536CD58}" name="Nombre" totalsRowLabel="Total" dataDxfId="155" totalsRowDxfId="154"/>
    <tableColumn id="2" xr3:uid="{027F0F7C-BEB2-48E8-8B54-1DE45AE2DAA3}" name="ID" dataDxfId="153" totalsRowDxfId="152" dataCellStyle="Millares"/>
    <tableColumn id="3" xr3:uid="{D4F47786-1AB5-40AB-87FF-524730D25FA6}" name="Género" dataDxfId="151" totalsRowDxfId="150" dataCellStyle="Millares"/>
    <tableColumn id="4" xr3:uid="{AB755559-F8D0-481C-8345-7F4D11BEA738}" name="Fecha de Ingreso" dataDxfId="149" totalsRowDxfId="148" dataCellStyle="Millares"/>
    <tableColumn id="5" xr3:uid="{6CAF6969-884D-4025-B076-3FA28656D39F}" name="Ciudad" dataDxfId="147" totalsRowDxfId="146"/>
    <tableColumn id="6" xr3:uid="{1EA8B38A-2ACE-465B-AFFF-30770740937E}" name="Departamento" dataDxfId="145" totalsRowDxfId="144"/>
    <tableColumn id="17" xr3:uid="{2AEA2A6A-B66D-4A65-93C1-83AFF845724A}" name="Sueldo" totalsRowFunction="sum" dataDxfId="143" totalsRowDxfId="142"/>
    <tableColumn id="8" xr3:uid="{5588B774-B781-4DF1-9DAD-CC70BBB231D3}" name="Antigüedad" dataDxfId="141" totalsRowDxfId="140">
      <calculatedColumnFormula>INT(YEARFRAC(Control_Vacaciones6[[#This Row],[Fecha de Ingreso]],TODAY()))</calculatedColumnFormula>
    </tableColumn>
    <tableColumn id="7" xr3:uid="{0479DAB8-7545-43F9-B958-E9646A7F2484}" name="Días acum año anterior" dataDxfId="139" totalsRowDxfId="138" dataCellStyle="Millares">
      <calculatedColumnFormula>_xlfn.XLOOKUP(Control_Vacaciones6[[#This Row],[ID]],Tabla7[ID],Tabla7[Días acum año anterior 2023],"",0)</calculatedColumnFormula>
    </tableColumn>
    <tableColumn id="9" xr3:uid="{EA4EDAA6-07AD-4C9F-B814-C4A2F74ECA2E}" name="Días de Vac s/Ley año actual" dataDxfId="137" totalsRowDxfId="136">
      <calculatedColumnFormula>IF(Control_Vacaciones6[[#This Row],[Antigüedad]]&lt;=$E$7,$H$7,
IF(Control_Vacaciones6[[#This Row],[Antigüedad]]&lt;=$E$8,$H$8,
IF(Control_Vacaciones6[[#This Row],[Antigüedad]]&lt;=$E$9,$H$9,$H$10)))</calculatedColumnFormula>
    </tableColumn>
    <tableColumn id="15" xr3:uid="{9CE73A12-94A1-4398-9C0E-91AF9F417498}" name="Total días Acum por Disfrute" dataDxfId="135" totalsRowDxfId="134">
      <calculatedColumnFormula>Control_Vacaciones6[[#This Row],[Días acum año anterior]]+Control_Vacaciones6[[#This Row],[Días de Vac s/Ley año actual]]</calculatedColumnFormula>
    </tableColumn>
    <tableColumn id="10" xr3:uid="{E3EE016D-E2D0-4FCB-953C-71D1197EFE42}" name="Días Tomados" dataDxfId="133" totalsRowDxfId="132" dataCellStyle="Millares">
      <calculatedColumnFormula>VLOOKUP(Control_Vacaciones6[[#This Row],[ID]],Tabla13[[ID]:[Vacaciones solicitadas]],3,FALSE)</calculatedColumnFormula>
    </tableColumn>
    <tableColumn id="11" xr3:uid="{433C2E1C-AF62-449C-BB86-B962EFD9873D}" name="Días restantes por disfrutar" dataDxfId="131" totalsRowDxfId="130" dataCellStyle="Millares">
      <calculatedColumnFormula>Control_Vacaciones6[[#This Row],[Total días Acum por Disfrute]]-Control_Vacaciones6[[#This Row],[Días Tomados]]</calculatedColumnFormula>
    </tableColumn>
    <tableColumn id="12" xr3:uid="{23FC5B81-181B-4575-A291-7C2592237151}" name="Vacaciones solicitadas " dataDxfId="129" totalsRowDxfId="128" dataCellStyle="Millares">
      <calculatedColumnFormula>INDEX(Tabla13[Vacaciones solicitadas],MATCH(Control_Vacaciones6[[#This Row],[ID]],Tabla13[ID],0))</calculatedColumnFormula>
    </tableColumn>
    <tableColumn id="13" xr3:uid="{B4550434-1B93-4C14-9270-650F12EAC103}" name="Fecha de Salida" dataDxfId="127" totalsRowDxfId="126"/>
    <tableColumn id="14" xr3:uid="{47E21D63-6652-4EC4-AECA-3670C80B935A}" name="Fecha de Retorno" dataDxfId="125" totalsRowDxfId="124">
      <calculatedColumnFormula>IF(Control_Vacaciones6[[#This Row],[Fecha de Salida]]="","",WORKDAY.INTL(Control_Vacaciones6[[#This Row],[Fecha de Salida]],Control_Vacaciones6[[#This Row],[Vacaciones solicitadas ]],1,Tabla9[Feriados]))</calculatedColumnFormula>
    </tableColumn>
    <tableColumn id="18" xr3:uid="{59160208-1F3E-4961-B61B-164258AF3AEB}" name="Días Disponibles futuras vac" dataDxfId="123" totalsRowDxfId="122">
      <calculatedColumnFormula>Control_Vacaciones6[[#This Row],[Días restantes por disfrutar]]-Control_Vacaciones6[[#This Row],[Vacaciones solicitadas ]]</calculatedColumnFormula>
    </tableColumn>
    <tableColumn id="16" xr3:uid="{5660B0B9-7411-4F25-A324-4824FA81A915}" name="Salario con plus vacacional" dataDxfId="121" totalsRowDxfId="120" dataCellStyle="Millares">
      <calculatedColumnFormula>Control_Vacaciones6[[#This Row],[Sueldo]]/25</calculatedColumnFormula>
    </tableColumn>
    <tableColumn id="19" xr3:uid="{82DCEE15-8133-4FE4-B5B9-832E31C67350}" name="Subtotal vac" dataDxfId="119" totalsRowDxfId="118" dataCellStyle="Millares">
      <calculatedColumnFormula>Control_Vacaciones6[[#This Row],[Salario con plus vacacional]]*Control_Vacaciones6[[#This Row],[Vacaciones solicitadas ]]</calculatedColumnFormula>
    </tableColumn>
    <tableColumn id="20" xr3:uid="{48BADC58-C876-49A8-A400-4FD3053BDF0B}" name="Retenciones 17%" dataDxfId="117" totalsRowDxfId="116" dataCellStyle="Millares">
      <calculatedColumnFormula>Control_Vacaciones6[[#This Row],[Subtotal vac]]*0.17</calculatedColumnFormula>
    </tableColumn>
    <tableColumn id="21" xr3:uid="{9E112130-5B7D-4F21-8DB2-8236744478E6}" name="Neto Vacaciones" dataDxfId="115" totalsRowDxfId="114" dataCellStyle="Millares">
      <calculatedColumnFormula>Control_Vacaciones6[[#This Row],[Subtotal vac]]-Control_Vacaciones6[[#This Row],[Retenciones 17%]]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8E9B147-C5ED-455B-9BFA-4759593E4AC8}" name="Tabla9" displayName="Tabla9" ref="J4:K8" totalsRowShown="0" headerRowDxfId="39" dataDxfId="38" tableBorderDxfId="37">
  <autoFilter ref="J4:K8" xr:uid="{B8E9B147-C5ED-455B-9BFA-4759593E4AC8}"/>
  <tableColumns count="2">
    <tableColumn id="1" xr3:uid="{DC0D2E8D-61CD-4E93-9965-3C63E6024442}" name="Feriados" dataDxfId="36"/>
    <tableColumn id="2" xr3:uid="{A394E7BD-98E2-47AD-A58D-1A50049B5F34}" name="Motivo" dataDxfId="35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E433A6-5313-4795-A8EB-97BA000FC7D3}" name="Tabla1" displayName="Tabla1" ref="A1:A8" totalsRowShown="0" headerRowDxfId="34" dataDxfId="33" tableBorderDxfId="32">
  <autoFilter ref="A1:A8" xr:uid="{99E433A6-5313-4795-A8EB-97BA000FC7D3}"/>
  <tableColumns count="1">
    <tableColumn id="1" xr3:uid="{30A89401-3DB2-4EED-A199-B747F94054D3}" name="Departamento" dataDxfId="3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266631-FB21-4E9A-9CFB-40867A33F55F}" name="Tabla8" displayName="Tabla8" ref="B4:D8" totalsRowShown="0" headerRowDxfId="30">
  <autoFilter ref="B4:D8" xr:uid="{8B266631-FB21-4E9A-9CFB-40867A33F55F}"/>
  <tableColumns count="3">
    <tableColumn id="1" xr3:uid="{1F1335E4-7703-4BC9-8922-07A77C767AEE}" name="Nombre" dataDxfId="29"/>
    <tableColumn id="2" xr3:uid="{30D86ADF-D9B6-409B-AB7B-0117DDF7C1BD}" name="Edad" dataDxfId="28"/>
    <tableColumn id="3" xr3:uid="{B77DFAA4-3721-4C3B-8B0F-0F84D11DE676}" name="Clasificación" dataDxfId="27">
      <calculatedColumnFormula>IF(Tabla8[[#This Row],[Edad]]&gt;=18,"Adulto","Menor")</calculatedColumnFormula>
    </tableColumn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F5C786-434D-40F9-8D39-35D48EC06138}" name="Tabla6" displayName="Tabla6" ref="A2:B8" totalsRowShown="0" headerRowDxfId="26" dataDxfId="25">
  <autoFilter ref="A2:B8" xr:uid="{8CF5C786-434D-40F9-8D39-35D48EC06138}"/>
  <tableColumns count="2">
    <tableColumn id="1" xr3:uid="{223CAFAF-FF9A-46B7-8CB9-CF88BB9D4CF7}" name="ID" dataDxfId="24"/>
    <tableColumn id="2" xr3:uid="{66C56057-AA3D-493F-B287-C554AF309D26}" name="SUELDO" dataDxfId="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0F55F39-BD7B-4339-883C-070CA5B4E798}" name="Dias_Vacaciones11" displayName="Dias_Vacaciones11" ref="D6:H10" totalsRowShown="0" headerRowDxfId="113" dataDxfId="112">
  <autoFilter ref="D6:H10" xr:uid="{E0F55F39-BD7B-4339-883C-070CA5B4E798}"/>
  <tableColumns count="5">
    <tableColumn id="1" xr3:uid="{1BFE474B-C0C1-4921-BB8A-805B66F02B95}" name="Antigüedad" dataDxfId="111"/>
    <tableColumn id="3" xr3:uid="{00CCD43A-2B85-4168-ABCC-17A1FEFBC7C2}" name="Años" dataDxfId="110"/>
    <tableColumn id="2" xr3:uid="{4D616709-34BA-4B4A-8A90-24A1E9929E22}" name="Días de Vac s/Ley" dataDxfId="109"/>
    <tableColumn id="4" xr3:uid="{D4463D65-1C42-4703-B4F0-3D3E4D5B37FF}" name="Fines de Sem" dataDxfId="108"/>
    <tableColumn id="5" xr3:uid="{3E57EBBB-E7A5-456F-86D2-E33894B5DDF3}" name="Días Hábiles Vac" dataDxfId="107">
      <calculatedColumnFormula>+Dias_Vacaciones11[[#This Row],[Días de Vac s/Ley]]-Dias_Vacaciones11[[#This Row],[Fines de Sem]]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03A367-E4AA-4016-A361-F27D8085C676}" name="Control_Vacaciones612" displayName="Control_Vacaciones612" ref="B11:V31" totalsRowCount="1" headerRowDxfId="106" dataDxfId="105">
  <autoFilter ref="B11:V30" xr:uid="{6533DFC6-5055-4618-8C88-EA36A3E0305E}"/>
  <tableColumns count="21">
    <tableColumn id="1" xr3:uid="{18FFB575-FFD8-4120-9FF9-22A2ADBF5D00}" name="Nombre" totalsRowLabel="Total" dataDxfId="104" totalsRowDxfId="20"/>
    <tableColumn id="2" xr3:uid="{04DFCA36-5E20-4E07-8E41-482CF4C5457A}" name="ID" dataDxfId="103" totalsRowDxfId="19" dataCellStyle="Millares"/>
    <tableColumn id="3" xr3:uid="{F840EDAF-D9AD-4546-A09F-103145F3FD49}" name="Género" dataDxfId="102" totalsRowDxfId="18" dataCellStyle="Millares"/>
    <tableColumn id="4" xr3:uid="{0B1F98B5-F686-4367-BFD3-2FE05ADE42E5}" name="Fecha de Ingreso" dataDxfId="101" totalsRowDxfId="17" dataCellStyle="Millares"/>
    <tableColumn id="5" xr3:uid="{E7467878-3329-4EF3-89FB-ACB2812C2870}" name="Ciudad" dataDxfId="100" totalsRowDxfId="16"/>
    <tableColumn id="6" xr3:uid="{6642DBC5-779A-4099-B952-BE7131F7FF8A}" name="Departamento" dataDxfId="99" totalsRowDxfId="15"/>
    <tableColumn id="17" xr3:uid="{A4150320-A271-4669-AA08-01A45336A8BF}" name="Sueldo" totalsRowFunction="sum" dataDxfId="98" totalsRowDxfId="14"/>
    <tableColumn id="8" xr3:uid="{B1338ACF-ABBD-4774-83B5-D2067F2F8DFA}" name="Antigüedad" dataDxfId="21" totalsRowDxfId="13"/>
    <tableColumn id="7" xr3:uid="{A7FCFD16-7719-4AA7-9ECE-888D37696226}" name="Días acum año anterior" dataDxfId="97" totalsRowDxfId="12" dataCellStyle="Millares"/>
    <tableColumn id="9" xr3:uid="{80984A39-46B3-4334-8017-23F9866C9A53}" name="Días de Vac s/Ley año actual" dataDxfId="96" totalsRowDxfId="11"/>
    <tableColumn id="15" xr3:uid="{ABFECFFA-E4A6-45E9-9090-8E2D5DD075DE}" name="Total días Acum por Disfrute" dataDxfId="95" totalsRowDxfId="10"/>
    <tableColumn id="10" xr3:uid="{95B4CD91-B535-49B4-B907-E63E673E980A}" name="Días Tomados" dataDxfId="94" totalsRowDxfId="9" dataCellStyle="Millares"/>
    <tableColumn id="11" xr3:uid="{72D568AE-47B8-4248-8E78-F093F45263AC}" name="Días restantes por disfrutar" dataDxfId="93" totalsRowDxfId="8" dataCellStyle="Millares"/>
    <tableColumn id="12" xr3:uid="{25CA7454-618D-4078-927E-B444EAF16D84}" name="Vacaciones solicitadas " dataDxfId="92" totalsRowDxfId="7" dataCellStyle="Millares"/>
    <tableColumn id="13" xr3:uid="{B11C955B-6BAB-485A-9905-38E41CE5F57C}" name="Fecha de Salida" dataDxfId="91" totalsRowDxfId="6"/>
    <tableColumn id="14" xr3:uid="{1C247378-F260-44C8-B96F-B4ABA63FA90B}" name="Fecha de Retorno" dataDxfId="90" totalsRowDxfId="5"/>
    <tableColumn id="18" xr3:uid="{B702C841-82E8-4104-8053-8CE48629B630}" name="Días Disponibles futuras vac" dataDxfId="89" totalsRowDxfId="4"/>
    <tableColumn id="16" xr3:uid="{C53789E0-AD83-4A85-B05D-9D6952EDE226}" name="Salario con plus vacacional" dataDxfId="88" totalsRowDxfId="3" dataCellStyle="Millares"/>
    <tableColumn id="19" xr3:uid="{A991D999-A1BE-48B6-89AE-98766C06C528}" name="Subtotal vac" dataDxfId="87" totalsRowDxfId="2" dataCellStyle="Millares"/>
    <tableColumn id="20" xr3:uid="{E1CC2624-96AF-4D6A-89A2-7232704A7E88}" name="Retenciones 17%" dataDxfId="86" totalsRowDxfId="1" dataCellStyle="Millares"/>
    <tableColumn id="21" xr3:uid="{E6F19A8F-A044-40FC-8B41-CF3593885034}" name="Neto Vacaciones" dataDxfId="85" totalsRowDxfId="0" dataCellStyle="Millare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7C0CE49-5001-4308-B927-1D39292AFB92}" name="Dias_Vacaciones1115" displayName="Dias_Vacaciones1115" ref="D6:H10" totalsRowShown="0" headerRowDxfId="84" dataDxfId="83">
  <autoFilter ref="D6:H10" xr:uid="{E0F55F39-BD7B-4339-883C-070CA5B4E798}"/>
  <tableColumns count="5">
    <tableColumn id="1" xr3:uid="{E8A26366-F888-4EB4-B17D-F646DBBD6781}" name="Antigüedad" dataDxfId="82"/>
    <tableColumn id="3" xr3:uid="{D6E7CA6E-05B1-4577-917F-E12A05FE41C4}" name="Años" dataDxfId="81"/>
    <tableColumn id="2" xr3:uid="{3B51797E-8DB5-4D24-8B80-C6CC60DDF32E}" name="Días de Vac s/Ley" dataDxfId="80"/>
    <tableColumn id="4" xr3:uid="{8987321C-1B50-47A9-AA3C-314B8FC6FFA2}" name="Fines de Sem" dataDxfId="79"/>
    <tableColumn id="5" xr3:uid="{E30A4E27-AF79-4B86-A1B3-28774F4DDC1D}" name="Días Hábiles Vac" dataDxfId="78">
      <calculatedColumnFormula>+Dias_Vacaciones1115[[#This Row],[Días de Vac s/Ley]]-Dias_Vacaciones1115[[#This Row],[Fines de Sem]]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8E9286-B988-49A3-9739-DE34BB339E2B}" name="Tabla3" displayName="Tabla3" ref="B15:F22" totalsRowCount="1" headerRowDxfId="77" dataDxfId="76">
  <autoFilter ref="B15:F21" xr:uid="{668E9286-B988-49A3-9739-DE34BB339E2B}"/>
  <tableColumns count="5">
    <tableColumn id="1" xr3:uid="{83810012-15B3-4559-9BD6-1777E43A7962}" name="Concepto" totalsRowLabel="Total a Pagar" dataDxfId="75" totalsRowDxfId="74"/>
    <tableColumn id="6" xr3:uid="{9F24DF38-75DC-474B-9B05-C9E15CF733A5}" name="Días" dataDxfId="73" totalsRowDxfId="72" dataCellStyle="Millares"/>
    <tableColumn id="2" xr3:uid="{00B3B12E-895D-42E4-B2DF-C76056759B9E}" name="Remuneraciones" totalsRowFunction="sum" dataDxfId="71" totalsRowDxfId="70" dataCellStyle="Millares">
      <calculatedColumnFormula>C9/30*Tabla3[[#This Row],[Días]]</calculatedColumnFormula>
    </tableColumn>
    <tableColumn id="3" xr3:uid="{FAF8116D-27C5-42F1-B3E6-4B24E4227E70}" name="Descuentos" totalsRowFunction="sum" dataDxfId="69" totalsRowDxfId="68" dataCellStyle="Millares"/>
    <tableColumn id="4" xr3:uid="{1130DA92-EB05-4593-8C0F-D3EECDFB28A6}" name="Total" totalsRowFunction="custom" dataDxfId="67" dataCellStyle="Millares">
      <totalsRowFormula>+Tabla3[[#Totals],[Remuneraciones]]-Tabla3[[#Totals],[Descuentos]]</totalsRow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E30C29-A518-495F-9B7D-FB6D5A9DECDF}" name="Tabla7" displayName="Tabla7" ref="A4:D23" totalsRowShown="0" headerRowDxfId="66" tableBorderDxfId="65">
  <autoFilter ref="A4:D23" xr:uid="{CAE30C29-A518-495F-9B7D-FB6D5A9DECDF}"/>
  <tableColumns count="4">
    <tableColumn id="1" xr3:uid="{7DA1C484-32A6-4551-8E6F-FC025701572D}" name="Nombre" dataDxfId="64"/>
    <tableColumn id="2" xr3:uid="{5F95DE4B-8CDA-4F61-96DB-E37840ED01DB}" name="ID" dataDxfId="63" dataCellStyle="Millares"/>
    <tableColumn id="4" xr3:uid="{C063090F-5B99-48DF-A05D-A8D26F460F41}" name="Departamento" dataDxfId="62" dataCellStyle="Millares"/>
    <tableColumn id="3" xr3:uid="{B867DDDE-48A5-40F8-97F4-B6CD3E9DDCB5}" name="Días acum año anterior 2023" dataDxfId="61" dataCellStyle="Millares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A75BC30-1A1C-4D7C-9707-9B1EE6D2D282}" name="Tabla12" displayName="Tabla12" ref="F4:I23" totalsRowShown="0" headerRowDxfId="60" tableBorderDxfId="59">
  <autoFilter ref="F4:I23" xr:uid="{5A75BC30-1A1C-4D7C-9707-9B1EE6D2D282}"/>
  <tableColumns count="4">
    <tableColumn id="1" xr3:uid="{0007A90E-7DB8-45E8-ACAF-4C06940F0ECA}" name="Nombre" dataDxfId="58"/>
    <tableColumn id="2" xr3:uid="{5B9A79CA-4BA2-4090-AAF1-29878B02F2A7}" name="ID" dataDxfId="57" dataCellStyle="Millares"/>
    <tableColumn id="3" xr3:uid="{3C656315-946A-4F5D-A7D0-71B3DD98C4D1}" name="Departamento" dataDxfId="56"/>
    <tableColumn id="4" xr3:uid="{3C2B2336-A45A-4BA0-9AF2-29859447A7AB}" name="Días tomados 2024" dataDxfId="55" dataCellStyle="Millares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D66311-882F-4ECC-B564-3593305AD48E}" name="Tabla13" displayName="Tabla13" ref="K4:O23" totalsRowShown="0" headerRowDxfId="54" dataDxfId="53" tableBorderDxfId="52" dataCellStyle="Millares">
  <autoFilter ref="K4:O23" xr:uid="{F0D66311-882F-4ECC-B564-3593305AD48E}"/>
  <tableColumns count="5">
    <tableColumn id="1" xr3:uid="{541571BE-3F66-43A7-A5EC-84E12F818088}" name="Nombre" dataDxfId="51" dataCellStyle="Millares"/>
    <tableColumn id="2" xr3:uid="{1C75A2A0-56D7-4287-96A8-56FB2F7D97FC}" name="ID" dataDxfId="50" dataCellStyle="Millares"/>
    <tableColumn id="3" xr3:uid="{E61DCE35-BB9B-4F99-98C9-7283C9F3B2CF}" name="Departamento" dataDxfId="49" dataCellStyle="Millares"/>
    <tableColumn id="4" xr3:uid="{4D977E0A-0B94-4743-807A-C3E7B0631194}" name="Vacaciones solicitadas" dataDxfId="48" dataCellStyle="Millares"/>
    <tableColumn id="5" xr3:uid="{8A3186B5-CA09-422B-8EDE-D2A9EC1EAE4B}" name="Fecha de Salida" dataDxfId="47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B4BAD7-F401-4885-BDDA-003DA953E2BE}" name="Dias_Vacaciones" displayName="Dias_Vacaciones" ref="B4:F8" totalsRowShown="0" headerRowDxfId="46" dataDxfId="45">
  <autoFilter ref="B4:F8" xr:uid="{79B4BAD7-F401-4885-BDDA-003DA953E2BE}"/>
  <tableColumns count="5">
    <tableColumn id="1" xr3:uid="{ADBEC4FD-6EF2-46B5-9748-E8659BC8DF82}" name="Antigüedad" dataDxfId="44"/>
    <tableColumn id="3" xr3:uid="{B087E8E6-EE06-43F5-95E6-94B33CE31925}" name="Años" dataDxfId="43"/>
    <tableColumn id="2" xr3:uid="{FC5E2283-6446-4B06-ADDB-1F70C5143317}" name="Días de Vac s/Ley" dataDxfId="42"/>
    <tableColumn id="4" xr3:uid="{687AA1EE-4B96-4F3C-AAE5-0A4780CD088F}" name="Fines de Sem" dataDxfId="41"/>
    <tableColumn id="5" xr3:uid="{B84BCBB0-B0AA-4DC8-8A19-DF01447B6E75}" name="Días Hábiles Vac" dataDxfId="40">
      <calculatedColumnFormula>+Dias_Vacaciones[[#This Row],[Días de Vac s/Ley]]-Dias_Vacaciones[[#This Row],[Fines de Sem]]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Pateles">
      <a:dk1>
        <a:srgbClr val="FFC09F"/>
      </a:dk1>
      <a:lt1>
        <a:srgbClr val="FFEE93"/>
      </a:lt1>
      <a:dk2>
        <a:srgbClr val="FCF5C7"/>
      </a:dk2>
      <a:lt2>
        <a:srgbClr val="A0CED9"/>
      </a:lt2>
      <a:accent1>
        <a:srgbClr val="ADF7B6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www.lanacion.com.ar/feriados/2025/" TargetMode="External"/><Relationship Id="rId1" Type="http://schemas.openxmlformats.org/officeDocument/2006/relationships/hyperlink" Target="https://www.argentina.gob.ar/trabajo/casasparticulares/trabajador/vacaciones" TargetMode="Externa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361F2-F8D3-4C43-A4AA-8492C1B8521A}">
  <sheetPr>
    <tabColor theme="1" tint="-9.9978637043366805E-2"/>
  </sheetPr>
  <dimension ref="A1:E36"/>
  <sheetViews>
    <sheetView showGridLines="0" tabSelected="1" workbookViewId="0">
      <selection activeCell="D29" sqref="D29"/>
    </sheetView>
  </sheetViews>
  <sheetFormatPr baseColWidth="10" defaultRowHeight="16.5" x14ac:dyDescent="0.3"/>
  <cols>
    <col min="1" max="1" width="4.75" style="1" customWidth="1"/>
    <col min="2" max="2" width="57.75" style="1" customWidth="1"/>
    <col min="3" max="3" width="1.625" style="1" customWidth="1"/>
    <col min="4" max="4" width="86.875" style="1" customWidth="1"/>
    <col min="6" max="16384" width="11" style="1"/>
  </cols>
  <sheetData>
    <row r="1" spans="1:5" x14ac:dyDescent="0.3">
      <c r="C1" s="32"/>
    </row>
    <row r="2" spans="1:5" x14ac:dyDescent="0.3">
      <c r="C2" s="32"/>
    </row>
    <row r="3" spans="1:5" x14ac:dyDescent="0.3">
      <c r="A3" s="16" t="s">
        <v>29</v>
      </c>
      <c r="B3" s="3" t="s">
        <v>30</v>
      </c>
      <c r="C3" s="33"/>
      <c r="D3" s="3" t="s">
        <v>118</v>
      </c>
      <c r="E3" s="1"/>
    </row>
    <row r="4" spans="1:5" ht="6" customHeight="1" x14ac:dyDescent="0.3">
      <c r="A4" s="32"/>
      <c r="B4" s="32"/>
      <c r="C4" s="32"/>
      <c r="D4" s="32"/>
      <c r="E4" s="32"/>
    </row>
    <row r="5" spans="1:5" ht="6" customHeight="1" x14ac:dyDescent="0.3">
      <c r="A5" s="32"/>
      <c r="B5" s="32"/>
      <c r="C5" s="32"/>
      <c r="D5" s="32"/>
      <c r="E5" s="32"/>
    </row>
    <row r="6" spans="1:5" x14ac:dyDescent="0.3">
      <c r="B6" s="1" t="s">
        <v>32</v>
      </c>
      <c r="C6" s="32"/>
      <c r="D6" s="1" t="str">
        <f ca="1">_xlfn.FORMULATEXT('Hoja Final'!I12)</f>
        <v>=ENTERO(FRAC.AÑO([@[Fecha de Ingreso]];HOY()))</v>
      </c>
    </row>
    <row r="7" spans="1:5" x14ac:dyDescent="0.3">
      <c r="B7" s="1" t="s">
        <v>104</v>
      </c>
      <c r="C7" s="32"/>
      <c r="D7" s="1" t="str">
        <f ca="1">_xlfn.FORMULATEXT('Hoja Final'!J12)</f>
        <v>=BUSCARX([@ID];Tabla7[ID];Tabla7[Días acum año anterior 2023];"";0)</v>
      </c>
    </row>
    <row r="8" spans="1:5" x14ac:dyDescent="0.3">
      <c r="B8" s="1" t="s">
        <v>60</v>
      </c>
      <c r="C8" s="32"/>
      <c r="D8" s="1" t="str">
        <f ca="1">_xlfn.FORMULATEXT('Hoja Final'!K12)</f>
        <v>=SI([@Antigüedad]&lt;=$E$7;$H$7;
SI([@Antigüedad]&lt;=$E$8;$H$8;
SI([@Antigüedad]&lt;=$E$9;$H$9;$H$10)))</v>
      </c>
    </row>
    <row r="9" spans="1:5" x14ac:dyDescent="0.3">
      <c r="B9" s="1" t="s">
        <v>141</v>
      </c>
      <c r="C9" s="32"/>
      <c r="D9" s="1" t="str">
        <f ca="1">_xlfn.FORMULATEXT('Hoja Final'!L12)</f>
        <v>=[@[Días acum año anterior]]+[@[Días de Vac s/Ley año actual]]</v>
      </c>
    </row>
    <row r="10" spans="1:5" x14ac:dyDescent="0.3">
      <c r="B10" s="1" t="s">
        <v>102</v>
      </c>
      <c r="C10" s="32"/>
      <c r="D10" s="1" t="str">
        <f ca="1">_xlfn.FORMULATEXT('Hoja Final'!M12)</f>
        <v>=BUSCARV([@ID];Tabla13[[ID]:[Vacaciones solicitadas]];3;FALSO)</v>
      </c>
    </row>
    <row r="11" spans="1:5" x14ac:dyDescent="0.3">
      <c r="B11" s="1" t="s">
        <v>61</v>
      </c>
      <c r="C11" s="32"/>
      <c r="D11" s="1" t="str">
        <f ca="1">_xlfn.FORMULATEXT('Hoja Final'!N12)</f>
        <v>=[@[Total días Acum por Disfrute]]-[@[Días Tomados]]</v>
      </c>
    </row>
    <row r="12" spans="1:5" x14ac:dyDescent="0.3">
      <c r="B12" s="1" t="s">
        <v>108</v>
      </c>
      <c r="C12" s="32"/>
      <c r="D12" s="1" t="str">
        <f ca="1">_xlfn.FORMULATEXT(Control_Vacaciones6[[#This Row],[Vacaciones solicitadas ]])</f>
        <v>=INDICE(Tabla13[Vacaciones solicitadas];COINCIDIR([@ID];Tabla13[ID];0))</v>
      </c>
    </row>
    <row r="13" spans="1:5" x14ac:dyDescent="0.3">
      <c r="B13" s="1" t="s">
        <v>62</v>
      </c>
      <c r="C13" s="32"/>
      <c r="D13" s="1" t="s">
        <v>113</v>
      </c>
    </row>
    <row r="14" spans="1:5" x14ac:dyDescent="0.3">
      <c r="B14" s="1" t="s">
        <v>114</v>
      </c>
      <c r="C14" s="32"/>
      <c r="D14" s="1" t="str">
        <f ca="1">_xlfn.FORMULATEXT('Hoja Final'!Q12)</f>
        <v>=SI([@[Fecha de Salida]]="";"";DIA.LAB.INTL([@[Fecha de Salida]];[@[Vacaciones solicitadas ]];1;Tabla9[Feriados]))</v>
      </c>
    </row>
    <row r="15" spans="1:5" x14ac:dyDescent="0.3">
      <c r="B15" s="1" t="s">
        <v>49</v>
      </c>
      <c r="C15" s="32"/>
      <c r="D15" s="1" t="str">
        <f ca="1">_xlfn.FORMULATEXT('Hoja Final'!R12)</f>
        <v>=[@[Días restantes por disfrutar]]-[@[Vacaciones solicitadas ]]</v>
      </c>
    </row>
    <row r="16" spans="1:5" x14ac:dyDescent="0.3">
      <c r="B16" s="5" t="s">
        <v>115</v>
      </c>
      <c r="C16" s="32"/>
    </row>
    <row r="17" spans="2:5" x14ac:dyDescent="0.3">
      <c r="B17" s="48" t="s">
        <v>116</v>
      </c>
      <c r="C17" s="32"/>
      <c r="D17" s="1" t="str">
        <f ca="1">_xlfn.FORMULATEXT('Hoja Final'!S12)</f>
        <v>=[@Sueldo]/25</v>
      </c>
    </row>
    <row r="18" spans="2:5" x14ac:dyDescent="0.3">
      <c r="B18" s="48" t="s">
        <v>117</v>
      </c>
      <c r="C18" s="32"/>
      <c r="D18" s="1" t="str">
        <f ca="1">_xlfn.FORMULATEXT('Hoja Final'!T12)</f>
        <v>=[@[Salario con plus vacacional]]*[@[Vacaciones solicitadas ]]</v>
      </c>
    </row>
    <row r="19" spans="2:5" x14ac:dyDescent="0.3">
      <c r="B19" s="48" t="s">
        <v>65</v>
      </c>
      <c r="C19" s="32"/>
      <c r="D19" s="1" t="str">
        <f ca="1">_xlfn.FORMULATEXT('Hoja Final'!U12)</f>
        <v>=[@[Subtotal vac]]*0,17</v>
      </c>
    </row>
    <row r="20" spans="2:5" x14ac:dyDescent="0.3">
      <c r="B20" s="48" t="s">
        <v>125</v>
      </c>
      <c r="C20" s="32"/>
      <c r="D20" s="1" t="str">
        <f ca="1">_xlfn.FORMULATEXT('Hoja Final'!V12)</f>
        <v>=[@[Subtotal vac]]-[@[Retenciones 17%]]</v>
      </c>
    </row>
    <row r="21" spans="2:5" x14ac:dyDescent="0.3">
      <c r="B21" s="1" t="s">
        <v>120</v>
      </c>
      <c r="C21" s="32"/>
      <c r="D21" s="1" t="s">
        <v>119</v>
      </c>
    </row>
    <row r="22" spans="2:5" x14ac:dyDescent="0.3">
      <c r="B22" s="5" t="s">
        <v>126</v>
      </c>
      <c r="C22" s="32"/>
    </row>
    <row r="23" spans="2:5" x14ac:dyDescent="0.3">
      <c r="B23" s="48" t="s">
        <v>136</v>
      </c>
      <c r="C23" s="32"/>
      <c r="D23" s="1" t="str">
        <f ca="1">_xlfn.FORMULATEXT('Hoja Final'!C36)</f>
        <v>=CONTAR.SI.CONJUNTO(Control_Vacaciones6[Departamento];B36;Control_Vacaciones6[[Vacaciones solicitadas ]];"&lt;&gt;0")</v>
      </c>
    </row>
    <row r="24" spans="2:5" x14ac:dyDescent="0.3">
      <c r="B24" s="48"/>
      <c r="C24" s="32"/>
    </row>
    <row r="25" spans="2:5" x14ac:dyDescent="0.3">
      <c r="B25" s="5" t="s">
        <v>85</v>
      </c>
      <c r="C25" s="32"/>
    </row>
    <row r="26" spans="2:5" x14ac:dyDescent="0.3">
      <c r="B26" s="48" t="s">
        <v>28</v>
      </c>
      <c r="C26" s="32"/>
      <c r="D26" s="1" t="s">
        <v>122</v>
      </c>
    </row>
    <row r="27" spans="2:5" x14ac:dyDescent="0.3">
      <c r="B27" s="48" t="s">
        <v>123</v>
      </c>
      <c r="C27" s="32"/>
      <c r="D27" s="1" t="str">
        <f ca="1">_xlfn.FORMULATEXT(Recibo!C17)</f>
        <v>=BUSCARX(C8;Control_Vacaciones6[ID];Control_Vacaciones6[Días Tomados];"";0)</v>
      </c>
    </row>
    <row r="28" spans="2:5" x14ac:dyDescent="0.3">
      <c r="B28" s="48" t="s">
        <v>78</v>
      </c>
      <c r="C28" s="32"/>
      <c r="D28" s="1" t="str">
        <f ca="1">_xlfn.FORMULATEXT(Recibo!C16)</f>
        <v>=30-C17</v>
      </c>
    </row>
    <row r="29" spans="2:5" x14ac:dyDescent="0.3">
      <c r="B29" s="48" t="s">
        <v>80</v>
      </c>
      <c r="C29" s="32"/>
      <c r="D29" s="1" t="str">
        <f ca="1">_xlfn.FORMULATEXT(Recibo!E18)</f>
        <v>=($D$16+$D$17)*0,11</v>
      </c>
    </row>
    <row r="30" spans="2:5" x14ac:dyDescent="0.3">
      <c r="B30" s="48" t="s">
        <v>81</v>
      </c>
      <c r="C30" s="32"/>
      <c r="D30" s="1" t="str">
        <f ca="1">_xlfn.FORMULATEXT(Recibo!E19)</f>
        <v>=($D$16+$D$17)*0,03</v>
      </c>
      <c r="E30" s="1"/>
    </row>
    <row r="31" spans="2:5" x14ac:dyDescent="0.3">
      <c r="B31" s="48" t="s">
        <v>82</v>
      </c>
      <c r="C31" s="32"/>
      <c r="D31" s="1" t="str">
        <f ca="1">_xlfn.FORMULATEXT(Recibo!E20)</f>
        <v>=($D$16+$D$17)*0,03</v>
      </c>
    </row>
    <row r="32" spans="2:5" x14ac:dyDescent="0.3">
      <c r="B32" s="48" t="s">
        <v>84</v>
      </c>
      <c r="C32" s="32"/>
      <c r="E32" s="1"/>
    </row>
    <row r="33" spans="2:5" x14ac:dyDescent="0.3">
      <c r="B33" s="48"/>
      <c r="C33" s="32"/>
      <c r="E33" s="1"/>
    </row>
    <row r="34" spans="2:5" x14ac:dyDescent="0.3">
      <c r="C34" s="32"/>
    </row>
    <row r="35" spans="2:5" x14ac:dyDescent="0.3">
      <c r="C35" s="32"/>
    </row>
    <row r="36" spans="2:5" x14ac:dyDescent="0.3">
      <c r="C36" s="32"/>
    </row>
  </sheetData>
  <sheetProtection algorithmName="SHA-512" hashValue="1lG9UG1apBOOZHgqyTDhyLk7BQQK8CKgsJGobzKYie0dNWnRuxzHvAmFWxtUHUVvzSpS3GSTTCchmYfy60I3sg==" saltValue="TwvjXLjaTGZZvkgYYbpgyA==" spinCount="100000" sheet="1" objects="1" scenarios="1"/>
  <conditionalFormatting sqref="B6:B45">
    <cfRule type="expression" dxfId="22" priority="1">
      <formula>$A6=1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3D6E1FEF-64F1-4547-9BC0-F514420DA96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A4:A45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89CF-71D0-4354-BF6B-803A0015F041}">
  <dimension ref="A1:H8"/>
  <sheetViews>
    <sheetView showGridLines="0" workbookViewId="0">
      <selection activeCell="H19" sqref="H19"/>
    </sheetView>
  </sheetViews>
  <sheetFormatPr baseColWidth="10" defaultRowHeight="16.5" x14ac:dyDescent="0.3"/>
  <cols>
    <col min="1" max="3" width="11" style="68"/>
    <col min="4" max="4" width="11.125" style="68" customWidth="1"/>
    <col min="5" max="5" width="12.125" style="68" customWidth="1"/>
    <col min="6" max="6" width="11" style="68"/>
    <col min="7" max="7" width="16.625" style="68" customWidth="1"/>
    <col min="8" max="16384" width="11" style="68"/>
  </cols>
  <sheetData>
    <row r="1" spans="1:8" x14ac:dyDescent="0.3">
      <c r="D1" s="69" t="s">
        <v>28</v>
      </c>
      <c r="E1" s="69" t="s">
        <v>134</v>
      </c>
    </row>
    <row r="2" spans="1:8" x14ac:dyDescent="0.3">
      <c r="A2" s="69" t="s">
        <v>28</v>
      </c>
      <c r="B2" s="69" t="s">
        <v>134</v>
      </c>
      <c r="D2" s="68">
        <v>13865819</v>
      </c>
      <c r="E2" s="68">
        <f>INDEX(Tabla6[SUELDO],MATCH(D2,Tabla6[ID],0))</f>
        <v>63</v>
      </c>
    </row>
    <row r="3" spans="1:8" x14ac:dyDescent="0.3">
      <c r="A3" s="68">
        <v>13865814</v>
      </c>
      <c r="B3" s="70">
        <v>197</v>
      </c>
    </row>
    <row r="4" spans="1:8" x14ac:dyDescent="0.3">
      <c r="A4" s="68">
        <v>13865815</v>
      </c>
      <c r="B4" s="70">
        <v>160</v>
      </c>
    </row>
    <row r="5" spans="1:8" x14ac:dyDescent="0.3">
      <c r="A5" s="68">
        <v>13865816</v>
      </c>
      <c r="B5" s="70">
        <v>75</v>
      </c>
      <c r="F5" s="71" t="s">
        <v>135</v>
      </c>
    </row>
    <row r="6" spans="1:8" x14ac:dyDescent="0.3">
      <c r="A6" s="68">
        <v>13865817</v>
      </c>
      <c r="B6" s="70">
        <v>99</v>
      </c>
      <c r="F6" s="68" t="s">
        <v>139</v>
      </c>
      <c r="H6" s="74" t="s">
        <v>144</v>
      </c>
    </row>
    <row r="7" spans="1:8" x14ac:dyDescent="0.3">
      <c r="A7" s="68">
        <v>13865818</v>
      </c>
      <c r="B7" s="70">
        <v>115</v>
      </c>
      <c r="F7" s="68" t="s">
        <v>140</v>
      </c>
      <c r="H7" s="74" t="s">
        <v>143</v>
      </c>
    </row>
    <row r="8" spans="1:8" x14ac:dyDescent="0.3">
      <c r="A8" s="68">
        <v>13865819</v>
      </c>
      <c r="B8" s="70">
        <v>63</v>
      </c>
    </row>
  </sheetData>
  <sheetProtection algorithmName="SHA-512" hashValue="ARXclRgIBCIgtSuvNQLD1DJhTr1XTwhhZfG1AgsRpxRTUEOiddoEtu7OvEWBpYszi56TWfAtTWfP3zM8GxyWUw==" saltValue="AvesTq3z24ffSC3NZIk/ow==" spinCount="100000" sheet="1" objects="1" scenarios="1"/>
  <dataValidations count="1">
    <dataValidation type="list" allowBlank="1" showInputMessage="1" showErrorMessage="1" sqref="D2" xr:uid="{07A6A5AE-DA43-4527-84F4-AF13875C5750}">
      <formula1>$A$3:$A$8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8812A-12C7-4D88-B9B0-1F31A303CAB6}">
  <sheetPr>
    <tabColor theme="5" tint="0.59999389629810485"/>
  </sheetPr>
  <dimension ref="A3:C6"/>
  <sheetViews>
    <sheetView showGridLines="0" workbookViewId="0">
      <selection activeCell="F14" sqref="F14"/>
    </sheetView>
  </sheetViews>
  <sheetFormatPr baseColWidth="10" defaultRowHeight="16.5" x14ac:dyDescent="0.3"/>
  <cols>
    <col min="1" max="1" width="12.25" bestFit="1" customWidth="1"/>
    <col min="2" max="2" width="13.875" bestFit="1" customWidth="1"/>
    <col min="3" max="3" width="11.375" bestFit="1" customWidth="1"/>
  </cols>
  <sheetData>
    <row r="3" spans="1:3" x14ac:dyDescent="0.3">
      <c r="A3" s="65" t="s">
        <v>127</v>
      </c>
      <c r="B3" s="65" t="s">
        <v>131</v>
      </c>
      <c r="C3" s="65" t="s">
        <v>132</v>
      </c>
    </row>
    <row r="4" spans="1:3" x14ac:dyDescent="0.3">
      <c r="A4" s="66" t="s">
        <v>129</v>
      </c>
      <c r="B4" s="67">
        <v>0.47368421052631576</v>
      </c>
      <c r="C4" s="67">
        <v>1</v>
      </c>
    </row>
    <row r="5" spans="1:3" x14ac:dyDescent="0.3">
      <c r="A5" s="66" t="s">
        <v>130</v>
      </c>
      <c r="B5" s="67">
        <v>0.52631578947368418</v>
      </c>
      <c r="C5" s="67">
        <v>1</v>
      </c>
    </row>
    <row r="6" spans="1:3" x14ac:dyDescent="0.3">
      <c r="A6" s="66" t="s">
        <v>128</v>
      </c>
      <c r="B6" s="67">
        <v>1</v>
      </c>
      <c r="C6" s="6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E657-7501-4F0F-B5A3-36B04034C97D}">
  <sheetPr>
    <tabColor theme="1" tint="-9.9978637043366805E-2"/>
  </sheetPr>
  <dimension ref="A1:V36"/>
  <sheetViews>
    <sheetView showGridLines="0" topLeftCell="F2" workbookViewId="0">
      <selection activeCell="M16" sqref="M16"/>
    </sheetView>
  </sheetViews>
  <sheetFormatPr baseColWidth="10" defaultRowHeight="16.5" x14ac:dyDescent="0.3"/>
  <cols>
    <col min="1" max="1" width="15.5" style="1" customWidth="1"/>
    <col min="2" max="2" width="11.625" style="1" customWidth="1"/>
    <col min="3" max="3" width="11.875" style="1" customWidth="1"/>
    <col min="4" max="4" width="22.125" style="1" customWidth="1"/>
    <col min="5" max="5" width="12.25" style="1" customWidth="1"/>
    <col min="6" max="6" width="11" style="1" customWidth="1"/>
    <col min="7" max="7" width="13.125" style="1" customWidth="1"/>
    <col min="8" max="8" width="10.625" style="1" customWidth="1"/>
    <col min="9" max="10" width="11" style="1" customWidth="1"/>
    <col min="11" max="12" width="12.25" style="1" customWidth="1"/>
    <col min="13" max="13" width="11" style="1" customWidth="1"/>
    <col min="14" max="14" width="9.625" style="1" customWidth="1"/>
    <col min="15" max="15" width="11" style="1" customWidth="1"/>
    <col min="16" max="16" width="15" style="1" customWidth="1"/>
    <col min="17" max="17" width="16.625" style="1" customWidth="1"/>
    <col min="18" max="18" width="11" style="1" customWidth="1"/>
    <col min="19" max="23" width="11" style="1"/>
    <col min="24" max="24" width="10.625" style="1" customWidth="1"/>
    <col min="25" max="16384" width="11" style="1"/>
  </cols>
  <sheetData>
    <row r="1" spans="1:22" x14ac:dyDescent="0.3">
      <c r="D1" s="38" t="s">
        <v>58</v>
      </c>
      <c r="G1" s="61"/>
    </row>
    <row r="2" spans="1:22" x14ac:dyDescent="0.3">
      <c r="D2" s="38" t="s">
        <v>57</v>
      </c>
      <c r="E2" s="30">
        <v>2024</v>
      </c>
      <c r="G2" s="61"/>
      <c r="Q2" s="62"/>
      <c r="R2" s="62"/>
      <c r="S2" s="62"/>
      <c r="T2" s="62"/>
      <c r="U2" s="62"/>
    </row>
    <row r="3" spans="1:22" x14ac:dyDescent="0.3">
      <c r="D3" s="38" t="s">
        <v>142</v>
      </c>
      <c r="E3" s="19"/>
      <c r="G3" s="61"/>
    </row>
    <row r="4" spans="1:22" x14ac:dyDescent="0.3">
      <c r="D4" s="38"/>
      <c r="E4" s="19"/>
      <c r="G4" s="61"/>
    </row>
    <row r="5" spans="1:22" x14ac:dyDescent="0.3">
      <c r="B5" s="5"/>
      <c r="D5" s="38" t="s">
        <v>39</v>
      </c>
      <c r="E5" s="61"/>
    </row>
    <row r="6" spans="1:22" ht="25.5" x14ac:dyDescent="0.3">
      <c r="A6" s="5" t="s">
        <v>56</v>
      </c>
      <c r="D6" s="13" t="s">
        <v>32</v>
      </c>
      <c r="E6" s="13" t="s">
        <v>40</v>
      </c>
      <c r="F6" s="46" t="s">
        <v>50</v>
      </c>
      <c r="G6" s="46" t="s">
        <v>47</v>
      </c>
      <c r="H6" s="46" t="s">
        <v>51</v>
      </c>
    </row>
    <row r="7" spans="1:22" x14ac:dyDescent="0.3">
      <c r="B7" s="15"/>
      <c r="D7" s="72" t="s">
        <v>37</v>
      </c>
      <c r="E7" s="47">
        <v>5</v>
      </c>
      <c r="F7" s="5">
        <v>14</v>
      </c>
      <c r="G7" s="1">
        <v>4</v>
      </c>
      <c r="H7" s="32">
        <f>+Dias_Vacaciones11[[#This Row],[Días de Vac s/Ley]]-Dias_Vacaciones11[[#This Row],[Fines de Sem]]</f>
        <v>10</v>
      </c>
    </row>
    <row r="8" spans="1:22" s="4" customFormat="1" x14ac:dyDescent="0.3">
      <c r="D8" s="72" t="s">
        <v>38</v>
      </c>
      <c r="E8" s="47">
        <v>10</v>
      </c>
      <c r="F8" s="5">
        <v>21</v>
      </c>
      <c r="G8" s="1">
        <v>6</v>
      </c>
      <c r="H8" s="32">
        <f>+Dias_Vacaciones11[[#This Row],[Días de Vac s/Ley]]-Dias_Vacaciones11[[#This Row],[Fines de Sem]]</f>
        <v>15</v>
      </c>
      <c r="M8" s="14"/>
    </row>
    <row r="9" spans="1:22" s="4" customFormat="1" x14ac:dyDescent="0.3">
      <c r="D9" s="72" t="s">
        <v>33</v>
      </c>
      <c r="E9" s="47">
        <v>20</v>
      </c>
      <c r="F9" s="5">
        <v>28</v>
      </c>
      <c r="G9" s="1">
        <v>8</v>
      </c>
      <c r="H9" s="32">
        <f>+Dias_Vacaciones11[[#This Row],[Días de Vac s/Ley]]-Dias_Vacaciones11[[#This Row],[Fines de Sem]]</f>
        <v>20</v>
      </c>
      <c r="M9" s="14"/>
    </row>
    <row r="10" spans="1:22" s="4" customFormat="1" x14ac:dyDescent="0.3">
      <c r="B10" s="5"/>
      <c r="C10" s="19"/>
      <c r="D10" s="72" t="s">
        <v>34</v>
      </c>
      <c r="E10" s="47">
        <v>21</v>
      </c>
      <c r="F10" s="5">
        <v>35</v>
      </c>
      <c r="G10" s="1">
        <v>10</v>
      </c>
      <c r="H10" s="32">
        <f>+Dias_Vacaciones11[[#This Row],[Días de Vac s/Ley]]-Dias_Vacaciones11[[#This Row],[Fines de Sem]]</f>
        <v>25</v>
      </c>
      <c r="J10" s="31">
        <v>2023</v>
      </c>
      <c r="K10" s="31">
        <f>+E2</f>
        <v>2024</v>
      </c>
      <c r="M10" s="14"/>
    </row>
    <row r="11" spans="1:22" s="2" customFormat="1" ht="22.5" x14ac:dyDescent="0.2">
      <c r="B11" s="2" t="s">
        <v>0</v>
      </c>
      <c r="C11" s="2" t="s">
        <v>28</v>
      </c>
      <c r="D11" s="2" t="s">
        <v>127</v>
      </c>
      <c r="E11" s="2" t="s">
        <v>1</v>
      </c>
      <c r="F11" s="2" t="s">
        <v>31</v>
      </c>
      <c r="G11" s="2" t="s">
        <v>2</v>
      </c>
      <c r="H11" s="2" t="s">
        <v>63</v>
      </c>
      <c r="I11" s="2" t="s">
        <v>32</v>
      </c>
      <c r="J11" s="34" t="s">
        <v>53</v>
      </c>
      <c r="K11" s="2" t="s">
        <v>59</v>
      </c>
      <c r="L11" s="2" t="s">
        <v>54</v>
      </c>
      <c r="M11" s="2" t="s">
        <v>52</v>
      </c>
      <c r="N11" s="2" t="s">
        <v>61</v>
      </c>
      <c r="O11" s="2" t="s">
        <v>55</v>
      </c>
      <c r="P11" s="2" t="s">
        <v>42</v>
      </c>
      <c r="Q11" s="2" t="s">
        <v>43</v>
      </c>
      <c r="R11" s="2" t="s">
        <v>48</v>
      </c>
      <c r="S11" s="2" t="s">
        <v>70</v>
      </c>
      <c r="T11" s="2" t="s">
        <v>64</v>
      </c>
      <c r="U11" s="2" t="s">
        <v>65</v>
      </c>
      <c r="V11" s="2" t="s">
        <v>66</v>
      </c>
    </row>
    <row r="12" spans="1:22" ht="17.25" x14ac:dyDescent="0.3">
      <c r="B12" s="55" t="s">
        <v>7</v>
      </c>
      <c r="C12" s="56">
        <v>12190455</v>
      </c>
      <c r="D12" s="64" t="s">
        <v>130</v>
      </c>
      <c r="E12" s="57">
        <v>44533</v>
      </c>
      <c r="F12" s="73" t="s">
        <v>86</v>
      </c>
      <c r="G12" s="55" t="s">
        <v>3</v>
      </c>
      <c r="H12" s="58">
        <v>2900</v>
      </c>
      <c r="I12" s="18">
        <f ca="1">INT(YEARFRAC(Control_Vacaciones6[[#This Row],[Fecha de Ingreso]],TODAY()))</f>
        <v>2</v>
      </c>
      <c r="J12" s="50">
        <f>_xlfn.XLOOKUP(Control_Vacaciones6[[#This Row],[ID]],Tabla7[ID],Tabla7[Días acum año anterior 2023],"",0)</f>
        <v>5</v>
      </c>
      <c r="K12" s="18">
        <f ca="1">IF(Control_Vacaciones6[[#This Row],[Antigüedad]]&lt;=$E$7,$H$7,
IF(Control_Vacaciones6[[#This Row],[Antigüedad]]&lt;=$E$8,$H$8,
IF(Control_Vacaciones6[[#This Row],[Antigüedad]]&lt;=$E$9,$H$9,$H$10)))</f>
        <v>10</v>
      </c>
      <c r="L12" s="63">
        <f ca="1">Control_Vacaciones6[[#This Row],[Días acum año anterior]]+Control_Vacaciones6[[#This Row],[Días de Vac s/Ley año actual]]</f>
        <v>15</v>
      </c>
      <c r="M12" s="50">
        <f>VLOOKUP(Control_Vacaciones6[[#This Row],[ID]],Tabla13[[ID]:[Vacaciones solicitadas]],3,FALSE)</f>
        <v>5</v>
      </c>
      <c r="N12" s="51">
        <f ca="1">Control_Vacaciones6[[#This Row],[Total días Acum por Disfrute]]-Control_Vacaciones6[[#This Row],[Días Tomados]]</f>
        <v>10</v>
      </c>
      <c r="O12" s="8">
        <f>INDEX(Tabla13[Vacaciones solicitadas],MATCH(Control_Vacaciones6[[#This Row],[ID]],Tabla13[ID],0))</f>
        <v>5</v>
      </c>
      <c r="P12" s="59">
        <v>45663</v>
      </c>
      <c r="Q12" s="52">
        <f>IF(Control_Vacaciones6[[#This Row],[Fecha de Salida]]="","",WORKDAY.INTL(Control_Vacaciones6[[#This Row],[Fecha de Salida]],Control_Vacaciones6[[#This Row],[Vacaciones solicitadas ]],1,Tabla9[Feriados]))</f>
        <v>45670</v>
      </c>
      <c r="R12" s="53">
        <f ca="1">Control_Vacaciones6[[#This Row],[Días restantes por disfrutar]]-Control_Vacaciones6[[#This Row],[Vacaciones solicitadas ]]</f>
        <v>5</v>
      </c>
      <c r="S12" s="54">
        <f>Control_Vacaciones6[[#This Row],[Sueldo]]/25</f>
        <v>116</v>
      </c>
      <c r="T12" s="54">
        <f>Control_Vacaciones6[[#This Row],[Salario con plus vacacional]]*Control_Vacaciones6[[#This Row],[Vacaciones solicitadas ]]</f>
        <v>580</v>
      </c>
      <c r="U12" s="54">
        <f>Control_Vacaciones6[[#This Row],[Subtotal vac]]*0.17</f>
        <v>98.600000000000009</v>
      </c>
      <c r="V12" s="54">
        <f>Control_Vacaciones6[[#This Row],[Subtotal vac]]-Control_Vacaciones6[[#This Row],[Retenciones 17%]]</f>
        <v>481.4</v>
      </c>
    </row>
    <row r="13" spans="1:22" ht="17.25" x14ac:dyDescent="0.3">
      <c r="B13" s="55" t="s">
        <v>8</v>
      </c>
      <c r="C13" s="56">
        <v>11559566</v>
      </c>
      <c r="D13" s="64" t="s">
        <v>130</v>
      </c>
      <c r="E13" s="57">
        <v>43598</v>
      </c>
      <c r="F13" s="73" t="s">
        <v>86</v>
      </c>
      <c r="G13" s="55" t="s">
        <v>5</v>
      </c>
      <c r="H13" s="58">
        <v>1400</v>
      </c>
      <c r="I13" s="18">
        <f ca="1">INT(YEARFRAC(Control_Vacaciones6[[#This Row],[Fecha de Ingreso]],TODAY()))</f>
        <v>5</v>
      </c>
      <c r="J13" s="50">
        <f>_xlfn.XLOOKUP(Control_Vacaciones6[[#This Row],[ID]],Tabla7[ID],Tabla7[Días acum año anterior 2023],"",0)</f>
        <v>5</v>
      </c>
      <c r="K13" s="18">
        <f ca="1">IF(Control_Vacaciones6[[#This Row],[Antigüedad]]&lt;=$E$7,$H$7,
IF(Control_Vacaciones6[[#This Row],[Antigüedad]]&lt;=$E$8,$H$8,
IF(Control_Vacaciones6[[#This Row],[Antigüedad]]&lt;=$E$9,$H$9,$H$10)))</f>
        <v>10</v>
      </c>
      <c r="L13" s="63">
        <f ca="1">Control_Vacaciones6[[#This Row],[Días acum año anterior]]+Control_Vacaciones6[[#This Row],[Días de Vac s/Ley año actual]]</f>
        <v>15</v>
      </c>
      <c r="M13" s="50">
        <f>VLOOKUP(Control_Vacaciones6[[#This Row],[ID]],Tabla13[[ID]:[Vacaciones solicitadas]],3,FALSE)</f>
        <v>5</v>
      </c>
      <c r="N13" s="51">
        <f ca="1">Control_Vacaciones6[[#This Row],[Total días Acum por Disfrute]]-Control_Vacaciones6[[#This Row],[Días Tomados]]</f>
        <v>10</v>
      </c>
      <c r="O13" s="8">
        <f>INDEX(Tabla13[Vacaciones solicitadas],MATCH(Control_Vacaciones6[[#This Row],[ID]],Tabla13[ID],0))</f>
        <v>5</v>
      </c>
      <c r="P13" s="59">
        <v>45670</v>
      </c>
      <c r="Q13" s="52">
        <f>IF(Control_Vacaciones6[[#This Row],[Fecha de Salida]]="","",WORKDAY.INTL(Control_Vacaciones6[[#This Row],[Fecha de Salida]],Control_Vacaciones6[[#This Row],[Vacaciones solicitadas ]],1,Tabla9[Feriados]))</f>
        <v>45677</v>
      </c>
      <c r="R13" s="53">
        <f ca="1">Control_Vacaciones6[[#This Row],[Días restantes por disfrutar]]-Control_Vacaciones6[[#This Row],[Vacaciones solicitadas ]]</f>
        <v>5</v>
      </c>
      <c r="S13" s="54">
        <f>Control_Vacaciones6[[#This Row],[Sueldo]]/25</f>
        <v>56</v>
      </c>
      <c r="T13" s="54">
        <f>Control_Vacaciones6[[#This Row],[Salario con plus vacacional]]*Control_Vacaciones6[[#This Row],[Vacaciones solicitadas ]]</f>
        <v>280</v>
      </c>
      <c r="U13" s="54">
        <f>Control_Vacaciones6[[#This Row],[Subtotal vac]]*0.17</f>
        <v>47.6</v>
      </c>
      <c r="V13" s="54">
        <f>Control_Vacaciones6[[#This Row],[Subtotal vac]]-Control_Vacaciones6[[#This Row],[Retenciones 17%]]</f>
        <v>232.4</v>
      </c>
    </row>
    <row r="14" spans="1:22" ht="17.25" x14ac:dyDescent="0.3">
      <c r="B14" s="55" t="s">
        <v>9</v>
      </c>
      <c r="C14" s="56">
        <v>10868508</v>
      </c>
      <c r="D14" s="64" t="s">
        <v>129</v>
      </c>
      <c r="E14" s="57">
        <v>45223</v>
      </c>
      <c r="F14" s="73" t="s">
        <v>87</v>
      </c>
      <c r="G14" s="55" t="s">
        <v>5</v>
      </c>
      <c r="H14" s="58">
        <v>2600</v>
      </c>
      <c r="I14" s="18">
        <f ca="1">INT(YEARFRAC(Control_Vacaciones6[[#This Row],[Fecha de Ingreso]],TODAY()))</f>
        <v>1</v>
      </c>
      <c r="J14" s="50">
        <f>_xlfn.XLOOKUP(Control_Vacaciones6[[#This Row],[ID]],Tabla7[ID],Tabla7[Días acum año anterior 2023],"",0)</f>
        <v>0</v>
      </c>
      <c r="K14" s="18">
        <f ca="1">IF(Control_Vacaciones6[[#This Row],[Antigüedad]]&lt;=$E$7,$H$7,
IF(Control_Vacaciones6[[#This Row],[Antigüedad]]&lt;=$E$8,$H$8,
IF(Control_Vacaciones6[[#This Row],[Antigüedad]]&lt;=$E$9,$H$9,$H$10)))</f>
        <v>10</v>
      </c>
      <c r="L14" s="63">
        <f ca="1">Control_Vacaciones6[[#This Row],[Días acum año anterior]]+Control_Vacaciones6[[#This Row],[Días de Vac s/Ley año actual]]</f>
        <v>10</v>
      </c>
      <c r="M14" s="50">
        <f>VLOOKUP(Control_Vacaciones6[[#This Row],[ID]],Tabla13[[ID]:[Vacaciones solicitadas]],3,FALSE)</f>
        <v>0</v>
      </c>
      <c r="N14" s="51">
        <f ca="1">Control_Vacaciones6[[#This Row],[Total días Acum por Disfrute]]-Control_Vacaciones6[[#This Row],[Días Tomados]]</f>
        <v>10</v>
      </c>
      <c r="O14" s="8">
        <f>INDEX(Tabla13[Vacaciones solicitadas],MATCH(Control_Vacaciones6[[#This Row],[ID]],Tabla13[ID],0))</f>
        <v>0</v>
      </c>
      <c r="P14" s="59"/>
      <c r="Q14" s="52" t="str">
        <f>IF(Control_Vacaciones6[[#This Row],[Fecha de Salida]]="","",WORKDAY.INTL(Control_Vacaciones6[[#This Row],[Fecha de Salida]],Control_Vacaciones6[[#This Row],[Vacaciones solicitadas ]],1,Tabla9[Feriados]))</f>
        <v/>
      </c>
      <c r="R14" s="53">
        <f ca="1">Control_Vacaciones6[[#This Row],[Días restantes por disfrutar]]-Control_Vacaciones6[[#This Row],[Vacaciones solicitadas ]]</f>
        <v>10</v>
      </c>
      <c r="S14" s="54">
        <f>Control_Vacaciones6[[#This Row],[Sueldo]]/25</f>
        <v>104</v>
      </c>
      <c r="T14" s="54">
        <f>Control_Vacaciones6[[#This Row],[Salario con plus vacacional]]*Control_Vacaciones6[[#This Row],[Vacaciones solicitadas ]]</f>
        <v>0</v>
      </c>
      <c r="U14" s="54">
        <f>Control_Vacaciones6[[#This Row],[Subtotal vac]]*0.17</f>
        <v>0</v>
      </c>
      <c r="V14" s="54">
        <f>Control_Vacaciones6[[#This Row],[Subtotal vac]]-Control_Vacaciones6[[#This Row],[Retenciones 17%]]</f>
        <v>0</v>
      </c>
    </row>
    <row r="15" spans="1:22" ht="17.25" x14ac:dyDescent="0.3">
      <c r="B15" s="55" t="s">
        <v>10</v>
      </c>
      <c r="C15" s="56">
        <v>12510006</v>
      </c>
      <c r="D15" s="64" t="s">
        <v>129</v>
      </c>
      <c r="E15" s="57">
        <v>44128</v>
      </c>
      <c r="F15" s="73" t="s">
        <v>87</v>
      </c>
      <c r="G15" s="55" t="s">
        <v>68</v>
      </c>
      <c r="H15" s="58">
        <v>1400</v>
      </c>
      <c r="I15" s="18">
        <f ca="1">INT(YEARFRAC(Control_Vacaciones6[[#This Row],[Fecha de Ingreso]],TODAY()))</f>
        <v>4</v>
      </c>
      <c r="J15" s="50">
        <f>_xlfn.XLOOKUP(Control_Vacaciones6[[#This Row],[ID]],Tabla7[ID],Tabla7[Días acum año anterior 2023],"",0)</f>
        <v>0</v>
      </c>
      <c r="K15" s="18">
        <f ca="1">IF(Control_Vacaciones6[[#This Row],[Antigüedad]]&lt;=$E$7,$H$7,
IF(Control_Vacaciones6[[#This Row],[Antigüedad]]&lt;=$E$8,$H$8,
IF(Control_Vacaciones6[[#This Row],[Antigüedad]]&lt;=$E$9,$H$9,$H$10)))</f>
        <v>10</v>
      </c>
      <c r="L15" s="63">
        <f ca="1">Control_Vacaciones6[[#This Row],[Días acum año anterior]]+Control_Vacaciones6[[#This Row],[Días de Vac s/Ley año actual]]</f>
        <v>10</v>
      </c>
      <c r="M15" s="50">
        <f>VLOOKUP(Control_Vacaciones6[[#This Row],[ID]],Tabla13[[ID]:[Vacaciones solicitadas]],3,FALSE)</f>
        <v>0</v>
      </c>
      <c r="N15" s="51">
        <f ca="1">Control_Vacaciones6[[#This Row],[Total días Acum por Disfrute]]-Control_Vacaciones6[[#This Row],[Días Tomados]]</f>
        <v>10</v>
      </c>
      <c r="O15" s="8">
        <f>INDEX(Tabla13[Vacaciones solicitadas],MATCH(Control_Vacaciones6[[#This Row],[ID]],Tabla13[ID],0))</f>
        <v>0</v>
      </c>
      <c r="P15" s="59"/>
      <c r="Q15" s="52" t="str">
        <f>IF(Control_Vacaciones6[[#This Row],[Fecha de Salida]]="","",WORKDAY.INTL(Control_Vacaciones6[[#This Row],[Fecha de Salida]],Control_Vacaciones6[[#This Row],[Vacaciones solicitadas ]],1,Tabla9[Feriados]))</f>
        <v/>
      </c>
      <c r="R15" s="53">
        <f ca="1">Control_Vacaciones6[[#This Row],[Días restantes por disfrutar]]-Control_Vacaciones6[[#This Row],[Vacaciones solicitadas ]]</f>
        <v>10</v>
      </c>
      <c r="S15" s="54">
        <f>Control_Vacaciones6[[#This Row],[Sueldo]]/25</f>
        <v>56</v>
      </c>
      <c r="T15" s="54">
        <f>Control_Vacaciones6[[#This Row],[Salario con plus vacacional]]*Control_Vacaciones6[[#This Row],[Vacaciones solicitadas ]]</f>
        <v>0</v>
      </c>
      <c r="U15" s="54">
        <f>Control_Vacaciones6[[#This Row],[Subtotal vac]]*0.17</f>
        <v>0</v>
      </c>
      <c r="V15" s="54">
        <f>Control_Vacaciones6[[#This Row],[Subtotal vac]]-Control_Vacaciones6[[#This Row],[Retenciones 17%]]</f>
        <v>0</v>
      </c>
    </row>
    <row r="16" spans="1:22" ht="17.25" x14ac:dyDescent="0.3">
      <c r="B16" s="55" t="s">
        <v>11</v>
      </c>
      <c r="C16" s="56">
        <v>11028824</v>
      </c>
      <c r="D16" s="64" t="s">
        <v>129</v>
      </c>
      <c r="E16" s="57">
        <v>36823</v>
      </c>
      <c r="F16" s="73" t="s">
        <v>87</v>
      </c>
      <c r="G16" s="55" t="s">
        <v>93</v>
      </c>
      <c r="H16" s="58">
        <v>1400</v>
      </c>
      <c r="I16" s="18">
        <f ca="1">INT(YEARFRAC(Control_Vacaciones6[[#This Row],[Fecha de Ingreso]],TODAY()))</f>
        <v>24</v>
      </c>
      <c r="J16" s="50">
        <f>_xlfn.XLOOKUP(Control_Vacaciones6[[#This Row],[ID]],Tabla7[ID],Tabla7[Días acum año anterior 2023],"",0)</f>
        <v>0</v>
      </c>
      <c r="K16" s="18">
        <f ca="1">IF(Control_Vacaciones6[[#This Row],[Antigüedad]]&lt;=$E$7,$H$7,
IF(Control_Vacaciones6[[#This Row],[Antigüedad]]&lt;=$E$8,$H$8,
IF(Control_Vacaciones6[[#This Row],[Antigüedad]]&lt;=$E$9,$H$9,$H$10)))</f>
        <v>25</v>
      </c>
      <c r="L16" s="63">
        <f ca="1">Control_Vacaciones6[[#This Row],[Días acum año anterior]]+Control_Vacaciones6[[#This Row],[Días de Vac s/Ley año actual]]</f>
        <v>25</v>
      </c>
      <c r="M16" s="50">
        <f>VLOOKUP(Control_Vacaciones6[[#This Row],[ID]],Tabla13[[ID]:[Vacaciones solicitadas]],3,FALSE)</f>
        <v>15</v>
      </c>
      <c r="N16" s="51">
        <f ca="1">Control_Vacaciones6[[#This Row],[Total días Acum por Disfrute]]-Control_Vacaciones6[[#This Row],[Días Tomados]]</f>
        <v>10</v>
      </c>
      <c r="O16" s="8">
        <f>INDEX(Tabla13[Vacaciones solicitadas],MATCH(Control_Vacaciones6[[#This Row],[ID]],Tabla13[ID],0))</f>
        <v>15</v>
      </c>
      <c r="P16" s="59">
        <v>45663</v>
      </c>
      <c r="Q16" s="52">
        <f>IF(Control_Vacaciones6[[#This Row],[Fecha de Salida]]="","",WORKDAY.INTL(Control_Vacaciones6[[#This Row],[Fecha de Salida]],Control_Vacaciones6[[#This Row],[Vacaciones solicitadas ]],1,Tabla9[Feriados]))</f>
        <v>45684</v>
      </c>
      <c r="R16" s="53">
        <f ca="1">Control_Vacaciones6[[#This Row],[Días restantes por disfrutar]]-Control_Vacaciones6[[#This Row],[Vacaciones solicitadas ]]</f>
        <v>-5</v>
      </c>
      <c r="S16" s="54">
        <f>Control_Vacaciones6[[#This Row],[Sueldo]]/25</f>
        <v>56</v>
      </c>
      <c r="T16" s="54">
        <f>Control_Vacaciones6[[#This Row],[Salario con plus vacacional]]*Control_Vacaciones6[[#This Row],[Vacaciones solicitadas ]]</f>
        <v>840</v>
      </c>
      <c r="U16" s="54">
        <f>Control_Vacaciones6[[#This Row],[Subtotal vac]]*0.17</f>
        <v>142.80000000000001</v>
      </c>
      <c r="V16" s="54">
        <f>Control_Vacaciones6[[#This Row],[Subtotal vac]]-Control_Vacaciones6[[#This Row],[Retenciones 17%]]</f>
        <v>697.2</v>
      </c>
    </row>
    <row r="17" spans="2:22" ht="17.25" x14ac:dyDescent="0.3">
      <c r="B17" s="55" t="s">
        <v>12</v>
      </c>
      <c r="C17" s="56">
        <v>11415613</v>
      </c>
      <c r="D17" s="64" t="s">
        <v>129</v>
      </c>
      <c r="E17" s="57">
        <v>43726</v>
      </c>
      <c r="F17" s="73" t="s">
        <v>87</v>
      </c>
      <c r="G17" s="55" t="s">
        <v>93</v>
      </c>
      <c r="H17" s="58">
        <v>1000</v>
      </c>
      <c r="I17" s="18">
        <f ca="1">INT(YEARFRAC(Control_Vacaciones6[[#This Row],[Fecha de Ingreso]],TODAY()))</f>
        <v>5</v>
      </c>
      <c r="J17" s="50">
        <f>_xlfn.XLOOKUP(Control_Vacaciones6[[#This Row],[ID]],Tabla7[ID],Tabla7[Días acum año anterior 2023],"",0)</f>
        <v>0</v>
      </c>
      <c r="K17" s="18">
        <f ca="1">IF(Control_Vacaciones6[[#This Row],[Antigüedad]]&lt;=$E$7,$H$7,
IF(Control_Vacaciones6[[#This Row],[Antigüedad]]&lt;=$E$8,$H$8,
IF(Control_Vacaciones6[[#This Row],[Antigüedad]]&lt;=$E$9,$H$9,$H$10)))</f>
        <v>10</v>
      </c>
      <c r="L17" s="63">
        <f ca="1">Control_Vacaciones6[[#This Row],[Días acum año anterior]]+Control_Vacaciones6[[#This Row],[Días de Vac s/Ley año actual]]</f>
        <v>10</v>
      </c>
      <c r="M17" s="50">
        <f>VLOOKUP(Control_Vacaciones6[[#This Row],[ID]],Tabla13[[ID]:[Vacaciones solicitadas]],3,FALSE)</f>
        <v>5</v>
      </c>
      <c r="N17" s="51">
        <f ca="1">Control_Vacaciones6[[#This Row],[Total días Acum por Disfrute]]-Control_Vacaciones6[[#This Row],[Días Tomados]]</f>
        <v>5</v>
      </c>
      <c r="O17" s="8">
        <f>INDEX(Tabla13[Vacaciones solicitadas],MATCH(Control_Vacaciones6[[#This Row],[ID]],Tabla13[ID],0))</f>
        <v>5</v>
      </c>
      <c r="P17" s="59">
        <v>45677</v>
      </c>
      <c r="Q17" s="52">
        <f>IF(Control_Vacaciones6[[#This Row],[Fecha de Salida]]="","",WORKDAY.INTL(Control_Vacaciones6[[#This Row],[Fecha de Salida]],Control_Vacaciones6[[#This Row],[Vacaciones solicitadas ]],1,Tabla9[Feriados]))</f>
        <v>45684</v>
      </c>
      <c r="R17" s="53">
        <f ca="1">Control_Vacaciones6[[#This Row],[Días restantes por disfrutar]]-Control_Vacaciones6[[#This Row],[Vacaciones solicitadas ]]</f>
        <v>0</v>
      </c>
      <c r="S17" s="54">
        <f>Control_Vacaciones6[[#This Row],[Sueldo]]/25</f>
        <v>40</v>
      </c>
      <c r="T17" s="54">
        <f>Control_Vacaciones6[[#This Row],[Salario con plus vacacional]]*Control_Vacaciones6[[#This Row],[Vacaciones solicitadas ]]</f>
        <v>200</v>
      </c>
      <c r="U17" s="54">
        <f>Control_Vacaciones6[[#This Row],[Subtotal vac]]*0.17</f>
        <v>34</v>
      </c>
      <c r="V17" s="54">
        <f>Control_Vacaciones6[[#This Row],[Subtotal vac]]-Control_Vacaciones6[[#This Row],[Retenciones 17%]]</f>
        <v>166</v>
      </c>
    </row>
    <row r="18" spans="2:22" ht="17.25" x14ac:dyDescent="0.3">
      <c r="B18" s="55" t="s">
        <v>13</v>
      </c>
      <c r="C18" s="56">
        <v>13080635</v>
      </c>
      <c r="D18" s="64" t="s">
        <v>129</v>
      </c>
      <c r="E18" s="57">
        <v>43726</v>
      </c>
      <c r="F18" s="73" t="s">
        <v>87</v>
      </c>
      <c r="G18" s="55" t="s">
        <v>93</v>
      </c>
      <c r="H18" s="58">
        <v>2900</v>
      </c>
      <c r="I18" s="18">
        <f ca="1">INT(YEARFRAC(Control_Vacaciones6[[#This Row],[Fecha de Ingreso]],TODAY()))</f>
        <v>5</v>
      </c>
      <c r="J18" s="50">
        <f>_xlfn.XLOOKUP(Control_Vacaciones6[[#This Row],[ID]],Tabla7[ID],Tabla7[Días acum año anterior 2023],"",0)</f>
        <v>0</v>
      </c>
      <c r="K18" s="18">
        <f ca="1">IF(Control_Vacaciones6[[#This Row],[Antigüedad]]&lt;=$E$7,$H$7,
IF(Control_Vacaciones6[[#This Row],[Antigüedad]]&lt;=$E$8,$H$8,
IF(Control_Vacaciones6[[#This Row],[Antigüedad]]&lt;=$E$9,$H$9,$H$10)))</f>
        <v>10</v>
      </c>
      <c r="L18" s="63">
        <f ca="1">Control_Vacaciones6[[#This Row],[Días acum año anterior]]+Control_Vacaciones6[[#This Row],[Días de Vac s/Ley año actual]]</f>
        <v>10</v>
      </c>
      <c r="M18" s="50">
        <f>VLOOKUP(Control_Vacaciones6[[#This Row],[ID]],Tabla13[[ID]:[Vacaciones solicitadas]],3,FALSE)</f>
        <v>0</v>
      </c>
      <c r="N18" s="51">
        <f ca="1">Control_Vacaciones6[[#This Row],[Total días Acum por Disfrute]]-Control_Vacaciones6[[#This Row],[Días Tomados]]</f>
        <v>10</v>
      </c>
      <c r="O18" s="8">
        <f>INDEX(Tabla13[Vacaciones solicitadas],MATCH(Control_Vacaciones6[[#This Row],[ID]],Tabla13[ID],0))</f>
        <v>0</v>
      </c>
      <c r="P18" s="59"/>
      <c r="Q18" s="52" t="str">
        <f>IF(Control_Vacaciones6[[#This Row],[Fecha de Salida]]="","",WORKDAY.INTL(Control_Vacaciones6[[#This Row],[Fecha de Salida]],Control_Vacaciones6[[#This Row],[Vacaciones solicitadas ]],1,Tabla9[Feriados]))</f>
        <v/>
      </c>
      <c r="R18" s="53">
        <f ca="1">Control_Vacaciones6[[#This Row],[Días restantes por disfrutar]]-Control_Vacaciones6[[#This Row],[Vacaciones solicitadas ]]</f>
        <v>10</v>
      </c>
      <c r="S18" s="54">
        <f>Control_Vacaciones6[[#This Row],[Sueldo]]/25</f>
        <v>116</v>
      </c>
      <c r="T18" s="54">
        <f>Control_Vacaciones6[[#This Row],[Salario con plus vacacional]]*Control_Vacaciones6[[#This Row],[Vacaciones solicitadas ]]</f>
        <v>0</v>
      </c>
      <c r="U18" s="54">
        <f>Control_Vacaciones6[[#This Row],[Subtotal vac]]*0.17</f>
        <v>0</v>
      </c>
      <c r="V18" s="54">
        <f>Control_Vacaciones6[[#This Row],[Subtotal vac]]-Control_Vacaciones6[[#This Row],[Retenciones 17%]]</f>
        <v>0</v>
      </c>
    </row>
    <row r="19" spans="2:22" ht="17.25" x14ac:dyDescent="0.3">
      <c r="B19" s="55" t="s">
        <v>14</v>
      </c>
      <c r="C19" s="56">
        <v>11141428</v>
      </c>
      <c r="D19" s="64" t="s">
        <v>129</v>
      </c>
      <c r="E19" s="57">
        <v>44691</v>
      </c>
      <c r="F19" s="73" t="s">
        <v>87</v>
      </c>
      <c r="G19" s="55" t="s">
        <v>3</v>
      </c>
      <c r="H19" s="58">
        <v>2400</v>
      </c>
      <c r="I19" s="18">
        <f ca="1">INT(YEARFRAC(Control_Vacaciones6[[#This Row],[Fecha de Ingreso]],TODAY()))</f>
        <v>2</v>
      </c>
      <c r="J19" s="50">
        <f>_xlfn.XLOOKUP(Control_Vacaciones6[[#This Row],[ID]],Tabla7[ID],Tabla7[Días acum año anterior 2023],"",0)</f>
        <v>0</v>
      </c>
      <c r="K19" s="18">
        <f ca="1">IF(Control_Vacaciones6[[#This Row],[Antigüedad]]&lt;=$E$7,$H$7,
IF(Control_Vacaciones6[[#This Row],[Antigüedad]]&lt;=$E$8,$H$8,
IF(Control_Vacaciones6[[#This Row],[Antigüedad]]&lt;=$E$9,$H$9,$H$10)))</f>
        <v>10</v>
      </c>
      <c r="L19" s="63">
        <f ca="1">Control_Vacaciones6[[#This Row],[Días acum año anterior]]+Control_Vacaciones6[[#This Row],[Días de Vac s/Ley año actual]]</f>
        <v>10</v>
      </c>
      <c r="M19" s="50">
        <f>VLOOKUP(Control_Vacaciones6[[#This Row],[ID]],Tabla13[[ID]:[Vacaciones solicitadas]],3,FALSE)</f>
        <v>0</v>
      </c>
      <c r="N19" s="51">
        <f ca="1">Control_Vacaciones6[[#This Row],[Total días Acum por Disfrute]]-Control_Vacaciones6[[#This Row],[Días Tomados]]</f>
        <v>10</v>
      </c>
      <c r="O19" s="8">
        <f>INDEX(Tabla13[Vacaciones solicitadas],MATCH(Control_Vacaciones6[[#This Row],[ID]],Tabla13[ID],0))</f>
        <v>0</v>
      </c>
      <c r="P19" s="59"/>
      <c r="Q19" s="52" t="str">
        <f>IF(Control_Vacaciones6[[#This Row],[Fecha de Salida]]="","",WORKDAY.INTL(Control_Vacaciones6[[#This Row],[Fecha de Salida]],Control_Vacaciones6[[#This Row],[Vacaciones solicitadas ]],1,Tabla9[Feriados]))</f>
        <v/>
      </c>
      <c r="R19" s="53">
        <f ca="1">Control_Vacaciones6[[#This Row],[Días restantes por disfrutar]]-Control_Vacaciones6[[#This Row],[Vacaciones solicitadas ]]</f>
        <v>10</v>
      </c>
      <c r="S19" s="54">
        <f>Control_Vacaciones6[[#This Row],[Sueldo]]/25</f>
        <v>96</v>
      </c>
      <c r="T19" s="54">
        <f>Control_Vacaciones6[[#This Row],[Salario con plus vacacional]]*Control_Vacaciones6[[#This Row],[Vacaciones solicitadas ]]</f>
        <v>0</v>
      </c>
      <c r="U19" s="54">
        <f>Control_Vacaciones6[[#This Row],[Subtotal vac]]*0.17</f>
        <v>0</v>
      </c>
      <c r="V19" s="54">
        <f>Control_Vacaciones6[[#This Row],[Subtotal vac]]-Control_Vacaciones6[[#This Row],[Retenciones 17%]]</f>
        <v>0</v>
      </c>
    </row>
    <row r="20" spans="2:22" ht="17.25" x14ac:dyDescent="0.3">
      <c r="B20" s="55" t="s">
        <v>15</v>
      </c>
      <c r="C20" s="56">
        <v>11633855</v>
      </c>
      <c r="D20" s="64" t="s">
        <v>130</v>
      </c>
      <c r="E20" s="57">
        <v>43595</v>
      </c>
      <c r="F20" s="73" t="s">
        <v>87</v>
      </c>
      <c r="G20" s="55" t="s">
        <v>3</v>
      </c>
      <c r="H20" s="58">
        <v>1200</v>
      </c>
      <c r="I20" s="18">
        <f ca="1">INT(YEARFRAC(Control_Vacaciones6[[#This Row],[Fecha de Ingreso]],TODAY()))</f>
        <v>5</v>
      </c>
      <c r="J20" s="50">
        <f>_xlfn.XLOOKUP(Control_Vacaciones6[[#This Row],[ID]],Tabla7[ID],Tabla7[Días acum año anterior 2023],"",0)</f>
        <v>0</v>
      </c>
      <c r="K20" s="18">
        <f ca="1">IF(Control_Vacaciones6[[#This Row],[Antigüedad]]&lt;=$E$7,$H$7,
IF(Control_Vacaciones6[[#This Row],[Antigüedad]]&lt;=$E$8,$H$8,
IF(Control_Vacaciones6[[#This Row],[Antigüedad]]&lt;=$E$9,$H$9,$H$10)))</f>
        <v>10</v>
      </c>
      <c r="L20" s="63">
        <f ca="1">Control_Vacaciones6[[#This Row],[Días acum año anterior]]+Control_Vacaciones6[[#This Row],[Días de Vac s/Ley año actual]]</f>
        <v>10</v>
      </c>
      <c r="M20" s="50">
        <f>VLOOKUP(Control_Vacaciones6[[#This Row],[ID]],Tabla13[[ID]:[Vacaciones solicitadas]],3,FALSE)</f>
        <v>5</v>
      </c>
      <c r="N20" s="51">
        <f ca="1">Control_Vacaciones6[[#This Row],[Total días Acum por Disfrute]]-Control_Vacaciones6[[#This Row],[Días Tomados]]</f>
        <v>5</v>
      </c>
      <c r="O20" s="8">
        <f>INDEX(Tabla13[Vacaciones solicitadas],MATCH(Control_Vacaciones6[[#This Row],[ID]],Tabla13[ID],0))</f>
        <v>5</v>
      </c>
      <c r="P20" s="59">
        <v>45670</v>
      </c>
      <c r="Q20" s="52">
        <f>IF(Control_Vacaciones6[[#This Row],[Fecha de Salida]]="","",WORKDAY.INTL(Control_Vacaciones6[[#This Row],[Fecha de Salida]],Control_Vacaciones6[[#This Row],[Vacaciones solicitadas ]],1,Tabla9[Feriados]))</f>
        <v>45677</v>
      </c>
      <c r="R20" s="53">
        <f ca="1">Control_Vacaciones6[[#This Row],[Días restantes por disfrutar]]-Control_Vacaciones6[[#This Row],[Vacaciones solicitadas ]]</f>
        <v>0</v>
      </c>
      <c r="S20" s="54">
        <f>Control_Vacaciones6[[#This Row],[Sueldo]]/25</f>
        <v>48</v>
      </c>
      <c r="T20" s="54">
        <f>Control_Vacaciones6[[#This Row],[Salario con plus vacacional]]*Control_Vacaciones6[[#This Row],[Vacaciones solicitadas ]]</f>
        <v>240</v>
      </c>
      <c r="U20" s="54">
        <f>Control_Vacaciones6[[#This Row],[Subtotal vac]]*0.17</f>
        <v>40.800000000000004</v>
      </c>
      <c r="V20" s="54">
        <f>Control_Vacaciones6[[#This Row],[Subtotal vac]]-Control_Vacaciones6[[#This Row],[Retenciones 17%]]</f>
        <v>199.2</v>
      </c>
    </row>
    <row r="21" spans="2:22" ht="17.25" x14ac:dyDescent="0.3">
      <c r="B21" s="55" t="s">
        <v>16</v>
      </c>
      <c r="C21" s="56">
        <v>13166130</v>
      </c>
      <c r="D21" s="64" t="s">
        <v>130</v>
      </c>
      <c r="E21" s="57">
        <v>44812</v>
      </c>
      <c r="F21" s="73" t="s">
        <v>86</v>
      </c>
      <c r="G21" s="55" t="s">
        <v>68</v>
      </c>
      <c r="H21" s="58">
        <v>2600</v>
      </c>
      <c r="I21" s="18">
        <f ca="1">INT(YEARFRAC(Control_Vacaciones6[[#This Row],[Fecha de Ingreso]],TODAY()))</f>
        <v>2</v>
      </c>
      <c r="J21" s="50">
        <f>_xlfn.XLOOKUP(Control_Vacaciones6[[#This Row],[ID]],Tabla7[ID],Tabla7[Días acum año anterior 2023],"",0)</f>
        <v>0</v>
      </c>
      <c r="K21" s="18">
        <f ca="1">IF(Control_Vacaciones6[[#This Row],[Antigüedad]]&lt;=$E$7,$H$7,
IF(Control_Vacaciones6[[#This Row],[Antigüedad]]&lt;=$E$8,$H$8,
IF(Control_Vacaciones6[[#This Row],[Antigüedad]]&lt;=$E$9,$H$9,$H$10)))</f>
        <v>10</v>
      </c>
      <c r="L21" s="63">
        <f ca="1">Control_Vacaciones6[[#This Row],[Días acum año anterior]]+Control_Vacaciones6[[#This Row],[Días de Vac s/Ley año actual]]</f>
        <v>10</v>
      </c>
      <c r="M21" s="50">
        <f>VLOOKUP(Control_Vacaciones6[[#This Row],[ID]],Tabla13[[ID]:[Vacaciones solicitadas]],3,FALSE)</f>
        <v>5</v>
      </c>
      <c r="N21" s="51">
        <f ca="1">Control_Vacaciones6[[#This Row],[Total días Acum por Disfrute]]-Control_Vacaciones6[[#This Row],[Días Tomados]]</f>
        <v>5</v>
      </c>
      <c r="O21" s="8">
        <f>INDEX(Tabla13[Vacaciones solicitadas],MATCH(Control_Vacaciones6[[#This Row],[ID]],Tabla13[ID],0))</f>
        <v>5</v>
      </c>
      <c r="P21" s="60">
        <v>45684</v>
      </c>
      <c r="Q21" s="52">
        <f>IF(Control_Vacaciones6[[#This Row],[Fecha de Salida]]="","",WORKDAY.INTL(Control_Vacaciones6[[#This Row],[Fecha de Salida]],Control_Vacaciones6[[#This Row],[Vacaciones solicitadas ]],1,Tabla9[Feriados]))</f>
        <v>45693</v>
      </c>
      <c r="R21" s="53">
        <f ca="1">Control_Vacaciones6[[#This Row],[Días restantes por disfrutar]]-Control_Vacaciones6[[#This Row],[Vacaciones solicitadas ]]</f>
        <v>0</v>
      </c>
      <c r="S21" s="54">
        <f>Control_Vacaciones6[[#This Row],[Sueldo]]/25</f>
        <v>104</v>
      </c>
      <c r="T21" s="54">
        <f>Control_Vacaciones6[[#This Row],[Salario con plus vacacional]]*Control_Vacaciones6[[#This Row],[Vacaciones solicitadas ]]</f>
        <v>520</v>
      </c>
      <c r="U21" s="54">
        <f>Control_Vacaciones6[[#This Row],[Subtotal vac]]*0.17</f>
        <v>88.4</v>
      </c>
      <c r="V21" s="54">
        <f>Control_Vacaciones6[[#This Row],[Subtotal vac]]-Control_Vacaciones6[[#This Row],[Retenciones 17%]]</f>
        <v>431.6</v>
      </c>
    </row>
    <row r="22" spans="2:22" ht="17.25" x14ac:dyDescent="0.3">
      <c r="B22" s="55" t="s">
        <v>17</v>
      </c>
      <c r="C22" s="56">
        <v>11464559</v>
      </c>
      <c r="D22" s="64" t="s">
        <v>130</v>
      </c>
      <c r="E22" s="57">
        <v>36777</v>
      </c>
      <c r="F22" s="73" t="s">
        <v>86</v>
      </c>
      <c r="G22" s="55" t="s">
        <v>68</v>
      </c>
      <c r="H22" s="58">
        <v>1400</v>
      </c>
      <c r="I22" s="18">
        <f ca="1">INT(YEARFRAC(Control_Vacaciones6[[#This Row],[Fecha de Ingreso]],TODAY()))</f>
        <v>24</v>
      </c>
      <c r="J22" s="50">
        <f>_xlfn.XLOOKUP(Control_Vacaciones6[[#This Row],[ID]],Tabla7[ID],Tabla7[Días acum año anterior 2023],"",0)</f>
        <v>10</v>
      </c>
      <c r="K22" s="18">
        <f ca="1">IF(Control_Vacaciones6[[#This Row],[Antigüedad]]&lt;=$E$7,$H$7,
IF(Control_Vacaciones6[[#This Row],[Antigüedad]]&lt;=$E$8,$H$8,
IF(Control_Vacaciones6[[#This Row],[Antigüedad]]&lt;=$E$9,$H$9,$H$10)))</f>
        <v>25</v>
      </c>
      <c r="L22" s="63">
        <f ca="1">Control_Vacaciones6[[#This Row],[Días acum año anterior]]+Control_Vacaciones6[[#This Row],[Días de Vac s/Ley año actual]]</f>
        <v>35</v>
      </c>
      <c r="M22" s="50">
        <f>VLOOKUP(Control_Vacaciones6[[#This Row],[ID]],Tabla13[[ID]:[Vacaciones solicitadas]],3,FALSE)</f>
        <v>10</v>
      </c>
      <c r="N22" s="51">
        <f ca="1">Control_Vacaciones6[[#This Row],[Total días Acum por Disfrute]]-Control_Vacaciones6[[#This Row],[Días Tomados]]</f>
        <v>25</v>
      </c>
      <c r="O22" s="8">
        <f>INDEX(Tabla13[Vacaciones solicitadas],MATCH(Control_Vacaciones6[[#This Row],[ID]],Tabla13[ID],0))</f>
        <v>10</v>
      </c>
      <c r="P22" s="60">
        <v>45677</v>
      </c>
      <c r="Q22" s="52">
        <f>IF(Control_Vacaciones6[[#This Row],[Fecha de Salida]]="","",WORKDAY.INTL(Control_Vacaciones6[[#This Row],[Fecha de Salida]],Control_Vacaciones6[[#This Row],[Vacaciones solicitadas ]],1,Tabla9[Feriados]))</f>
        <v>45693</v>
      </c>
      <c r="R22" s="53">
        <f ca="1">Control_Vacaciones6[[#This Row],[Días restantes por disfrutar]]-Control_Vacaciones6[[#This Row],[Vacaciones solicitadas ]]</f>
        <v>15</v>
      </c>
      <c r="S22" s="54">
        <f>Control_Vacaciones6[[#This Row],[Sueldo]]/25</f>
        <v>56</v>
      </c>
      <c r="T22" s="54">
        <f>Control_Vacaciones6[[#This Row],[Salario con plus vacacional]]*Control_Vacaciones6[[#This Row],[Vacaciones solicitadas ]]</f>
        <v>560</v>
      </c>
      <c r="U22" s="54">
        <f>Control_Vacaciones6[[#This Row],[Subtotal vac]]*0.17</f>
        <v>95.2</v>
      </c>
      <c r="V22" s="54">
        <f>Control_Vacaciones6[[#This Row],[Subtotal vac]]-Control_Vacaciones6[[#This Row],[Retenciones 17%]]</f>
        <v>464.8</v>
      </c>
    </row>
    <row r="23" spans="2:22" ht="17.25" x14ac:dyDescent="0.3">
      <c r="B23" s="55" t="s">
        <v>18</v>
      </c>
      <c r="C23" s="56">
        <v>11982661</v>
      </c>
      <c r="D23" s="64" t="s">
        <v>130</v>
      </c>
      <c r="E23" s="57">
        <v>44212</v>
      </c>
      <c r="F23" s="73" t="s">
        <v>86</v>
      </c>
      <c r="G23" s="55" t="s">
        <v>3</v>
      </c>
      <c r="H23" s="58">
        <v>2400</v>
      </c>
      <c r="I23" s="18">
        <f ca="1">INT(YEARFRAC(Control_Vacaciones6[[#This Row],[Fecha de Ingreso]],TODAY()))</f>
        <v>3</v>
      </c>
      <c r="J23" s="50">
        <f>_xlfn.XLOOKUP(Control_Vacaciones6[[#This Row],[ID]],Tabla7[ID],Tabla7[Días acum año anterior 2023],"",0)</f>
        <v>0</v>
      </c>
      <c r="K23" s="18">
        <f ca="1">IF(Control_Vacaciones6[[#This Row],[Antigüedad]]&lt;=$E$7,$H$7,
IF(Control_Vacaciones6[[#This Row],[Antigüedad]]&lt;=$E$8,$H$8,
IF(Control_Vacaciones6[[#This Row],[Antigüedad]]&lt;=$E$9,$H$9,$H$10)))</f>
        <v>10</v>
      </c>
      <c r="L23" s="63">
        <f ca="1">Control_Vacaciones6[[#This Row],[Días acum año anterior]]+Control_Vacaciones6[[#This Row],[Días de Vac s/Ley año actual]]</f>
        <v>10</v>
      </c>
      <c r="M23" s="50">
        <f>VLOOKUP(Control_Vacaciones6[[#This Row],[ID]],Tabla13[[ID]:[Vacaciones solicitadas]],3,FALSE)</f>
        <v>5</v>
      </c>
      <c r="N23" s="51">
        <f ca="1">Control_Vacaciones6[[#This Row],[Total días Acum por Disfrute]]-Control_Vacaciones6[[#This Row],[Días Tomados]]</f>
        <v>5</v>
      </c>
      <c r="O23" s="8">
        <f>INDEX(Tabla13[Vacaciones solicitadas],MATCH(Control_Vacaciones6[[#This Row],[ID]],Tabla13[ID],0))</f>
        <v>5</v>
      </c>
      <c r="P23" s="59">
        <v>45677</v>
      </c>
      <c r="Q23" s="52">
        <f>IF(Control_Vacaciones6[[#This Row],[Fecha de Salida]]="","",WORKDAY.INTL(Control_Vacaciones6[[#This Row],[Fecha de Salida]],Control_Vacaciones6[[#This Row],[Vacaciones solicitadas ]],1,Tabla9[Feriados]))</f>
        <v>45684</v>
      </c>
      <c r="R23" s="53">
        <f ca="1">Control_Vacaciones6[[#This Row],[Días restantes por disfrutar]]-Control_Vacaciones6[[#This Row],[Vacaciones solicitadas ]]</f>
        <v>0</v>
      </c>
      <c r="S23" s="54">
        <f>Control_Vacaciones6[[#This Row],[Sueldo]]/25</f>
        <v>96</v>
      </c>
      <c r="T23" s="54">
        <f>Control_Vacaciones6[[#This Row],[Salario con plus vacacional]]*Control_Vacaciones6[[#This Row],[Vacaciones solicitadas ]]</f>
        <v>480</v>
      </c>
      <c r="U23" s="54">
        <f>Control_Vacaciones6[[#This Row],[Subtotal vac]]*0.17</f>
        <v>81.600000000000009</v>
      </c>
      <c r="V23" s="54">
        <f>Control_Vacaciones6[[#This Row],[Subtotal vac]]-Control_Vacaciones6[[#This Row],[Retenciones 17%]]</f>
        <v>398.4</v>
      </c>
    </row>
    <row r="24" spans="2:22" ht="17.25" x14ac:dyDescent="0.3">
      <c r="B24" s="55" t="s">
        <v>19</v>
      </c>
      <c r="C24" s="56">
        <v>12556039</v>
      </c>
      <c r="D24" s="64" t="s">
        <v>129</v>
      </c>
      <c r="E24" s="57">
        <v>43846</v>
      </c>
      <c r="F24" s="73" t="s">
        <v>86</v>
      </c>
      <c r="G24" s="55" t="s">
        <v>3</v>
      </c>
      <c r="H24" s="58">
        <v>1800</v>
      </c>
      <c r="I24" s="18">
        <f ca="1">INT(YEARFRAC(Control_Vacaciones6[[#This Row],[Fecha de Ingreso]],TODAY()))</f>
        <v>4</v>
      </c>
      <c r="J24" s="50">
        <f>_xlfn.XLOOKUP(Control_Vacaciones6[[#This Row],[ID]],Tabla7[ID],Tabla7[Días acum año anterior 2023],"",0)</f>
        <v>0</v>
      </c>
      <c r="K24" s="18">
        <f ca="1">IF(Control_Vacaciones6[[#This Row],[Antigüedad]]&lt;=$E$7,$H$7,
IF(Control_Vacaciones6[[#This Row],[Antigüedad]]&lt;=$E$8,$H$8,
IF(Control_Vacaciones6[[#This Row],[Antigüedad]]&lt;=$E$9,$H$9,$H$10)))</f>
        <v>10</v>
      </c>
      <c r="L24" s="63">
        <f ca="1">Control_Vacaciones6[[#This Row],[Días acum año anterior]]+Control_Vacaciones6[[#This Row],[Días de Vac s/Ley año actual]]</f>
        <v>10</v>
      </c>
      <c r="M24" s="50">
        <f>VLOOKUP(Control_Vacaciones6[[#This Row],[ID]],Tabla13[[ID]:[Vacaciones solicitadas]],3,FALSE)</f>
        <v>10</v>
      </c>
      <c r="N24" s="51">
        <f ca="1">Control_Vacaciones6[[#This Row],[Total días Acum por Disfrute]]-Control_Vacaciones6[[#This Row],[Días Tomados]]</f>
        <v>0</v>
      </c>
      <c r="O24" s="8">
        <f>INDEX(Tabla13[Vacaciones solicitadas],MATCH(Control_Vacaciones6[[#This Row],[ID]],Tabla13[ID],0))</f>
        <v>10</v>
      </c>
      <c r="P24" s="60">
        <v>45684</v>
      </c>
      <c r="Q24" s="52">
        <f>IF(Control_Vacaciones6[[#This Row],[Fecha de Salida]]="","",WORKDAY.INTL(Control_Vacaciones6[[#This Row],[Fecha de Salida]],Control_Vacaciones6[[#This Row],[Vacaciones solicitadas ]],1,Tabla9[Feriados]))</f>
        <v>45700</v>
      </c>
      <c r="R24" s="53">
        <f ca="1">Control_Vacaciones6[[#This Row],[Días restantes por disfrutar]]-Control_Vacaciones6[[#This Row],[Vacaciones solicitadas ]]</f>
        <v>-10</v>
      </c>
      <c r="S24" s="54">
        <f>Control_Vacaciones6[[#This Row],[Sueldo]]/25</f>
        <v>72</v>
      </c>
      <c r="T24" s="54">
        <f>Control_Vacaciones6[[#This Row],[Salario con plus vacacional]]*Control_Vacaciones6[[#This Row],[Vacaciones solicitadas ]]</f>
        <v>720</v>
      </c>
      <c r="U24" s="54">
        <f>Control_Vacaciones6[[#This Row],[Subtotal vac]]*0.17</f>
        <v>122.4</v>
      </c>
      <c r="V24" s="54">
        <f>Control_Vacaciones6[[#This Row],[Subtotal vac]]-Control_Vacaciones6[[#This Row],[Retenciones 17%]]</f>
        <v>597.6</v>
      </c>
    </row>
    <row r="25" spans="2:22" ht="17.25" x14ac:dyDescent="0.3">
      <c r="B25" s="55" t="s">
        <v>20</v>
      </c>
      <c r="C25" s="56">
        <v>12662501</v>
      </c>
      <c r="D25" s="64" t="s">
        <v>129</v>
      </c>
      <c r="E25" s="57">
        <v>44199</v>
      </c>
      <c r="F25" s="73" t="s">
        <v>86</v>
      </c>
      <c r="G25" s="55" t="s">
        <v>5</v>
      </c>
      <c r="H25" s="58">
        <v>1700</v>
      </c>
      <c r="I25" s="18">
        <f ca="1">INT(YEARFRAC(Control_Vacaciones6[[#This Row],[Fecha de Ingreso]],TODAY()))</f>
        <v>3</v>
      </c>
      <c r="J25" s="50">
        <f>_xlfn.XLOOKUP(Control_Vacaciones6[[#This Row],[ID]],Tabla7[ID],Tabla7[Días acum año anterior 2023],"",0)</f>
        <v>5</v>
      </c>
      <c r="K25" s="18">
        <f ca="1">IF(Control_Vacaciones6[[#This Row],[Antigüedad]]&lt;=$E$7,$H$7,
IF(Control_Vacaciones6[[#This Row],[Antigüedad]]&lt;=$E$8,$H$8,
IF(Control_Vacaciones6[[#This Row],[Antigüedad]]&lt;=$E$9,$H$9,$H$10)))</f>
        <v>10</v>
      </c>
      <c r="L25" s="63">
        <f ca="1">Control_Vacaciones6[[#This Row],[Días acum año anterior]]+Control_Vacaciones6[[#This Row],[Días de Vac s/Ley año actual]]</f>
        <v>15</v>
      </c>
      <c r="M25" s="50">
        <f>VLOOKUP(Control_Vacaciones6[[#This Row],[ID]],Tabla13[[ID]:[Vacaciones solicitadas]],3,FALSE)</f>
        <v>5</v>
      </c>
      <c r="N25" s="51">
        <f ca="1">Control_Vacaciones6[[#This Row],[Total días Acum por Disfrute]]-Control_Vacaciones6[[#This Row],[Días Tomados]]</f>
        <v>10</v>
      </c>
      <c r="O25" s="8">
        <f>INDEX(Tabla13[Vacaciones solicitadas],MATCH(Control_Vacaciones6[[#This Row],[ID]],Tabla13[ID],0))</f>
        <v>5</v>
      </c>
      <c r="P25" s="59">
        <v>45677</v>
      </c>
      <c r="Q25" s="52">
        <f>IF(Control_Vacaciones6[[#This Row],[Fecha de Salida]]="","",WORKDAY.INTL(Control_Vacaciones6[[#This Row],[Fecha de Salida]],Control_Vacaciones6[[#This Row],[Vacaciones solicitadas ]],1,Tabla9[Feriados]))</f>
        <v>45684</v>
      </c>
      <c r="R25" s="53">
        <f ca="1">Control_Vacaciones6[[#This Row],[Días restantes por disfrutar]]-Control_Vacaciones6[[#This Row],[Vacaciones solicitadas ]]</f>
        <v>5</v>
      </c>
      <c r="S25" s="54">
        <f>Control_Vacaciones6[[#This Row],[Sueldo]]/25</f>
        <v>68</v>
      </c>
      <c r="T25" s="54">
        <f>Control_Vacaciones6[[#This Row],[Salario con plus vacacional]]*Control_Vacaciones6[[#This Row],[Vacaciones solicitadas ]]</f>
        <v>340</v>
      </c>
      <c r="U25" s="54">
        <f>Control_Vacaciones6[[#This Row],[Subtotal vac]]*0.17</f>
        <v>57.800000000000004</v>
      </c>
      <c r="V25" s="54">
        <f>Control_Vacaciones6[[#This Row],[Subtotal vac]]-Control_Vacaciones6[[#This Row],[Retenciones 17%]]</f>
        <v>282.2</v>
      </c>
    </row>
    <row r="26" spans="2:22" ht="17.25" x14ac:dyDescent="0.3">
      <c r="B26" s="55" t="s">
        <v>21</v>
      </c>
      <c r="C26" s="56">
        <v>12160435</v>
      </c>
      <c r="D26" s="64" t="s">
        <v>129</v>
      </c>
      <c r="E26" s="57">
        <v>44160</v>
      </c>
      <c r="F26" s="73" t="s">
        <v>26</v>
      </c>
      <c r="G26" s="55" t="s">
        <v>4</v>
      </c>
      <c r="H26" s="58">
        <v>1400</v>
      </c>
      <c r="I26" s="18">
        <f ca="1">INT(YEARFRAC(Control_Vacaciones6[[#This Row],[Fecha de Ingreso]],TODAY()))</f>
        <v>3</v>
      </c>
      <c r="J26" s="50">
        <f>_xlfn.XLOOKUP(Control_Vacaciones6[[#This Row],[ID]],Tabla7[ID],Tabla7[Días acum año anterior 2023],"",0)</f>
        <v>0</v>
      </c>
      <c r="K26" s="18">
        <f ca="1">IF(Control_Vacaciones6[[#This Row],[Antigüedad]]&lt;=$E$7,$H$7,
IF(Control_Vacaciones6[[#This Row],[Antigüedad]]&lt;=$E$8,$H$8,
IF(Control_Vacaciones6[[#This Row],[Antigüedad]]&lt;=$E$9,$H$9,$H$10)))</f>
        <v>10</v>
      </c>
      <c r="L26" s="63">
        <f ca="1">Control_Vacaciones6[[#This Row],[Días acum año anterior]]+Control_Vacaciones6[[#This Row],[Días de Vac s/Ley año actual]]</f>
        <v>10</v>
      </c>
      <c r="M26" s="50">
        <f>VLOOKUP(Control_Vacaciones6[[#This Row],[ID]],Tabla13[[ID]:[Vacaciones solicitadas]],3,FALSE)</f>
        <v>5</v>
      </c>
      <c r="N26" s="51">
        <f ca="1">Control_Vacaciones6[[#This Row],[Total días Acum por Disfrute]]-Control_Vacaciones6[[#This Row],[Días Tomados]]</f>
        <v>5</v>
      </c>
      <c r="O26" s="8">
        <f>INDEX(Tabla13[Vacaciones solicitadas],MATCH(Control_Vacaciones6[[#This Row],[ID]],Tabla13[ID],0))</f>
        <v>5</v>
      </c>
      <c r="P26" s="59">
        <v>45663</v>
      </c>
      <c r="Q26" s="52">
        <f>IF(Control_Vacaciones6[[#This Row],[Fecha de Salida]]="","",WORKDAY.INTL(Control_Vacaciones6[[#This Row],[Fecha de Salida]],Control_Vacaciones6[[#This Row],[Vacaciones solicitadas ]],1,Tabla9[Feriados]))</f>
        <v>45670</v>
      </c>
      <c r="R26" s="53">
        <f ca="1">Control_Vacaciones6[[#This Row],[Días restantes por disfrutar]]-Control_Vacaciones6[[#This Row],[Vacaciones solicitadas ]]</f>
        <v>0</v>
      </c>
      <c r="S26" s="54">
        <f>Control_Vacaciones6[[#This Row],[Sueldo]]/25</f>
        <v>56</v>
      </c>
      <c r="T26" s="54">
        <f>Control_Vacaciones6[[#This Row],[Salario con plus vacacional]]*Control_Vacaciones6[[#This Row],[Vacaciones solicitadas ]]</f>
        <v>280</v>
      </c>
      <c r="U26" s="54">
        <f>Control_Vacaciones6[[#This Row],[Subtotal vac]]*0.17</f>
        <v>47.6</v>
      </c>
      <c r="V26" s="54">
        <f>Control_Vacaciones6[[#This Row],[Subtotal vac]]-Control_Vacaciones6[[#This Row],[Retenciones 17%]]</f>
        <v>232.4</v>
      </c>
    </row>
    <row r="27" spans="2:22" ht="17.25" x14ac:dyDescent="0.3">
      <c r="B27" s="55" t="s">
        <v>22</v>
      </c>
      <c r="C27" s="56">
        <v>13113392</v>
      </c>
      <c r="D27" s="64" t="s">
        <v>130</v>
      </c>
      <c r="E27" s="57">
        <v>43639</v>
      </c>
      <c r="F27" s="73" t="s">
        <v>26</v>
      </c>
      <c r="G27" s="55" t="s">
        <v>6</v>
      </c>
      <c r="H27" s="58">
        <v>2900</v>
      </c>
      <c r="I27" s="18">
        <f ca="1">INT(YEARFRAC(Control_Vacaciones6[[#This Row],[Fecha de Ingreso]],TODAY()))</f>
        <v>5</v>
      </c>
      <c r="J27" s="50">
        <f>_xlfn.XLOOKUP(Control_Vacaciones6[[#This Row],[ID]],Tabla7[ID],Tabla7[Días acum año anterior 2023],"",0)</f>
        <v>0</v>
      </c>
      <c r="K27" s="18">
        <f ca="1">IF(Control_Vacaciones6[[#This Row],[Antigüedad]]&lt;=$E$7,$H$7,
IF(Control_Vacaciones6[[#This Row],[Antigüedad]]&lt;=$E$8,$H$8,
IF(Control_Vacaciones6[[#This Row],[Antigüedad]]&lt;=$E$9,$H$9,$H$10)))</f>
        <v>10</v>
      </c>
      <c r="L27" s="63">
        <f ca="1">Control_Vacaciones6[[#This Row],[Días acum año anterior]]+Control_Vacaciones6[[#This Row],[Días de Vac s/Ley año actual]]</f>
        <v>10</v>
      </c>
      <c r="M27" s="50">
        <f>VLOOKUP(Control_Vacaciones6[[#This Row],[ID]],Tabla13[[ID]:[Vacaciones solicitadas]],3,FALSE)</f>
        <v>10</v>
      </c>
      <c r="N27" s="51">
        <f ca="1">Control_Vacaciones6[[#This Row],[Total días Acum por Disfrute]]-Control_Vacaciones6[[#This Row],[Días Tomados]]</f>
        <v>0</v>
      </c>
      <c r="O27" s="8">
        <f>INDEX(Tabla13[Vacaciones solicitadas],MATCH(Control_Vacaciones6[[#This Row],[ID]],Tabla13[ID],0))</f>
        <v>10</v>
      </c>
      <c r="P27" s="59">
        <v>45670</v>
      </c>
      <c r="Q27" s="52">
        <f>IF(Control_Vacaciones6[[#This Row],[Fecha de Salida]]="","",WORKDAY.INTL(Control_Vacaciones6[[#This Row],[Fecha de Salida]],Control_Vacaciones6[[#This Row],[Vacaciones solicitadas ]],1,Tabla9[Feriados]))</f>
        <v>45684</v>
      </c>
      <c r="R27" s="53">
        <f ca="1">Control_Vacaciones6[[#This Row],[Días restantes por disfrutar]]-Control_Vacaciones6[[#This Row],[Vacaciones solicitadas ]]</f>
        <v>-10</v>
      </c>
      <c r="S27" s="54">
        <f>Control_Vacaciones6[[#This Row],[Sueldo]]/25</f>
        <v>116</v>
      </c>
      <c r="T27" s="54">
        <f>Control_Vacaciones6[[#This Row],[Salario con plus vacacional]]*Control_Vacaciones6[[#This Row],[Vacaciones solicitadas ]]</f>
        <v>1160</v>
      </c>
      <c r="U27" s="54">
        <f>Control_Vacaciones6[[#This Row],[Subtotal vac]]*0.17</f>
        <v>197.20000000000002</v>
      </c>
      <c r="V27" s="54">
        <f>Control_Vacaciones6[[#This Row],[Subtotal vac]]-Control_Vacaciones6[[#This Row],[Retenciones 17%]]</f>
        <v>962.8</v>
      </c>
    </row>
    <row r="28" spans="2:22" ht="17.25" x14ac:dyDescent="0.3">
      <c r="B28" s="55" t="s">
        <v>23</v>
      </c>
      <c r="C28" s="56">
        <v>13455422</v>
      </c>
      <c r="D28" s="64" t="s">
        <v>130</v>
      </c>
      <c r="E28" s="57">
        <v>43639</v>
      </c>
      <c r="F28" s="73" t="s">
        <v>26</v>
      </c>
      <c r="G28" s="55" t="s">
        <v>6</v>
      </c>
      <c r="H28" s="58">
        <v>2400</v>
      </c>
      <c r="I28" s="18">
        <f ca="1">INT(YEARFRAC(Control_Vacaciones6[[#This Row],[Fecha de Ingreso]],TODAY()))</f>
        <v>5</v>
      </c>
      <c r="J28" s="50">
        <f>_xlfn.XLOOKUP(Control_Vacaciones6[[#This Row],[ID]],Tabla7[ID],Tabla7[Días acum año anterior 2023],"",0)</f>
        <v>0</v>
      </c>
      <c r="K28" s="18">
        <f ca="1">IF(Control_Vacaciones6[[#This Row],[Antigüedad]]&lt;=$E$7,$H$7,
IF(Control_Vacaciones6[[#This Row],[Antigüedad]]&lt;=$E$8,$H$8,
IF(Control_Vacaciones6[[#This Row],[Antigüedad]]&lt;=$E$9,$H$9,$H$10)))</f>
        <v>10</v>
      </c>
      <c r="L28" s="63">
        <f ca="1">Control_Vacaciones6[[#This Row],[Días acum año anterior]]+Control_Vacaciones6[[#This Row],[Días de Vac s/Ley año actual]]</f>
        <v>10</v>
      </c>
      <c r="M28" s="50">
        <f>VLOOKUP(Control_Vacaciones6[[#This Row],[ID]],Tabla13[[ID]:[Vacaciones solicitadas]],3,FALSE)</f>
        <v>5</v>
      </c>
      <c r="N28" s="51">
        <f ca="1">Control_Vacaciones6[[#This Row],[Total días Acum por Disfrute]]-Control_Vacaciones6[[#This Row],[Días Tomados]]</f>
        <v>5</v>
      </c>
      <c r="O28" s="8">
        <f>INDEX(Tabla13[Vacaciones solicitadas],MATCH(Control_Vacaciones6[[#This Row],[ID]],Tabla13[ID],0))</f>
        <v>5</v>
      </c>
      <c r="P28" s="59">
        <v>45663</v>
      </c>
      <c r="Q28" s="52">
        <f>IF(Control_Vacaciones6[[#This Row],[Fecha de Salida]]="","",WORKDAY.INTL(Control_Vacaciones6[[#This Row],[Fecha de Salida]],Control_Vacaciones6[[#This Row],[Vacaciones solicitadas ]],1,Tabla9[Feriados]))</f>
        <v>45670</v>
      </c>
      <c r="R28" s="53">
        <f ca="1">Control_Vacaciones6[[#This Row],[Días restantes por disfrutar]]-Control_Vacaciones6[[#This Row],[Vacaciones solicitadas ]]</f>
        <v>0</v>
      </c>
      <c r="S28" s="54">
        <f>Control_Vacaciones6[[#This Row],[Sueldo]]/25</f>
        <v>96</v>
      </c>
      <c r="T28" s="54">
        <f>Control_Vacaciones6[[#This Row],[Salario con plus vacacional]]*Control_Vacaciones6[[#This Row],[Vacaciones solicitadas ]]</f>
        <v>480</v>
      </c>
      <c r="U28" s="54">
        <f>Control_Vacaciones6[[#This Row],[Subtotal vac]]*0.17</f>
        <v>81.600000000000009</v>
      </c>
      <c r="V28" s="54">
        <f>Control_Vacaciones6[[#This Row],[Subtotal vac]]-Control_Vacaciones6[[#This Row],[Retenciones 17%]]</f>
        <v>398.4</v>
      </c>
    </row>
    <row r="29" spans="2:22" ht="17.25" x14ac:dyDescent="0.3">
      <c r="B29" s="55" t="s">
        <v>24</v>
      </c>
      <c r="C29" s="56">
        <v>13455665</v>
      </c>
      <c r="D29" s="64" t="s">
        <v>130</v>
      </c>
      <c r="E29" s="57">
        <v>43762</v>
      </c>
      <c r="F29" s="73" t="s">
        <v>86</v>
      </c>
      <c r="G29" s="55" t="s">
        <v>94</v>
      </c>
      <c r="H29" s="58">
        <v>1200</v>
      </c>
      <c r="I29" s="18">
        <f ca="1">INT(YEARFRAC(Control_Vacaciones6[[#This Row],[Fecha de Ingreso]],TODAY()))</f>
        <v>5</v>
      </c>
      <c r="J29" s="50">
        <f>_xlfn.XLOOKUP(Control_Vacaciones6[[#This Row],[ID]],Tabla7[ID],Tabla7[Días acum año anterior 2023],"",0)</f>
        <v>0</v>
      </c>
      <c r="K29" s="18">
        <f ca="1">IF(Control_Vacaciones6[[#This Row],[Antigüedad]]&lt;=$E$7,$H$7,
IF(Control_Vacaciones6[[#This Row],[Antigüedad]]&lt;=$E$8,$H$8,
IF(Control_Vacaciones6[[#This Row],[Antigüedad]]&lt;=$E$9,$H$9,$H$10)))</f>
        <v>10</v>
      </c>
      <c r="L29" s="63">
        <f ca="1">Control_Vacaciones6[[#This Row],[Días acum año anterior]]+Control_Vacaciones6[[#This Row],[Días de Vac s/Ley año actual]]</f>
        <v>10</v>
      </c>
      <c r="M29" s="50">
        <f>VLOOKUP(Control_Vacaciones6[[#This Row],[ID]],Tabla13[[ID]:[Vacaciones solicitadas]],3,FALSE)</f>
        <v>0</v>
      </c>
      <c r="N29" s="51">
        <f ca="1">Control_Vacaciones6[[#This Row],[Total días Acum por Disfrute]]-Control_Vacaciones6[[#This Row],[Días Tomados]]</f>
        <v>10</v>
      </c>
      <c r="O29" s="8">
        <f>INDEX(Tabla13[Vacaciones solicitadas],MATCH(Control_Vacaciones6[[#This Row],[ID]],Tabla13[ID],0))</f>
        <v>0</v>
      </c>
      <c r="P29" s="59"/>
      <c r="Q29" s="52" t="str">
        <f>IF(Control_Vacaciones6[[#This Row],[Fecha de Salida]]="","",WORKDAY.INTL(Control_Vacaciones6[[#This Row],[Fecha de Salida]],Control_Vacaciones6[[#This Row],[Vacaciones solicitadas ]],1,Tabla9[Feriados]))</f>
        <v/>
      </c>
      <c r="R29" s="53">
        <f ca="1">Control_Vacaciones6[[#This Row],[Días restantes por disfrutar]]-Control_Vacaciones6[[#This Row],[Vacaciones solicitadas ]]</f>
        <v>10</v>
      </c>
      <c r="S29" s="54">
        <f>Control_Vacaciones6[[#This Row],[Sueldo]]/25</f>
        <v>48</v>
      </c>
      <c r="T29" s="54">
        <f>Control_Vacaciones6[[#This Row],[Salario con plus vacacional]]*Control_Vacaciones6[[#This Row],[Vacaciones solicitadas ]]</f>
        <v>0</v>
      </c>
      <c r="U29" s="54">
        <f>Control_Vacaciones6[[#This Row],[Subtotal vac]]*0.17</f>
        <v>0</v>
      </c>
      <c r="V29" s="54">
        <f>Control_Vacaciones6[[#This Row],[Subtotal vac]]-Control_Vacaciones6[[#This Row],[Retenciones 17%]]</f>
        <v>0</v>
      </c>
    </row>
    <row r="30" spans="2:22" ht="17.25" x14ac:dyDescent="0.3">
      <c r="B30" s="55" t="s">
        <v>25</v>
      </c>
      <c r="C30" s="56">
        <v>13055388</v>
      </c>
      <c r="D30" s="64" t="s">
        <v>130</v>
      </c>
      <c r="E30" s="57">
        <v>44574</v>
      </c>
      <c r="F30" s="73" t="s">
        <v>27</v>
      </c>
      <c r="G30" s="55" t="s">
        <v>94</v>
      </c>
      <c r="H30" s="58">
        <v>1700</v>
      </c>
      <c r="I30" s="18">
        <f ca="1">INT(YEARFRAC(Control_Vacaciones6[[#This Row],[Fecha de Ingreso]],TODAY()))</f>
        <v>2</v>
      </c>
      <c r="J30" s="50">
        <f>_xlfn.XLOOKUP(Control_Vacaciones6[[#This Row],[ID]],Tabla7[ID],Tabla7[Días acum año anterior 2023],"",0)</f>
        <v>0</v>
      </c>
      <c r="K30" s="18">
        <f ca="1">IF(Control_Vacaciones6[[#This Row],[Antigüedad]]&lt;=$E$7,$H$7,
IF(Control_Vacaciones6[[#This Row],[Antigüedad]]&lt;=$E$8,$H$8,
IF(Control_Vacaciones6[[#This Row],[Antigüedad]]&lt;=$E$9,$H$9,$H$10)))</f>
        <v>10</v>
      </c>
      <c r="L30" s="63">
        <f ca="1">Control_Vacaciones6[[#This Row],[Días acum año anterior]]+Control_Vacaciones6[[#This Row],[Días de Vac s/Ley año actual]]</f>
        <v>10</v>
      </c>
      <c r="M30" s="50">
        <f>VLOOKUP(Control_Vacaciones6[[#This Row],[ID]],Tabla13[[ID]:[Vacaciones solicitadas]],3,FALSE)</f>
        <v>0</v>
      </c>
      <c r="N30" s="51">
        <f ca="1">Control_Vacaciones6[[#This Row],[Total días Acum por Disfrute]]-Control_Vacaciones6[[#This Row],[Días Tomados]]</f>
        <v>10</v>
      </c>
      <c r="O30" s="8">
        <f>INDEX(Tabla13[Vacaciones solicitadas],MATCH(Control_Vacaciones6[[#This Row],[ID]],Tabla13[ID],0))</f>
        <v>0</v>
      </c>
      <c r="P30" s="59"/>
      <c r="Q30" s="52" t="str">
        <f>IF(Control_Vacaciones6[[#This Row],[Fecha de Salida]]="","",WORKDAY.INTL(Control_Vacaciones6[[#This Row],[Fecha de Salida]],Control_Vacaciones6[[#This Row],[Vacaciones solicitadas ]],1,Tabla9[Feriados]))</f>
        <v/>
      </c>
      <c r="R30" s="53">
        <f ca="1">Control_Vacaciones6[[#This Row],[Días restantes por disfrutar]]-Control_Vacaciones6[[#This Row],[Vacaciones solicitadas ]]</f>
        <v>10</v>
      </c>
      <c r="S30" s="54">
        <f>Control_Vacaciones6[[#This Row],[Sueldo]]/25</f>
        <v>68</v>
      </c>
      <c r="T30" s="54">
        <f>Control_Vacaciones6[[#This Row],[Salario con plus vacacional]]*Control_Vacaciones6[[#This Row],[Vacaciones solicitadas ]]</f>
        <v>0</v>
      </c>
      <c r="U30" s="54">
        <f>Control_Vacaciones6[[#This Row],[Subtotal vac]]*0.17</f>
        <v>0</v>
      </c>
      <c r="V30" s="54">
        <f>Control_Vacaciones6[[#This Row],[Subtotal vac]]-Control_Vacaciones6[[#This Row],[Retenciones 17%]]</f>
        <v>0</v>
      </c>
    </row>
    <row r="31" spans="2:22" ht="17.25" x14ac:dyDescent="0.3">
      <c r="B31" s="7" t="s">
        <v>67</v>
      </c>
      <c r="C31" s="7"/>
      <c r="D31" s="7"/>
      <c r="E31" s="7"/>
      <c r="F31" s="7"/>
      <c r="G31" s="7"/>
      <c r="H31" s="17">
        <f>SUBTOTAL(109,Control_Vacaciones6[Sueldo])</f>
        <v>36700</v>
      </c>
      <c r="I31" s="18"/>
      <c r="J31" s="18"/>
      <c r="K31" s="18"/>
      <c r="L31" s="18"/>
      <c r="M31" s="18"/>
      <c r="N31" s="18"/>
      <c r="P31" s="7"/>
      <c r="Q31" s="7"/>
      <c r="S31" s="27"/>
      <c r="T31" s="27"/>
      <c r="U31" s="27"/>
      <c r="V31" s="27"/>
    </row>
    <row r="34" spans="2:3" x14ac:dyDescent="0.3">
      <c r="B34" s="22" t="s">
        <v>69</v>
      </c>
    </row>
    <row r="35" spans="2:3" ht="24" x14ac:dyDescent="0.3">
      <c r="B35" s="21" t="s">
        <v>2</v>
      </c>
      <c r="C35" s="21" t="s">
        <v>55</v>
      </c>
    </row>
    <row r="36" spans="2:3" x14ac:dyDescent="0.3">
      <c r="B36" s="1" t="s">
        <v>5</v>
      </c>
      <c r="C36" s="4">
        <f>COUNTIFS(Control_Vacaciones6[Departamento],B36,Control_Vacaciones6[[Vacaciones solicitadas ]],"&lt;&gt;0")</f>
        <v>2</v>
      </c>
    </row>
  </sheetData>
  <sheetProtection algorithmName="SHA-512" hashValue="g0WjL2znnX92QPYbLjravsm4kBCSNwi60SzzHVb8cjUDDnsGnzjOmo0V84UOKTS23JVRJus4uraEzLhqXMlCvg==" saltValue="+hlSwLUhKokMeyg3JpqAPA==" spinCount="100000" sheet="1" objects="1" scenarios="1"/>
  <phoneticPr fontId="3" type="noConversion"/>
  <dataValidations count="1">
    <dataValidation type="list" allowBlank="1" showInputMessage="1" showErrorMessage="1" sqref="B36" xr:uid="{F03758C5-4223-402C-A061-F9B0F4E3682E}">
      <formula1>#REF!</formula1>
    </dataValidation>
  </dataValidations>
  <pageMargins left="0.7" right="0.7" top="0.75" bottom="0.75" header="0.3" footer="0.3"/>
  <drawing r:id="rId1"/>
  <tableParts count="2">
    <tablePart r:id="rId2"/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0682-F3DA-4A2B-AFAC-185EADEDA2D7}">
  <sheetPr>
    <tabColor theme="1" tint="-9.9978637043366805E-2"/>
  </sheetPr>
  <dimension ref="A1:V36"/>
  <sheetViews>
    <sheetView showGridLines="0" topLeftCell="B6" workbookViewId="0">
      <selection activeCell="I13" sqref="I13"/>
    </sheetView>
  </sheetViews>
  <sheetFormatPr baseColWidth="10" defaultRowHeight="16.5" x14ac:dyDescent="0.3"/>
  <cols>
    <col min="1" max="1" width="15.5" style="1" customWidth="1"/>
    <col min="2" max="2" width="11.625" style="1" customWidth="1"/>
    <col min="3" max="3" width="11.875" style="1" customWidth="1"/>
    <col min="4" max="4" width="22.125" style="1" customWidth="1"/>
    <col min="5" max="5" width="12.25" style="1" customWidth="1"/>
    <col min="6" max="6" width="11" style="1" customWidth="1"/>
    <col min="7" max="7" width="13.125" style="1" customWidth="1"/>
    <col min="8" max="8" width="10.625" style="1" customWidth="1"/>
    <col min="9" max="10" width="11" style="1" customWidth="1"/>
    <col min="11" max="12" width="12.25" style="1" customWidth="1"/>
    <col min="13" max="13" width="11" style="1" customWidth="1"/>
    <col min="14" max="14" width="9.625" style="1" customWidth="1"/>
    <col min="15" max="15" width="11" style="1" customWidth="1"/>
    <col min="16" max="16" width="15" style="1" customWidth="1"/>
    <col min="17" max="17" width="16.625" style="1" customWidth="1"/>
    <col min="18" max="18" width="11" style="1" customWidth="1"/>
    <col min="19" max="23" width="11" style="1"/>
    <col min="24" max="24" width="10.625" style="1" customWidth="1"/>
    <col min="25" max="16384" width="11" style="1"/>
  </cols>
  <sheetData>
    <row r="1" spans="1:22" x14ac:dyDescent="0.3">
      <c r="D1" s="38" t="s">
        <v>58</v>
      </c>
      <c r="G1" s="61"/>
    </row>
    <row r="2" spans="1:22" x14ac:dyDescent="0.3">
      <c r="D2" s="38" t="s">
        <v>57</v>
      </c>
      <c r="E2" s="30">
        <v>2024</v>
      </c>
      <c r="G2" s="61"/>
      <c r="Q2" s="62"/>
      <c r="R2" s="62"/>
      <c r="S2" s="62"/>
      <c r="T2" s="62"/>
      <c r="U2" s="62"/>
    </row>
    <row r="3" spans="1:22" x14ac:dyDescent="0.3">
      <c r="D3" s="38" t="s">
        <v>142</v>
      </c>
      <c r="E3" s="19"/>
      <c r="G3" s="61"/>
    </row>
    <row r="4" spans="1:22" x14ac:dyDescent="0.3">
      <c r="D4" s="38"/>
      <c r="E4" s="19"/>
      <c r="G4" s="61"/>
    </row>
    <row r="5" spans="1:22" x14ac:dyDescent="0.3">
      <c r="B5" s="5"/>
      <c r="D5" s="38" t="s">
        <v>39</v>
      </c>
      <c r="E5" s="61"/>
      <c r="I5" s="61"/>
    </row>
    <row r="6" spans="1:22" ht="25.5" x14ac:dyDescent="0.3">
      <c r="A6" s="5" t="s">
        <v>56</v>
      </c>
      <c r="D6" s="13" t="s">
        <v>32</v>
      </c>
      <c r="E6" s="13" t="s">
        <v>40</v>
      </c>
      <c r="F6" s="46" t="s">
        <v>50</v>
      </c>
      <c r="G6" s="46" t="s">
        <v>47</v>
      </c>
      <c r="H6" s="46" t="s">
        <v>51</v>
      </c>
      <c r="J6" s="61"/>
    </row>
    <row r="7" spans="1:22" x14ac:dyDescent="0.3">
      <c r="B7" s="15"/>
      <c r="D7" s="72" t="s">
        <v>37</v>
      </c>
      <c r="E7" s="47">
        <v>5</v>
      </c>
      <c r="F7" s="5">
        <v>14</v>
      </c>
      <c r="G7" s="1">
        <v>4</v>
      </c>
      <c r="H7" s="32">
        <f>+Dias_Vacaciones1115[[#This Row],[Días de Vac s/Ley]]-Dias_Vacaciones1115[[#This Row],[Fines de Sem]]</f>
        <v>10</v>
      </c>
    </row>
    <row r="8" spans="1:22" s="4" customFormat="1" x14ac:dyDescent="0.3">
      <c r="D8" s="72" t="s">
        <v>38</v>
      </c>
      <c r="E8" s="47">
        <v>10</v>
      </c>
      <c r="F8" s="5">
        <v>21</v>
      </c>
      <c r="G8" s="1">
        <v>6</v>
      </c>
      <c r="H8" s="32">
        <f>+Dias_Vacaciones1115[[#This Row],[Días de Vac s/Ley]]-Dias_Vacaciones1115[[#This Row],[Fines de Sem]]</f>
        <v>15</v>
      </c>
      <c r="M8" s="14"/>
    </row>
    <row r="9" spans="1:22" s="4" customFormat="1" x14ac:dyDescent="0.3">
      <c r="D9" s="72" t="s">
        <v>33</v>
      </c>
      <c r="E9" s="47">
        <v>20</v>
      </c>
      <c r="F9" s="5">
        <v>28</v>
      </c>
      <c r="G9" s="1">
        <v>8</v>
      </c>
      <c r="H9" s="32">
        <f>+Dias_Vacaciones1115[[#This Row],[Días de Vac s/Ley]]-Dias_Vacaciones1115[[#This Row],[Fines de Sem]]</f>
        <v>20</v>
      </c>
      <c r="M9" s="14"/>
    </row>
    <row r="10" spans="1:22" s="4" customFormat="1" x14ac:dyDescent="0.3">
      <c r="B10" s="5"/>
      <c r="C10" s="19"/>
      <c r="D10" s="72" t="s">
        <v>34</v>
      </c>
      <c r="E10" s="47">
        <v>21</v>
      </c>
      <c r="F10" s="5">
        <v>35</v>
      </c>
      <c r="G10" s="1">
        <v>10</v>
      </c>
      <c r="H10" s="32">
        <f>+Dias_Vacaciones1115[[#This Row],[Días de Vac s/Ley]]-Dias_Vacaciones1115[[#This Row],[Fines de Sem]]</f>
        <v>25</v>
      </c>
      <c r="J10" s="31">
        <v>2023</v>
      </c>
      <c r="K10" s="31">
        <f>+E2</f>
        <v>2024</v>
      </c>
      <c r="M10" s="14"/>
    </row>
    <row r="11" spans="1:22" s="2" customFormat="1" ht="22.5" x14ac:dyDescent="0.2">
      <c r="B11" s="2" t="s">
        <v>0</v>
      </c>
      <c r="C11" s="2" t="s">
        <v>28</v>
      </c>
      <c r="D11" s="2" t="s">
        <v>127</v>
      </c>
      <c r="E11" s="2" t="s">
        <v>1</v>
      </c>
      <c r="F11" s="2" t="s">
        <v>31</v>
      </c>
      <c r="G11" s="2" t="s">
        <v>2</v>
      </c>
      <c r="H11" s="2" t="s">
        <v>63</v>
      </c>
      <c r="I11" s="2" t="s">
        <v>32</v>
      </c>
      <c r="J11" s="34" t="s">
        <v>53</v>
      </c>
      <c r="K11" s="2" t="s">
        <v>59</v>
      </c>
      <c r="L11" s="2" t="s">
        <v>54</v>
      </c>
      <c r="M11" s="2" t="s">
        <v>52</v>
      </c>
      <c r="N11" s="2" t="s">
        <v>61</v>
      </c>
      <c r="O11" s="2" t="s">
        <v>55</v>
      </c>
      <c r="P11" s="2" t="s">
        <v>42</v>
      </c>
      <c r="Q11" s="2" t="s">
        <v>43</v>
      </c>
      <c r="R11" s="2" t="s">
        <v>48</v>
      </c>
      <c r="S11" s="2" t="s">
        <v>70</v>
      </c>
      <c r="T11" s="2" t="s">
        <v>64</v>
      </c>
      <c r="U11" s="2" t="s">
        <v>65</v>
      </c>
      <c r="V11" s="2" t="s">
        <v>66</v>
      </c>
    </row>
    <row r="12" spans="1:22" ht="17.25" x14ac:dyDescent="0.3">
      <c r="B12" s="55" t="s">
        <v>7</v>
      </c>
      <c r="C12" s="56">
        <v>12190455</v>
      </c>
      <c r="D12" s="64" t="s">
        <v>130</v>
      </c>
      <c r="E12" s="57">
        <v>44533</v>
      </c>
      <c r="F12" s="73" t="s">
        <v>86</v>
      </c>
      <c r="G12" s="55" t="s">
        <v>3</v>
      </c>
      <c r="H12" s="58">
        <v>2900</v>
      </c>
      <c r="I12" s="18"/>
      <c r="J12" s="50"/>
      <c r="K12" s="18"/>
      <c r="L12" s="63"/>
      <c r="M12" s="50"/>
      <c r="N12" s="51"/>
      <c r="O12" s="8"/>
      <c r="P12" s="59">
        <v>45663</v>
      </c>
      <c r="Q12" s="52"/>
      <c r="R12" s="53"/>
      <c r="S12" s="54"/>
      <c r="T12" s="54"/>
      <c r="U12" s="54"/>
      <c r="V12" s="54"/>
    </row>
    <row r="13" spans="1:22" ht="17.25" x14ac:dyDescent="0.3">
      <c r="B13" s="55" t="s">
        <v>8</v>
      </c>
      <c r="C13" s="56">
        <v>11559566</v>
      </c>
      <c r="D13" s="64" t="s">
        <v>130</v>
      </c>
      <c r="E13" s="57">
        <v>43598</v>
      </c>
      <c r="F13" s="73" t="s">
        <v>86</v>
      </c>
      <c r="G13" s="55" t="s">
        <v>5</v>
      </c>
      <c r="H13" s="58">
        <v>1400</v>
      </c>
      <c r="I13" s="18"/>
      <c r="J13" s="50"/>
      <c r="K13" s="18"/>
      <c r="L13" s="63"/>
      <c r="M13" s="50"/>
      <c r="N13" s="51"/>
      <c r="O13" s="8"/>
      <c r="P13" s="59">
        <v>45670</v>
      </c>
      <c r="Q13" s="52"/>
      <c r="R13" s="53"/>
      <c r="S13" s="54"/>
      <c r="T13" s="54"/>
      <c r="U13" s="54"/>
      <c r="V13" s="54"/>
    </row>
    <row r="14" spans="1:22" ht="17.25" x14ac:dyDescent="0.3">
      <c r="B14" s="55" t="s">
        <v>9</v>
      </c>
      <c r="C14" s="56">
        <v>10868508</v>
      </c>
      <c r="D14" s="64" t="s">
        <v>129</v>
      </c>
      <c r="E14" s="57">
        <v>45223</v>
      </c>
      <c r="F14" s="73" t="s">
        <v>87</v>
      </c>
      <c r="G14" s="55" t="s">
        <v>5</v>
      </c>
      <c r="H14" s="58">
        <v>2600</v>
      </c>
      <c r="I14" s="18"/>
      <c r="J14" s="50"/>
      <c r="K14" s="18"/>
      <c r="L14" s="63"/>
      <c r="M14" s="50"/>
      <c r="N14" s="51"/>
      <c r="O14" s="8"/>
      <c r="P14" s="59"/>
      <c r="Q14" s="52"/>
      <c r="R14" s="53"/>
      <c r="S14" s="54"/>
      <c r="T14" s="54"/>
      <c r="U14" s="54"/>
      <c r="V14" s="54"/>
    </row>
    <row r="15" spans="1:22" ht="17.25" x14ac:dyDescent="0.3">
      <c r="B15" s="55" t="s">
        <v>10</v>
      </c>
      <c r="C15" s="56">
        <v>12510006</v>
      </c>
      <c r="D15" s="64" t="s">
        <v>129</v>
      </c>
      <c r="E15" s="57">
        <v>44128</v>
      </c>
      <c r="F15" s="73" t="s">
        <v>87</v>
      </c>
      <c r="G15" s="55" t="s">
        <v>68</v>
      </c>
      <c r="H15" s="58">
        <v>1400</v>
      </c>
      <c r="I15" s="18"/>
      <c r="J15" s="50"/>
      <c r="K15" s="18"/>
      <c r="L15" s="63"/>
      <c r="M15" s="50"/>
      <c r="N15" s="51"/>
      <c r="O15" s="8"/>
      <c r="P15" s="59"/>
      <c r="Q15" s="52"/>
      <c r="R15" s="53"/>
      <c r="S15" s="54"/>
      <c r="T15" s="54"/>
      <c r="U15" s="54"/>
      <c r="V15" s="54"/>
    </row>
    <row r="16" spans="1:22" ht="17.25" x14ac:dyDescent="0.3">
      <c r="B16" s="55" t="s">
        <v>11</v>
      </c>
      <c r="C16" s="56">
        <v>11028824</v>
      </c>
      <c r="D16" s="64" t="s">
        <v>129</v>
      </c>
      <c r="E16" s="57">
        <v>36823</v>
      </c>
      <c r="F16" s="73" t="s">
        <v>87</v>
      </c>
      <c r="G16" s="55" t="s">
        <v>93</v>
      </c>
      <c r="H16" s="58">
        <v>1400</v>
      </c>
      <c r="I16" s="18"/>
      <c r="J16" s="50"/>
      <c r="K16" s="18"/>
      <c r="L16" s="63"/>
      <c r="M16" s="50"/>
      <c r="N16" s="51"/>
      <c r="O16" s="8"/>
      <c r="P16" s="59">
        <v>45663</v>
      </c>
      <c r="Q16" s="52"/>
      <c r="R16" s="53"/>
      <c r="S16" s="54"/>
      <c r="T16" s="54"/>
      <c r="U16" s="54"/>
      <c r="V16" s="54"/>
    </row>
    <row r="17" spans="2:22" ht="17.25" x14ac:dyDescent="0.3">
      <c r="B17" s="55" t="s">
        <v>12</v>
      </c>
      <c r="C17" s="56">
        <v>11415613</v>
      </c>
      <c r="D17" s="64" t="s">
        <v>129</v>
      </c>
      <c r="E17" s="57">
        <v>43726</v>
      </c>
      <c r="F17" s="73" t="s">
        <v>87</v>
      </c>
      <c r="G17" s="55" t="s">
        <v>93</v>
      </c>
      <c r="H17" s="58">
        <v>1000</v>
      </c>
      <c r="I17" s="18"/>
      <c r="J17" s="50"/>
      <c r="K17" s="18"/>
      <c r="L17" s="63"/>
      <c r="M17" s="50"/>
      <c r="N17" s="51"/>
      <c r="O17" s="8"/>
      <c r="P17" s="59">
        <v>45677</v>
      </c>
      <c r="Q17" s="52"/>
      <c r="R17" s="53"/>
      <c r="S17" s="54"/>
      <c r="T17" s="54"/>
      <c r="U17" s="54"/>
      <c r="V17" s="54"/>
    </row>
    <row r="18" spans="2:22" ht="17.25" x14ac:dyDescent="0.3">
      <c r="B18" s="55" t="s">
        <v>13</v>
      </c>
      <c r="C18" s="56">
        <v>13080635</v>
      </c>
      <c r="D18" s="64" t="s">
        <v>129</v>
      </c>
      <c r="E18" s="57">
        <v>43726</v>
      </c>
      <c r="F18" s="73" t="s">
        <v>87</v>
      </c>
      <c r="G18" s="55" t="s">
        <v>93</v>
      </c>
      <c r="H18" s="58">
        <v>2900</v>
      </c>
      <c r="I18" s="18"/>
      <c r="J18" s="50"/>
      <c r="K18" s="18"/>
      <c r="L18" s="63"/>
      <c r="M18" s="50"/>
      <c r="N18" s="51"/>
      <c r="O18" s="8"/>
      <c r="P18" s="59"/>
      <c r="Q18" s="52"/>
      <c r="R18" s="53"/>
      <c r="S18" s="54"/>
      <c r="T18" s="54"/>
      <c r="U18" s="54"/>
      <c r="V18" s="54"/>
    </row>
    <row r="19" spans="2:22" ht="17.25" x14ac:dyDescent="0.3">
      <c r="B19" s="55" t="s">
        <v>14</v>
      </c>
      <c r="C19" s="56">
        <v>11141428</v>
      </c>
      <c r="D19" s="64" t="s">
        <v>129</v>
      </c>
      <c r="E19" s="57">
        <v>44691</v>
      </c>
      <c r="F19" s="73" t="s">
        <v>87</v>
      </c>
      <c r="G19" s="55" t="s">
        <v>3</v>
      </c>
      <c r="H19" s="58">
        <v>2400</v>
      </c>
      <c r="I19" s="18"/>
      <c r="J19" s="50"/>
      <c r="K19" s="18"/>
      <c r="L19" s="63"/>
      <c r="M19" s="50"/>
      <c r="N19" s="51"/>
      <c r="O19" s="8"/>
      <c r="P19" s="59"/>
      <c r="Q19" s="52"/>
      <c r="R19" s="53"/>
      <c r="S19" s="54"/>
      <c r="T19" s="54"/>
      <c r="U19" s="54"/>
      <c r="V19" s="54"/>
    </row>
    <row r="20" spans="2:22" ht="17.25" x14ac:dyDescent="0.3">
      <c r="B20" s="55" t="s">
        <v>15</v>
      </c>
      <c r="C20" s="56">
        <v>11633855</v>
      </c>
      <c r="D20" s="64" t="s">
        <v>130</v>
      </c>
      <c r="E20" s="57">
        <v>43595</v>
      </c>
      <c r="F20" s="73" t="s">
        <v>87</v>
      </c>
      <c r="G20" s="55" t="s">
        <v>3</v>
      </c>
      <c r="H20" s="58">
        <v>1200</v>
      </c>
      <c r="I20" s="18"/>
      <c r="J20" s="50"/>
      <c r="K20" s="18"/>
      <c r="L20" s="63"/>
      <c r="M20" s="50"/>
      <c r="N20" s="51"/>
      <c r="O20" s="8"/>
      <c r="P20" s="59">
        <v>45670</v>
      </c>
      <c r="Q20" s="52"/>
      <c r="R20" s="53"/>
      <c r="S20" s="54"/>
      <c r="T20" s="54"/>
      <c r="U20" s="54"/>
      <c r="V20" s="54"/>
    </row>
    <row r="21" spans="2:22" ht="17.25" x14ac:dyDescent="0.3">
      <c r="B21" s="55" t="s">
        <v>16</v>
      </c>
      <c r="C21" s="56">
        <v>13166130</v>
      </c>
      <c r="D21" s="64" t="s">
        <v>130</v>
      </c>
      <c r="E21" s="57">
        <v>44812</v>
      </c>
      <c r="F21" s="73" t="s">
        <v>86</v>
      </c>
      <c r="G21" s="55" t="s">
        <v>68</v>
      </c>
      <c r="H21" s="58">
        <v>2600</v>
      </c>
      <c r="I21" s="18"/>
      <c r="J21" s="50"/>
      <c r="K21" s="18"/>
      <c r="L21" s="63"/>
      <c r="M21" s="50"/>
      <c r="N21" s="51"/>
      <c r="O21" s="8"/>
      <c r="P21" s="60">
        <v>45684</v>
      </c>
      <c r="Q21" s="52"/>
      <c r="R21" s="53"/>
      <c r="S21" s="54"/>
      <c r="T21" s="54"/>
      <c r="U21" s="54"/>
      <c r="V21" s="54"/>
    </row>
    <row r="22" spans="2:22" ht="17.25" x14ac:dyDescent="0.3">
      <c r="B22" s="55" t="s">
        <v>17</v>
      </c>
      <c r="C22" s="56">
        <v>11464559</v>
      </c>
      <c r="D22" s="64" t="s">
        <v>130</v>
      </c>
      <c r="E22" s="57">
        <v>36777</v>
      </c>
      <c r="F22" s="73" t="s">
        <v>86</v>
      </c>
      <c r="G22" s="55" t="s">
        <v>68</v>
      </c>
      <c r="H22" s="58">
        <v>1400</v>
      </c>
      <c r="I22" s="18"/>
      <c r="J22" s="50"/>
      <c r="K22" s="18"/>
      <c r="L22" s="63"/>
      <c r="M22" s="50"/>
      <c r="N22" s="51"/>
      <c r="O22" s="8"/>
      <c r="P22" s="60">
        <v>45677</v>
      </c>
      <c r="Q22" s="52"/>
      <c r="R22" s="53"/>
      <c r="S22" s="54"/>
      <c r="T22" s="54"/>
      <c r="U22" s="54"/>
      <c r="V22" s="54"/>
    </row>
    <row r="23" spans="2:22" ht="17.25" x14ac:dyDescent="0.3">
      <c r="B23" s="55" t="s">
        <v>18</v>
      </c>
      <c r="C23" s="56">
        <v>11982661</v>
      </c>
      <c r="D23" s="64" t="s">
        <v>130</v>
      </c>
      <c r="E23" s="57">
        <v>44212</v>
      </c>
      <c r="F23" s="73" t="s">
        <v>86</v>
      </c>
      <c r="G23" s="55" t="s">
        <v>3</v>
      </c>
      <c r="H23" s="58">
        <v>2400</v>
      </c>
      <c r="I23" s="18"/>
      <c r="J23" s="50"/>
      <c r="K23" s="18"/>
      <c r="L23" s="63"/>
      <c r="M23" s="50"/>
      <c r="N23" s="51"/>
      <c r="O23" s="8"/>
      <c r="P23" s="59">
        <v>45677</v>
      </c>
      <c r="Q23" s="52"/>
      <c r="R23" s="53"/>
      <c r="S23" s="54"/>
      <c r="T23" s="54"/>
      <c r="U23" s="54"/>
      <c r="V23" s="54"/>
    </row>
    <row r="24" spans="2:22" ht="17.25" x14ac:dyDescent="0.3">
      <c r="B24" s="55" t="s">
        <v>19</v>
      </c>
      <c r="C24" s="56">
        <v>12556039</v>
      </c>
      <c r="D24" s="64" t="s">
        <v>129</v>
      </c>
      <c r="E24" s="57">
        <v>43846</v>
      </c>
      <c r="F24" s="73" t="s">
        <v>86</v>
      </c>
      <c r="G24" s="55" t="s">
        <v>3</v>
      </c>
      <c r="H24" s="58">
        <v>1800</v>
      </c>
      <c r="I24" s="18"/>
      <c r="J24" s="50"/>
      <c r="K24" s="18"/>
      <c r="L24" s="63"/>
      <c r="M24" s="50"/>
      <c r="N24" s="51"/>
      <c r="O24" s="8"/>
      <c r="P24" s="60">
        <v>45684</v>
      </c>
      <c r="Q24" s="52"/>
      <c r="R24" s="53"/>
      <c r="S24" s="54"/>
      <c r="T24" s="54"/>
      <c r="U24" s="54"/>
      <c r="V24" s="54"/>
    </row>
    <row r="25" spans="2:22" ht="17.25" x14ac:dyDescent="0.3">
      <c r="B25" s="55" t="s">
        <v>20</v>
      </c>
      <c r="C25" s="56">
        <v>12662501</v>
      </c>
      <c r="D25" s="64" t="s">
        <v>129</v>
      </c>
      <c r="E25" s="57">
        <v>44199</v>
      </c>
      <c r="F25" s="73" t="s">
        <v>86</v>
      </c>
      <c r="G25" s="55" t="s">
        <v>5</v>
      </c>
      <c r="H25" s="58">
        <v>1700</v>
      </c>
      <c r="I25" s="18"/>
      <c r="J25" s="50"/>
      <c r="K25" s="18"/>
      <c r="L25" s="63"/>
      <c r="M25" s="50"/>
      <c r="N25" s="51"/>
      <c r="O25" s="8"/>
      <c r="P25" s="59">
        <v>45677</v>
      </c>
      <c r="Q25" s="52"/>
      <c r="R25" s="53"/>
      <c r="S25" s="54"/>
      <c r="T25" s="54"/>
      <c r="U25" s="54"/>
      <c r="V25" s="54"/>
    </row>
    <row r="26" spans="2:22" ht="17.25" x14ac:dyDescent="0.3">
      <c r="B26" s="55" t="s">
        <v>21</v>
      </c>
      <c r="C26" s="56">
        <v>12160435</v>
      </c>
      <c r="D26" s="64" t="s">
        <v>129</v>
      </c>
      <c r="E26" s="57">
        <v>44160</v>
      </c>
      <c r="F26" s="73" t="s">
        <v>26</v>
      </c>
      <c r="G26" s="55" t="s">
        <v>4</v>
      </c>
      <c r="H26" s="58">
        <v>1400</v>
      </c>
      <c r="I26" s="18"/>
      <c r="J26" s="50"/>
      <c r="K26" s="18"/>
      <c r="L26" s="63"/>
      <c r="M26" s="50"/>
      <c r="N26" s="51"/>
      <c r="O26" s="8"/>
      <c r="P26" s="59">
        <v>45663</v>
      </c>
      <c r="Q26" s="52"/>
      <c r="R26" s="53"/>
      <c r="S26" s="54"/>
      <c r="T26" s="54"/>
      <c r="U26" s="54"/>
      <c r="V26" s="54"/>
    </row>
    <row r="27" spans="2:22" ht="17.25" x14ac:dyDescent="0.3">
      <c r="B27" s="55" t="s">
        <v>22</v>
      </c>
      <c r="C27" s="56">
        <v>13113392</v>
      </c>
      <c r="D27" s="64" t="s">
        <v>130</v>
      </c>
      <c r="E27" s="57">
        <v>43639</v>
      </c>
      <c r="F27" s="73" t="s">
        <v>26</v>
      </c>
      <c r="G27" s="55" t="s">
        <v>6</v>
      </c>
      <c r="H27" s="58">
        <v>2900</v>
      </c>
      <c r="I27" s="18"/>
      <c r="J27" s="50"/>
      <c r="K27" s="18"/>
      <c r="L27" s="63"/>
      <c r="M27" s="50"/>
      <c r="N27" s="51"/>
      <c r="O27" s="8"/>
      <c r="P27" s="59">
        <v>45670</v>
      </c>
      <c r="Q27" s="52"/>
      <c r="R27" s="53"/>
      <c r="S27" s="54"/>
      <c r="T27" s="54"/>
      <c r="U27" s="54"/>
      <c r="V27" s="54"/>
    </row>
    <row r="28" spans="2:22" ht="17.25" x14ac:dyDescent="0.3">
      <c r="B28" s="55" t="s">
        <v>23</v>
      </c>
      <c r="C28" s="56">
        <v>13455422</v>
      </c>
      <c r="D28" s="64" t="s">
        <v>130</v>
      </c>
      <c r="E28" s="57">
        <v>43639</v>
      </c>
      <c r="F28" s="73" t="s">
        <v>26</v>
      </c>
      <c r="G28" s="55" t="s">
        <v>6</v>
      </c>
      <c r="H28" s="58">
        <v>2400</v>
      </c>
      <c r="I28" s="18"/>
      <c r="J28" s="50"/>
      <c r="K28" s="18"/>
      <c r="L28" s="63"/>
      <c r="M28" s="50"/>
      <c r="N28" s="51"/>
      <c r="O28" s="8"/>
      <c r="P28" s="59">
        <v>45663</v>
      </c>
      <c r="Q28" s="52"/>
      <c r="R28" s="53"/>
      <c r="S28" s="54"/>
      <c r="T28" s="54"/>
      <c r="U28" s="54"/>
      <c r="V28" s="54"/>
    </row>
    <row r="29" spans="2:22" ht="17.25" x14ac:dyDescent="0.3">
      <c r="B29" s="55" t="s">
        <v>24</v>
      </c>
      <c r="C29" s="56">
        <v>13455665</v>
      </c>
      <c r="D29" s="64" t="s">
        <v>130</v>
      </c>
      <c r="E29" s="57">
        <v>43762</v>
      </c>
      <c r="F29" s="73" t="s">
        <v>86</v>
      </c>
      <c r="G29" s="55" t="s">
        <v>94</v>
      </c>
      <c r="H29" s="58">
        <v>1200</v>
      </c>
      <c r="I29" s="18"/>
      <c r="J29" s="50"/>
      <c r="K29" s="18"/>
      <c r="L29" s="63"/>
      <c r="M29" s="50"/>
      <c r="N29" s="51"/>
      <c r="O29" s="8"/>
      <c r="P29" s="59"/>
      <c r="Q29" s="52"/>
      <c r="R29" s="53"/>
      <c r="S29" s="54"/>
      <c r="T29" s="54"/>
      <c r="U29" s="54"/>
      <c r="V29" s="54"/>
    </row>
    <row r="30" spans="2:22" ht="17.25" x14ac:dyDescent="0.3">
      <c r="B30" s="55" t="s">
        <v>25</v>
      </c>
      <c r="C30" s="56">
        <v>13055388</v>
      </c>
      <c r="D30" s="64" t="s">
        <v>130</v>
      </c>
      <c r="E30" s="57">
        <v>44574</v>
      </c>
      <c r="F30" s="73" t="s">
        <v>27</v>
      </c>
      <c r="G30" s="55" t="s">
        <v>94</v>
      </c>
      <c r="H30" s="58">
        <v>1700</v>
      </c>
      <c r="I30" s="18"/>
      <c r="J30" s="50"/>
      <c r="K30" s="18"/>
      <c r="L30" s="63"/>
      <c r="M30" s="50"/>
      <c r="N30" s="51"/>
      <c r="O30" s="8"/>
      <c r="P30" s="59"/>
      <c r="Q30" s="52"/>
      <c r="R30" s="53"/>
      <c r="S30" s="54"/>
      <c r="T30" s="54"/>
      <c r="U30" s="54"/>
      <c r="V30" s="54"/>
    </row>
    <row r="31" spans="2:22" ht="17.25" x14ac:dyDescent="0.3">
      <c r="B31" s="7" t="s">
        <v>67</v>
      </c>
      <c r="C31" s="7"/>
      <c r="D31" s="7"/>
      <c r="E31" s="7"/>
      <c r="F31" s="7"/>
      <c r="G31" s="7"/>
      <c r="H31" s="17">
        <f>SUBTOTAL(109,Control_Vacaciones612[Sueldo])</f>
        <v>36700</v>
      </c>
      <c r="I31" s="18"/>
      <c r="J31" s="18"/>
      <c r="K31" s="18"/>
      <c r="L31" s="18"/>
      <c r="M31" s="18"/>
      <c r="N31" s="18"/>
      <c r="P31" s="7"/>
      <c r="Q31" s="7"/>
      <c r="S31" s="27"/>
      <c r="T31" s="27"/>
      <c r="U31" s="27"/>
      <c r="V31" s="27"/>
    </row>
    <row r="34" spans="2:3" x14ac:dyDescent="0.3">
      <c r="B34" s="22" t="s">
        <v>69</v>
      </c>
    </row>
    <row r="35" spans="2:3" ht="24" x14ac:dyDescent="0.3">
      <c r="B35" s="21" t="s">
        <v>2</v>
      </c>
      <c r="C35" s="21" t="s">
        <v>55</v>
      </c>
    </row>
    <row r="36" spans="2:3" x14ac:dyDescent="0.3">
      <c r="B36" s="1" t="s">
        <v>3</v>
      </c>
      <c r="C36" s="4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F76A0-6D01-4820-83BB-AD07B3AF4036}">
  <sheetPr>
    <tabColor theme="1" tint="-9.9978637043366805E-2"/>
  </sheetPr>
  <dimension ref="B4:M28"/>
  <sheetViews>
    <sheetView showGridLines="0" topLeftCell="A4" workbookViewId="0">
      <selection activeCell="C8" sqref="C8"/>
    </sheetView>
  </sheetViews>
  <sheetFormatPr baseColWidth="10" defaultRowHeight="16.5" x14ac:dyDescent="0.3"/>
  <cols>
    <col min="1" max="1" width="3.5" customWidth="1"/>
    <col min="2" max="2" width="21.375" style="1" customWidth="1"/>
    <col min="3" max="3" width="12.375" style="1" customWidth="1"/>
    <col min="4" max="4" width="14" style="24" customWidth="1"/>
    <col min="5" max="5" width="15.25" customWidth="1"/>
    <col min="6" max="6" width="14.625" customWidth="1"/>
  </cols>
  <sheetData>
    <row r="4" spans="2:13" x14ac:dyDescent="0.3">
      <c r="C4" s="24"/>
    </row>
    <row r="5" spans="2:13" x14ac:dyDescent="0.3">
      <c r="B5" s="5" t="s">
        <v>71</v>
      </c>
      <c r="C5" s="1" t="s">
        <v>56</v>
      </c>
    </row>
    <row r="6" spans="2:13" x14ac:dyDescent="0.3">
      <c r="B6" s="5" t="s">
        <v>72</v>
      </c>
      <c r="C6" s="1" t="s">
        <v>73</v>
      </c>
    </row>
    <row r="7" spans="2:13" x14ac:dyDescent="0.3">
      <c r="B7" s="5" t="s">
        <v>121</v>
      </c>
      <c r="C7" s="1" t="str">
        <f>_xlfn.XLOOKUP(C8,Control_Vacaciones6[ID],Control_Vacaciones6[Nombre],"No Existe",0)</f>
        <v>Trabajador 5</v>
      </c>
    </row>
    <row r="8" spans="2:13" x14ac:dyDescent="0.3">
      <c r="B8" s="5" t="s">
        <v>28</v>
      </c>
      <c r="C8" s="25">
        <v>11028824</v>
      </c>
      <c r="E8" s="24"/>
      <c r="I8" s="28"/>
      <c r="J8" s="28"/>
      <c r="K8" s="28"/>
    </row>
    <row r="9" spans="2:13" x14ac:dyDescent="0.3">
      <c r="B9" s="5" t="s">
        <v>78</v>
      </c>
      <c r="C9" s="23">
        <f>_xlfn.XLOOKUP(C8,Control_Vacaciones6[ID],Control_Vacaciones6[Sueldo],"",0)</f>
        <v>1400</v>
      </c>
      <c r="I9" s="28"/>
      <c r="J9" s="28"/>
      <c r="K9" s="28"/>
      <c r="M9" s="26"/>
    </row>
    <row r="10" spans="2:13" x14ac:dyDescent="0.3">
      <c r="B10" s="5" t="s">
        <v>79</v>
      </c>
      <c r="C10" s="23">
        <f>C9/25</f>
        <v>56</v>
      </c>
      <c r="I10" s="28"/>
      <c r="J10" s="28"/>
      <c r="K10" s="28"/>
    </row>
    <row r="11" spans="2:13" x14ac:dyDescent="0.3">
      <c r="B11" s="5" t="s">
        <v>137</v>
      </c>
      <c r="C11" s="23"/>
      <c r="I11" s="28"/>
      <c r="J11" s="28"/>
      <c r="K11" s="28"/>
    </row>
    <row r="12" spans="2:13" x14ac:dyDescent="0.3">
      <c r="B12" s="5" t="s">
        <v>138</v>
      </c>
      <c r="C12" s="23"/>
      <c r="I12" s="28"/>
      <c r="J12" s="28"/>
      <c r="K12" s="28"/>
    </row>
    <row r="13" spans="2:13" x14ac:dyDescent="0.3">
      <c r="B13" s="5"/>
      <c r="C13" s="25"/>
      <c r="I13" s="28"/>
      <c r="J13" s="28"/>
      <c r="K13" s="28"/>
    </row>
    <row r="14" spans="2:13" x14ac:dyDescent="0.3">
      <c r="I14" s="28"/>
      <c r="J14" s="28"/>
      <c r="K14" s="28"/>
    </row>
    <row r="15" spans="2:13" x14ac:dyDescent="0.3">
      <c r="B15" s="1" t="s">
        <v>74</v>
      </c>
      <c r="C15" s="1" t="s">
        <v>77</v>
      </c>
      <c r="D15" s="5" t="s">
        <v>75</v>
      </c>
      <c r="E15" s="1" t="s">
        <v>76</v>
      </c>
      <c r="F15" s="1" t="s">
        <v>67</v>
      </c>
    </row>
    <row r="16" spans="2:13" x14ac:dyDescent="0.3">
      <c r="B16" s="1" t="s">
        <v>78</v>
      </c>
      <c r="C16" s="25">
        <f>30-C17</f>
        <v>15</v>
      </c>
      <c r="D16" s="23">
        <f>+C9/30*Tabla3[[#This Row],[Días]]</f>
        <v>700</v>
      </c>
      <c r="E16" s="23"/>
      <c r="F16" s="23"/>
    </row>
    <row r="17" spans="2:6" x14ac:dyDescent="0.3">
      <c r="B17" s="1" t="s">
        <v>123</v>
      </c>
      <c r="C17" s="25">
        <f>_xlfn.XLOOKUP(C8,Control_Vacaciones6[ID],Control_Vacaciones6[Días Tomados],"",0)</f>
        <v>15</v>
      </c>
      <c r="D17" s="23">
        <f>Tabla3[[#This Row],[Días]]*C10</f>
        <v>840</v>
      </c>
      <c r="E17" s="23"/>
      <c r="F17" s="23"/>
    </row>
    <row r="18" spans="2:6" x14ac:dyDescent="0.3">
      <c r="B18" s="1" t="s">
        <v>80</v>
      </c>
      <c r="C18" s="25"/>
      <c r="D18" s="23"/>
      <c r="E18" s="23">
        <f>($D$16+$D$17)*0.11</f>
        <v>169.4</v>
      </c>
      <c r="F18" s="23"/>
    </row>
    <row r="19" spans="2:6" x14ac:dyDescent="0.3">
      <c r="B19" s="1" t="s">
        <v>81</v>
      </c>
      <c r="C19" s="25"/>
      <c r="D19" s="23"/>
      <c r="E19" s="23">
        <f>($D$16+$D$17)*0.03</f>
        <v>46.199999999999996</v>
      </c>
      <c r="F19" s="23"/>
    </row>
    <row r="20" spans="2:6" x14ac:dyDescent="0.3">
      <c r="B20" s="1" t="s">
        <v>82</v>
      </c>
      <c r="C20" s="25"/>
      <c r="D20" s="23"/>
      <c r="E20" s="23">
        <f>($D$16+$D$17)*0.03</f>
        <v>46.199999999999996</v>
      </c>
      <c r="F20" s="23"/>
    </row>
    <row r="21" spans="2:6" x14ac:dyDescent="0.3">
      <c r="B21" s="1" t="s">
        <v>84</v>
      </c>
      <c r="C21" s="25"/>
      <c r="D21" s="23"/>
      <c r="E21" s="23"/>
      <c r="F21" s="23">
        <f>_xlfn.XLOOKUP(C8,Control_Vacaciones6[ID],Control_Vacaciones6[Neto Vacaciones],_xleta.OR,0)</f>
        <v>697.2</v>
      </c>
    </row>
    <row r="22" spans="2:6" x14ac:dyDescent="0.3">
      <c r="B22" s="1" t="s">
        <v>83</v>
      </c>
      <c r="D22" s="27">
        <f>SUBTOTAL(109,Tabla3[Remuneraciones])</f>
        <v>1540</v>
      </c>
      <c r="E22" s="27">
        <f>SUBTOTAL(109,Tabla3[Descuentos])</f>
        <v>261.8</v>
      </c>
      <c r="F22" s="27">
        <f>+Tabla3[[#Totals],[Remuneraciones]]-Tabla3[[#Totals],[Descuentos]]</f>
        <v>1278.2</v>
      </c>
    </row>
    <row r="24" spans="2:6" x14ac:dyDescent="0.3">
      <c r="D24" s="75"/>
    </row>
    <row r="25" spans="2:6" x14ac:dyDescent="0.3">
      <c r="B25" s="20"/>
    </row>
    <row r="28" spans="2:6" x14ac:dyDescent="0.3">
      <c r="B28" s="5" t="s">
        <v>89</v>
      </c>
      <c r="C28" s="5"/>
      <c r="D28" s="5"/>
      <c r="E28" s="5" t="s">
        <v>88</v>
      </c>
      <c r="F28" s="24"/>
    </row>
  </sheetData>
  <phoneticPr fontId="3" type="noConversion"/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30F0BC-E59C-4FF0-9CA7-198B332AA50D}">
          <x14:formula1>
            <xm:f>'Hoja de Practica'!$C$12:$C$30</xm:f>
          </x14:formula1>
          <xm:sqref>C8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CC83-FBB6-48C7-BC51-81E32075FEBA}">
  <dimension ref="A1:O23"/>
  <sheetViews>
    <sheetView showGridLines="0" topLeftCell="B4" zoomScaleNormal="100" workbookViewId="0">
      <selection activeCell="I20" sqref="I20"/>
    </sheetView>
  </sheetViews>
  <sheetFormatPr baseColWidth="10" defaultRowHeight="16.5" x14ac:dyDescent="0.3"/>
  <cols>
    <col min="1" max="1" width="12.875" customWidth="1"/>
    <col min="2" max="2" width="11" customWidth="1"/>
    <col min="3" max="3" width="13.875" customWidth="1"/>
    <col min="4" max="4" width="11.75" customWidth="1"/>
    <col min="5" max="5" width="2.625" customWidth="1"/>
    <col min="6" max="6" width="11.375" customWidth="1"/>
    <col min="8" max="8" width="12.375" customWidth="1"/>
    <col min="9" max="9" width="13.625" customWidth="1"/>
    <col min="10" max="10" width="2.625" customWidth="1"/>
    <col min="11" max="11" width="13.125" customWidth="1"/>
    <col min="12" max="12" width="11.125" bestFit="1" customWidth="1"/>
    <col min="13" max="13" width="13.375" customWidth="1"/>
    <col min="14" max="14" width="7.125" customWidth="1"/>
    <col min="15" max="15" width="14.25" customWidth="1"/>
  </cols>
  <sheetData>
    <row r="1" spans="1:15" s="49" customFormat="1" ht="14.25" x14ac:dyDescent="0.25">
      <c r="A1" s="38" t="s">
        <v>109</v>
      </c>
      <c r="F1" s="38" t="s">
        <v>110</v>
      </c>
      <c r="K1" s="38" t="s">
        <v>111</v>
      </c>
    </row>
    <row r="2" spans="1:15" s="49" customFormat="1" ht="14.25" x14ac:dyDescent="0.25">
      <c r="A2" s="37" t="s">
        <v>107</v>
      </c>
      <c r="F2" s="37" t="s">
        <v>106</v>
      </c>
      <c r="K2" s="37" t="s">
        <v>112</v>
      </c>
    </row>
    <row r="4" spans="1:15" ht="31.5" customHeight="1" x14ac:dyDescent="0.3">
      <c r="A4" s="35" t="s">
        <v>0</v>
      </c>
      <c r="B4" s="35" t="s">
        <v>28</v>
      </c>
      <c r="C4" s="2" t="s">
        <v>2</v>
      </c>
      <c r="D4" s="35" t="s">
        <v>103</v>
      </c>
      <c r="F4" s="35" t="s">
        <v>0</v>
      </c>
      <c r="G4" s="35" t="s">
        <v>28</v>
      </c>
      <c r="H4" s="35" t="s">
        <v>2</v>
      </c>
      <c r="I4" s="35" t="s">
        <v>105</v>
      </c>
      <c r="K4" s="45" t="s">
        <v>0</v>
      </c>
      <c r="L4" s="45" t="s">
        <v>28</v>
      </c>
      <c r="M4" s="45" t="s">
        <v>2</v>
      </c>
      <c r="N4" s="45" t="s">
        <v>41</v>
      </c>
      <c r="O4" s="35" t="s">
        <v>42</v>
      </c>
    </row>
    <row r="5" spans="1:15" ht="17.25" x14ac:dyDescent="0.3">
      <c r="A5" s="12" t="s">
        <v>7</v>
      </c>
      <c r="B5" s="11">
        <v>12190455</v>
      </c>
      <c r="C5" s="7" t="s">
        <v>3</v>
      </c>
      <c r="D5" s="11">
        <v>5</v>
      </c>
      <c r="F5" s="12" t="s">
        <v>7</v>
      </c>
      <c r="G5" s="11">
        <v>12190455</v>
      </c>
      <c r="H5" s="12" t="s">
        <v>3</v>
      </c>
      <c r="I5" s="40">
        <v>0</v>
      </c>
      <c r="K5" s="43" t="s">
        <v>7</v>
      </c>
      <c r="L5" s="43">
        <v>12190455</v>
      </c>
      <c r="M5" s="43" t="s">
        <v>3</v>
      </c>
      <c r="N5" s="43">
        <v>5</v>
      </c>
      <c r="O5" s="41">
        <v>45663</v>
      </c>
    </row>
    <row r="6" spans="1:15" ht="17.25" x14ac:dyDescent="0.3">
      <c r="A6" s="12" t="s">
        <v>8</v>
      </c>
      <c r="B6" s="11">
        <v>11559566</v>
      </c>
      <c r="C6" s="7" t="s">
        <v>5</v>
      </c>
      <c r="D6" s="11">
        <v>5</v>
      </c>
      <c r="F6" s="12" t="s">
        <v>8</v>
      </c>
      <c r="G6" s="11">
        <v>11559566</v>
      </c>
      <c r="H6" s="12" t="s">
        <v>5</v>
      </c>
      <c r="I6" s="40">
        <v>0</v>
      </c>
      <c r="K6" s="43" t="s">
        <v>8</v>
      </c>
      <c r="L6" s="43">
        <v>11559566</v>
      </c>
      <c r="M6" s="43" t="s">
        <v>5</v>
      </c>
      <c r="N6" s="43">
        <v>5</v>
      </c>
      <c r="O6" s="41">
        <v>45670</v>
      </c>
    </row>
    <row r="7" spans="1:15" ht="17.25" x14ac:dyDescent="0.3">
      <c r="A7" s="12" t="s">
        <v>9</v>
      </c>
      <c r="B7" s="11">
        <v>10868508</v>
      </c>
      <c r="C7" s="7" t="s">
        <v>5</v>
      </c>
      <c r="D7" s="11">
        <v>0</v>
      </c>
      <c r="F7" s="12" t="s">
        <v>9</v>
      </c>
      <c r="G7" s="11">
        <v>10868508</v>
      </c>
      <c r="H7" s="12" t="s">
        <v>5</v>
      </c>
      <c r="I7" s="40">
        <v>5</v>
      </c>
      <c r="K7" s="43" t="s">
        <v>9</v>
      </c>
      <c r="L7" s="43">
        <v>10868508</v>
      </c>
      <c r="M7" s="43" t="s">
        <v>5</v>
      </c>
      <c r="N7" s="43">
        <v>0</v>
      </c>
      <c r="O7" s="41"/>
    </row>
    <row r="8" spans="1:15" ht="17.25" x14ac:dyDescent="0.3">
      <c r="A8" s="12" t="s">
        <v>10</v>
      </c>
      <c r="B8" s="11">
        <v>12510006</v>
      </c>
      <c r="C8" s="7" t="s">
        <v>68</v>
      </c>
      <c r="D8" s="11">
        <v>0</v>
      </c>
      <c r="F8" s="12" t="s">
        <v>10</v>
      </c>
      <c r="G8" s="11">
        <v>12510006</v>
      </c>
      <c r="H8" s="12" t="s">
        <v>68</v>
      </c>
      <c r="I8" s="40">
        <v>5</v>
      </c>
      <c r="K8" s="43" t="s">
        <v>10</v>
      </c>
      <c r="L8" s="43">
        <v>12510006</v>
      </c>
      <c r="M8" s="43" t="s">
        <v>68</v>
      </c>
      <c r="N8" s="43">
        <v>0</v>
      </c>
      <c r="O8" s="41"/>
    </row>
    <row r="9" spans="1:15" ht="17.25" x14ac:dyDescent="0.3">
      <c r="A9" s="12" t="s">
        <v>11</v>
      </c>
      <c r="B9" s="11">
        <v>11028824</v>
      </c>
      <c r="C9" s="7" t="s">
        <v>93</v>
      </c>
      <c r="D9" s="11">
        <v>0</v>
      </c>
      <c r="F9" s="12" t="s">
        <v>11</v>
      </c>
      <c r="G9" s="11">
        <v>11028824</v>
      </c>
      <c r="H9" s="12" t="s">
        <v>93</v>
      </c>
      <c r="I9" s="40">
        <v>10</v>
      </c>
      <c r="K9" s="43" t="s">
        <v>11</v>
      </c>
      <c r="L9" s="43">
        <v>11028824</v>
      </c>
      <c r="M9" s="43" t="s">
        <v>93</v>
      </c>
      <c r="N9" s="43">
        <v>15</v>
      </c>
      <c r="O9" s="41">
        <v>45663</v>
      </c>
    </row>
    <row r="10" spans="1:15" ht="17.25" x14ac:dyDescent="0.3">
      <c r="A10" s="12" t="s">
        <v>12</v>
      </c>
      <c r="B10" s="11">
        <v>11415613</v>
      </c>
      <c r="C10" s="7" t="s">
        <v>93</v>
      </c>
      <c r="D10" s="11">
        <v>0</v>
      </c>
      <c r="F10" s="12" t="s">
        <v>12</v>
      </c>
      <c r="G10" s="11">
        <v>11415613</v>
      </c>
      <c r="H10" s="12" t="s">
        <v>93</v>
      </c>
      <c r="I10" s="40">
        <v>5</v>
      </c>
      <c r="K10" s="43" t="s">
        <v>12</v>
      </c>
      <c r="L10" s="43">
        <v>11415613</v>
      </c>
      <c r="M10" s="43" t="s">
        <v>93</v>
      </c>
      <c r="N10" s="43">
        <v>5</v>
      </c>
      <c r="O10" s="41">
        <v>45677</v>
      </c>
    </row>
    <row r="11" spans="1:15" ht="17.25" x14ac:dyDescent="0.3">
      <c r="A11" s="12" t="s">
        <v>13</v>
      </c>
      <c r="B11" s="11">
        <v>13080635</v>
      </c>
      <c r="C11" s="7" t="s">
        <v>93</v>
      </c>
      <c r="D11" s="11">
        <v>0</v>
      </c>
      <c r="F11" s="12" t="s">
        <v>13</v>
      </c>
      <c r="G11" s="11">
        <v>13080635</v>
      </c>
      <c r="H11" s="12" t="s">
        <v>93</v>
      </c>
      <c r="I11" s="40">
        <v>10</v>
      </c>
      <c r="K11" s="43" t="s">
        <v>13</v>
      </c>
      <c r="L11" s="43">
        <v>13080635</v>
      </c>
      <c r="M11" s="43" t="s">
        <v>93</v>
      </c>
      <c r="N11" s="43">
        <v>0</v>
      </c>
      <c r="O11" s="41"/>
    </row>
    <row r="12" spans="1:15" ht="17.25" x14ac:dyDescent="0.3">
      <c r="A12" s="12" t="s">
        <v>14</v>
      </c>
      <c r="B12" s="11">
        <v>11141428</v>
      </c>
      <c r="C12" s="7" t="s">
        <v>3</v>
      </c>
      <c r="D12" s="11">
        <v>0</v>
      </c>
      <c r="F12" s="12" t="s">
        <v>14</v>
      </c>
      <c r="G12" s="11">
        <v>11141428</v>
      </c>
      <c r="H12" s="12" t="s">
        <v>3</v>
      </c>
      <c r="I12" s="40">
        <v>5</v>
      </c>
      <c r="K12" s="43" t="s">
        <v>14</v>
      </c>
      <c r="L12" s="43">
        <v>11141428</v>
      </c>
      <c r="M12" s="43" t="s">
        <v>3</v>
      </c>
      <c r="N12" s="43">
        <v>0</v>
      </c>
      <c r="O12" s="41"/>
    </row>
    <row r="13" spans="1:15" ht="17.25" x14ac:dyDescent="0.3">
      <c r="A13" s="12" t="s">
        <v>15</v>
      </c>
      <c r="B13" s="11">
        <v>11633855</v>
      </c>
      <c r="C13" s="7" t="s">
        <v>3</v>
      </c>
      <c r="D13" s="11">
        <v>0</v>
      </c>
      <c r="F13" s="12" t="s">
        <v>15</v>
      </c>
      <c r="G13" s="11">
        <v>11633855</v>
      </c>
      <c r="H13" s="12" t="s">
        <v>3</v>
      </c>
      <c r="I13" s="40">
        <v>5</v>
      </c>
      <c r="K13" s="43" t="s">
        <v>15</v>
      </c>
      <c r="L13" s="43">
        <v>11633855</v>
      </c>
      <c r="M13" s="43" t="s">
        <v>3</v>
      </c>
      <c r="N13" s="43">
        <v>5</v>
      </c>
      <c r="O13" s="41">
        <v>45670</v>
      </c>
    </row>
    <row r="14" spans="1:15" ht="17.25" x14ac:dyDescent="0.3">
      <c r="A14" s="12" t="s">
        <v>16</v>
      </c>
      <c r="B14" s="11">
        <v>13166130</v>
      </c>
      <c r="C14" s="7" t="s">
        <v>68</v>
      </c>
      <c r="D14" s="11">
        <v>0</v>
      </c>
      <c r="F14" s="12" t="s">
        <v>16</v>
      </c>
      <c r="G14" s="11">
        <v>13166130</v>
      </c>
      <c r="H14" s="12" t="s">
        <v>68</v>
      </c>
      <c r="I14" s="40">
        <v>0</v>
      </c>
      <c r="K14" s="43" t="s">
        <v>16</v>
      </c>
      <c r="L14" s="43">
        <v>13166130</v>
      </c>
      <c r="M14" s="43" t="s">
        <v>68</v>
      </c>
      <c r="N14" s="43">
        <v>5</v>
      </c>
      <c r="O14" s="42">
        <v>45684</v>
      </c>
    </row>
    <row r="15" spans="1:15" ht="17.25" x14ac:dyDescent="0.3">
      <c r="A15" s="12" t="s">
        <v>17</v>
      </c>
      <c r="B15" s="11">
        <v>11464559</v>
      </c>
      <c r="C15" s="7" t="s">
        <v>68</v>
      </c>
      <c r="D15" s="11">
        <v>10</v>
      </c>
      <c r="F15" s="12" t="s">
        <v>17</v>
      </c>
      <c r="G15" s="11">
        <v>11464559</v>
      </c>
      <c r="H15" s="12" t="s">
        <v>68</v>
      </c>
      <c r="I15" s="40">
        <v>0</v>
      </c>
      <c r="K15" s="43" t="s">
        <v>17</v>
      </c>
      <c r="L15" s="43">
        <v>11464559</v>
      </c>
      <c r="M15" s="43" t="s">
        <v>68</v>
      </c>
      <c r="N15" s="43">
        <v>10</v>
      </c>
      <c r="O15" s="42">
        <v>45677</v>
      </c>
    </row>
    <row r="16" spans="1:15" ht="17.25" x14ac:dyDescent="0.3">
      <c r="A16" s="12" t="s">
        <v>18</v>
      </c>
      <c r="B16" s="11">
        <v>11982661</v>
      </c>
      <c r="C16" s="7" t="s">
        <v>3</v>
      </c>
      <c r="D16" s="11">
        <v>0</v>
      </c>
      <c r="F16" s="12" t="s">
        <v>18</v>
      </c>
      <c r="G16" s="11">
        <v>11982661</v>
      </c>
      <c r="H16" s="12" t="s">
        <v>3</v>
      </c>
      <c r="I16" s="40">
        <v>0</v>
      </c>
      <c r="K16" s="43" t="s">
        <v>18</v>
      </c>
      <c r="L16" s="43">
        <v>11982661</v>
      </c>
      <c r="M16" s="43" t="s">
        <v>3</v>
      </c>
      <c r="N16" s="43">
        <v>5</v>
      </c>
      <c r="O16" s="41">
        <v>45677</v>
      </c>
    </row>
    <row r="17" spans="1:15" ht="17.25" x14ac:dyDescent="0.3">
      <c r="A17" s="12" t="s">
        <v>19</v>
      </c>
      <c r="B17" s="11">
        <v>12556039</v>
      </c>
      <c r="C17" s="7" t="s">
        <v>3</v>
      </c>
      <c r="D17" s="11">
        <v>0</v>
      </c>
      <c r="F17" s="12" t="s">
        <v>19</v>
      </c>
      <c r="G17" s="11">
        <v>12556039</v>
      </c>
      <c r="H17" s="12" t="s">
        <v>3</v>
      </c>
      <c r="I17" s="40">
        <v>0</v>
      </c>
      <c r="K17" s="43" t="s">
        <v>19</v>
      </c>
      <c r="L17" s="43">
        <v>12556039</v>
      </c>
      <c r="M17" s="43" t="s">
        <v>3</v>
      </c>
      <c r="N17" s="43">
        <v>10</v>
      </c>
      <c r="O17" s="42">
        <v>45684</v>
      </c>
    </row>
    <row r="18" spans="1:15" ht="17.25" x14ac:dyDescent="0.3">
      <c r="A18" s="12" t="s">
        <v>20</v>
      </c>
      <c r="B18" s="11">
        <v>12662501</v>
      </c>
      <c r="C18" s="7" t="s">
        <v>5</v>
      </c>
      <c r="D18" s="11">
        <v>5</v>
      </c>
      <c r="F18" s="12" t="s">
        <v>20</v>
      </c>
      <c r="G18" s="11">
        <v>12662501</v>
      </c>
      <c r="H18" s="12" t="s">
        <v>5</v>
      </c>
      <c r="I18" s="40">
        <v>0</v>
      </c>
      <c r="K18" s="43" t="s">
        <v>20</v>
      </c>
      <c r="L18" s="43">
        <v>12662501</v>
      </c>
      <c r="M18" s="43" t="s">
        <v>5</v>
      </c>
      <c r="N18" s="43">
        <v>5</v>
      </c>
      <c r="O18" s="41">
        <v>45677</v>
      </c>
    </row>
    <row r="19" spans="1:15" ht="17.25" x14ac:dyDescent="0.3">
      <c r="A19" s="12" t="s">
        <v>21</v>
      </c>
      <c r="B19" s="11">
        <v>12160435</v>
      </c>
      <c r="C19" s="7" t="s">
        <v>4</v>
      </c>
      <c r="D19" s="11">
        <v>0</v>
      </c>
      <c r="F19" s="12" t="s">
        <v>21</v>
      </c>
      <c r="G19" s="11">
        <v>12160435</v>
      </c>
      <c r="H19" s="12" t="s">
        <v>4</v>
      </c>
      <c r="I19" s="40">
        <v>0</v>
      </c>
      <c r="K19" s="43" t="s">
        <v>21</v>
      </c>
      <c r="L19" s="43">
        <v>12160435</v>
      </c>
      <c r="M19" s="43" t="s">
        <v>4</v>
      </c>
      <c r="N19" s="43">
        <v>5</v>
      </c>
      <c r="O19" s="41">
        <v>45663</v>
      </c>
    </row>
    <row r="20" spans="1:15" ht="17.25" x14ac:dyDescent="0.3">
      <c r="A20" s="12" t="s">
        <v>22</v>
      </c>
      <c r="B20" s="11">
        <v>13113392</v>
      </c>
      <c r="C20" s="7" t="s">
        <v>6</v>
      </c>
      <c r="D20" s="11">
        <v>0</v>
      </c>
      <c r="F20" s="12" t="s">
        <v>22</v>
      </c>
      <c r="G20" s="11">
        <v>13113392</v>
      </c>
      <c r="H20" s="12" t="s">
        <v>6</v>
      </c>
      <c r="I20" s="40">
        <v>0</v>
      </c>
      <c r="K20" s="43" t="s">
        <v>22</v>
      </c>
      <c r="L20" s="43">
        <v>13113392</v>
      </c>
      <c r="M20" s="43" t="s">
        <v>6</v>
      </c>
      <c r="N20" s="43">
        <v>10</v>
      </c>
      <c r="O20" s="41">
        <v>45670</v>
      </c>
    </row>
    <row r="21" spans="1:15" ht="17.25" x14ac:dyDescent="0.3">
      <c r="A21" s="12" t="s">
        <v>23</v>
      </c>
      <c r="B21" s="11">
        <v>13455422</v>
      </c>
      <c r="C21" s="7" t="s">
        <v>6</v>
      </c>
      <c r="D21" s="11">
        <v>0</v>
      </c>
      <c r="F21" s="12" t="s">
        <v>23</v>
      </c>
      <c r="G21" s="11">
        <v>13455422</v>
      </c>
      <c r="H21" s="12" t="s">
        <v>6</v>
      </c>
      <c r="I21" s="40">
        <v>5</v>
      </c>
      <c r="K21" s="43" t="s">
        <v>23</v>
      </c>
      <c r="L21" s="43">
        <v>13455422</v>
      </c>
      <c r="M21" s="43" t="s">
        <v>6</v>
      </c>
      <c r="N21" s="43">
        <v>5</v>
      </c>
      <c r="O21" s="41">
        <v>45663</v>
      </c>
    </row>
    <row r="22" spans="1:15" ht="17.25" x14ac:dyDescent="0.3">
      <c r="A22" s="12" t="s">
        <v>24</v>
      </c>
      <c r="B22" s="11">
        <v>13455665</v>
      </c>
      <c r="C22" s="7" t="s">
        <v>94</v>
      </c>
      <c r="D22" s="11">
        <v>0</v>
      </c>
      <c r="F22" s="12" t="s">
        <v>24</v>
      </c>
      <c r="G22" s="11">
        <v>13455665</v>
      </c>
      <c r="H22" s="12" t="s">
        <v>94</v>
      </c>
      <c r="I22" s="40">
        <v>0</v>
      </c>
      <c r="K22" s="43" t="s">
        <v>24</v>
      </c>
      <c r="L22" s="43">
        <v>13455665</v>
      </c>
      <c r="M22" s="43" t="s">
        <v>94</v>
      </c>
      <c r="N22" s="43">
        <v>0</v>
      </c>
      <c r="O22" s="41"/>
    </row>
    <row r="23" spans="1:15" ht="17.25" x14ac:dyDescent="0.3">
      <c r="A23" s="12" t="s">
        <v>25</v>
      </c>
      <c r="B23" s="11">
        <v>13055388</v>
      </c>
      <c r="C23" s="7" t="s">
        <v>94</v>
      </c>
      <c r="D23" s="11">
        <v>0</v>
      </c>
      <c r="F23" s="12" t="s">
        <v>25</v>
      </c>
      <c r="G23" s="11">
        <v>13055388</v>
      </c>
      <c r="H23" s="12" t="s">
        <v>94</v>
      </c>
      <c r="I23" s="40">
        <v>0</v>
      </c>
      <c r="K23" s="44" t="s">
        <v>25</v>
      </c>
      <c r="L23" s="44">
        <v>13055388</v>
      </c>
      <c r="M23" s="44" t="s">
        <v>94</v>
      </c>
      <c r="N23" s="44">
        <v>0</v>
      </c>
      <c r="O23" s="41"/>
    </row>
  </sheetData>
  <sheetProtection algorithmName="SHA-512" hashValue="nUk71cSEBbZu5iMsGtPXFNv4TaVSeOGt3SCZX6E7eGrVqn1r/msmhDkwH8h3JyKB3lXbg4mbDqcFFRznEHWpsw==" saltValue="Ax17OuPrxas15GOrgmOxwA==" spinCount="100000" sheet="1" objects="1" scenarios="1"/>
  <phoneticPr fontId="3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E4A4-576A-4DFE-9D43-77F860E3BC22}">
  <dimension ref="B2:K15"/>
  <sheetViews>
    <sheetView showGridLines="0" workbookViewId="0">
      <selection activeCell="J7" sqref="J7"/>
    </sheetView>
  </sheetViews>
  <sheetFormatPr baseColWidth="10" defaultRowHeight="16.5" x14ac:dyDescent="0.3"/>
  <cols>
    <col min="1" max="1" width="4.375" style="1" customWidth="1"/>
    <col min="2" max="2" width="30.5" style="1" customWidth="1"/>
    <col min="3" max="3" width="7.5" style="1" customWidth="1"/>
    <col min="4" max="4" width="10" style="1" customWidth="1"/>
    <col min="5" max="5" width="7.5" style="1" customWidth="1"/>
    <col min="6" max="6" width="7.875" style="1" customWidth="1"/>
    <col min="7" max="9" width="8" style="1" customWidth="1"/>
    <col min="10" max="10" width="28.5" style="1" bestFit="1" customWidth="1"/>
    <col min="11" max="11" width="15.25" style="1" customWidth="1"/>
    <col min="12" max="16384" width="11" style="1"/>
  </cols>
  <sheetData>
    <row r="2" spans="2:11" x14ac:dyDescent="0.3">
      <c r="B2" s="5" t="s">
        <v>39</v>
      </c>
      <c r="C2" s="5"/>
      <c r="J2" s="5" t="s">
        <v>44</v>
      </c>
    </row>
    <row r="3" spans="2:11" ht="9" customHeight="1" x14ac:dyDescent="0.3"/>
    <row r="4" spans="2:11" ht="37.5" customHeight="1" x14ac:dyDescent="0.3">
      <c r="B4" s="13" t="s">
        <v>32</v>
      </c>
      <c r="C4" s="13" t="s">
        <v>40</v>
      </c>
      <c r="D4" s="46" t="s">
        <v>50</v>
      </c>
      <c r="E4" s="46" t="s">
        <v>47</v>
      </c>
      <c r="F4" s="46" t="s">
        <v>51</v>
      </c>
      <c r="J4" s="10" t="s">
        <v>46</v>
      </c>
      <c r="K4" s="29" t="s">
        <v>91</v>
      </c>
    </row>
    <row r="5" spans="2:11" x14ac:dyDescent="0.3">
      <c r="B5" s="1" t="s">
        <v>37</v>
      </c>
      <c r="C5" s="47">
        <v>5</v>
      </c>
      <c r="D5" s="5">
        <v>14</v>
      </c>
      <c r="E5" s="1">
        <v>4</v>
      </c>
      <c r="F5" s="32">
        <f>+Dias_Vacaciones[[#This Row],[Días de Vac s/Ley]]-Dias_Vacaciones[[#This Row],[Fines de Sem]]</f>
        <v>10</v>
      </c>
      <c r="J5" s="9">
        <v>45658</v>
      </c>
      <c r="K5" s="1" t="s">
        <v>92</v>
      </c>
    </row>
    <row r="6" spans="2:11" x14ac:dyDescent="0.3">
      <c r="B6" s="1" t="s">
        <v>38</v>
      </c>
      <c r="C6" s="47">
        <v>10</v>
      </c>
      <c r="D6" s="5">
        <v>21</v>
      </c>
      <c r="E6" s="1">
        <v>6</v>
      </c>
      <c r="F6" s="32">
        <f>+Dias_Vacaciones[[#This Row],[Días de Vac s/Ley]]-Dias_Vacaciones[[#This Row],[Fines de Sem]]</f>
        <v>15</v>
      </c>
      <c r="J6" s="9">
        <v>45691</v>
      </c>
      <c r="K6" s="1" t="s">
        <v>90</v>
      </c>
    </row>
    <row r="7" spans="2:11" x14ac:dyDescent="0.3">
      <c r="B7" s="1" t="s">
        <v>33</v>
      </c>
      <c r="C7" s="47">
        <v>20</v>
      </c>
      <c r="D7" s="5">
        <v>28</v>
      </c>
      <c r="E7" s="1">
        <v>8</v>
      </c>
      <c r="F7" s="32">
        <f>+Dias_Vacaciones[[#This Row],[Días de Vac s/Ley]]-Dias_Vacaciones[[#This Row],[Fines de Sem]]</f>
        <v>20</v>
      </c>
      <c r="J7" s="9">
        <v>45692</v>
      </c>
      <c r="K7" s="1" t="s">
        <v>90</v>
      </c>
    </row>
    <row r="8" spans="2:11" x14ac:dyDescent="0.3">
      <c r="B8" s="1" t="s">
        <v>34</v>
      </c>
      <c r="C8" s="47">
        <v>21</v>
      </c>
      <c r="D8" s="5">
        <v>35</v>
      </c>
      <c r="E8" s="1">
        <v>10</v>
      </c>
      <c r="F8" s="32">
        <f>+Dias_Vacaciones[[#This Row],[Días de Vac s/Ley]]-Dias_Vacaciones[[#This Row],[Fines de Sem]]</f>
        <v>25</v>
      </c>
      <c r="J8" s="9">
        <v>45400</v>
      </c>
      <c r="K8" s="1" t="s">
        <v>133</v>
      </c>
    </row>
    <row r="11" spans="2:11" x14ac:dyDescent="0.3">
      <c r="J11" s="1" t="s">
        <v>36</v>
      </c>
    </row>
    <row r="12" spans="2:11" x14ac:dyDescent="0.3">
      <c r="J12" s="6" t="s">
        <v>45</v>
      </c>
    </row>
    <row r="14" spans="2:11" x14ac:dyDescent="0.3">
      <c r="B14" s="1" t="s">
        <v>36</v>
      </c>
    </row>
    <row r="15" spans="2:11" x14ac:dyDescent="0.3">
      <c r="B15" s="6" t="s">
        <v>35</v>
      </c>
      <c r="C15" s="6"/>
    </row>
  </sheetData>
  <sheetProtection algorithmName="SHA-512" hashValue="+44HOBCP715kiE8FgQkIsr6/dKaLhB0MwqbE6Gj5XUIbgcYjmkd0ObAoaWKyP/qpYfGbIP1UbgyygvTAgPV11A==" saltValue="kjL6GfYnTG25YMbyHX74Bg==" spinCount="100000" sheet="1" objects="1" scenarios="1"/>
  <hyperlinks>
    <hyperlink ref="B15" r:id="rId1" xr:uid="{F5AF2A98-07DA-4FBA-AF93-237C20B1B37A}"/>
    <hyperlink ref="J12" r:id="rId2" xr:uid="{037B2D0B-923F-46BD-BB2A-6413B07DA440}"/>
  </hyperlinks>
  <pageMargins left="0.7" right="0.7" top="0.75" bottom="0.75" header="0.3" footer="0.3"/>
  <drawing r:id="rId3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E8674-AD42-4B55-BBE7-423D0EF7F9B4}">
  <dimension ref="A1:A8"/>
  <sheetViews>
    <sheetView workbookViewId="0">
      <selection activeCell="J22" sqref="J22"/>
    </sheetView>
  </sheetViews>
  <sheetFormatPr baseColWidth="10" defaultRowHeight="16.5" x14ac:dyDescent="0.3"/>
  <cols>
    <col min="1" max="1" width="11.25" customWidth="1"/>
  </cols>
  <sheetData>
    <row r="1" spans="1:1" x14ac:dyDescent="0.3">
      <c r="A1" s="35" t="s">
        <v>2</v>
      </c>
    </row>
    <row r="2" spans="1:1" x14ac:dyDescent="0.3">
      <c r="A2" s="76" t="s">
        <v>3</v>
      </c>
    </row>
    <row r="3" spans="1:1" x14ac:dyDescent="0.3">
      <c r="A3" s="76" t="s">
        <v>5</v>
      </c>
    </row>
    <row r="4" spans="1:1" x14ac:dyDescent="0.3">
      <c r="A4" s="76" t="s">
        <v>68</v>
      </c>
    </row>
    <row r="5" spans="1:1" x14ac:dyDescent="0.3">
      <c r="A5" s="76" t="s">
        <v>93</v>
      </c>
    </row>
    <row r="6" spans="1:1" x14ac:dyDescent="0.3">
      <c r="A6" s="76" t="s">
        <v>4</v>
      </c>
    </row>
    <row r="7" spans="1:1" x14ac:dyDescent="0.3">
      <c r="A7" s="76" t="s">
        <v>6</v>
      </c>
    </row>
    <row r="8" spans="1:1" x14ac:dyDescent="0.3">
      <c r="A8" s="76" t="s">
        <v>94</v>
      </c>
    </row>
  </sheetData>
  <sheetProtection algorithmName="SHA-512" hashValue="2xpw5VO900eHTWxT0qw5ACt6cJOb+/b7kP9iNVKYRM+uK8jIzUvMRCDbrP2eCTmdkFSSvp01Qx+s3IG4NraGaA==" saltValue="2SaJMZ7ujEecZExR5qOwcA==" spinCount="100000" sheet="1" objects="1" scenarios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E322-C580-46FA-A668-4C1067E6240E}">
  <dimension ref="B2:I17"/>
  <sheetViews>
    <sheetView showGridLines="0" workbookViewId="0">
      <selection activeCell="G15" sqref="G15"/>
    </sheetView>
  </sheetViews>
  <sheetFormatPr baseColWidth="10" defaultRowHeight="16.5" x14ac:dyDescent="0.3"/>
  <cols>
    <col min="3" max="3" width="7" style="36" customWidth="1"/>
    <col min="4" max="4" width="13.5" customWidth="1"/>
    <col min="7" max="7" width="6.5" customWidth="1"/>
    <col min="8" max="8" width="5.625" customWidth="1"/>
  </cols>
  <sheetData>
    <row r="2" spans="2:9" x14ac:dyDescent="0.3">
      <c r="B2" s="24" t="s">
        <v>124</v>
      </c>
    </row>
    <row r="4" spans="2:9" x14ac:dyDescent="0.3">
      <c r="B4" s="39" t="s">
        <v>0</v>
      </c>
      <c r="C4" s="39" t="s">
        <v>101</v>
      </c>
      <c r="D4" s="39" t="s">
        <v>100</v>
      </c>
      <c r="E4" s="1"/>
      <c r="F4" s="1"/>
      <c r="G4" s="1" t="s">
        <v>99</v>
      </c>
      <c r="H4" s="1">
        <v>18</v>
      </c>
      <c r="I4" s="1"/>
    </row>
    <row r="5" spans="2:9" x14ac:dyDescent="0.3">
      <c r="B5" s="1" t="s">
        <v>95</v>
      </c>
      <c r="C5" s="4">
        <v>20</v>
      </c>
      <c r="D5" s="1" t="str">
        <f>IF(Tabla8[[#This Row],[Edad]]&gt;=18,"Adulto","Menor")</f>
        <v>Adulto</v>
      </c>
      <c r="E5" s="1"/>
      <c r="F5" s="1"/>
      <c r="G5" s="1"/>
      <c r="H5" s="1"/>
      <c r="I5" s="1"/>
    </row>
    <row r="6" spans="2:9" x14ac:dyDescent="0.3">
      <c r="B6" s="1" t="s">
        <v>96</v>
      </c>
      <c r="C6" s="4">
        <v>5</v>
      </c>
      <c r="D6" s="1" t="str">
        <f>IF(Tabla8[[#This Row],[Edad]]&gt;=18,"Adulto","Menor")</f>
        <v>Menor</v>
      </c>
      <c r="E6" s="1"/>
      <c r="F6" s="1"/>
      <c r="G6" s="1"/>
      <c r="H6" s="1"/>
      <c r="I6" s="1"/>
    </row>
    <row r="7" spans="2:9" x14ac:dyDescent="0.3">
      <c r="B7" s="1" t="s">
        <v>97</v>
      </c>
      <c r="C7" s="4">
        <v>18</v>
      </c>
      <c r="D7" s="1" t="str">
        <f>IF(Tabla8[[#This Row],[Edad]]&gt;=18,"Adulto","Menor")</f>
        <v>Adulto</v>
      </c>
      <c r="E7" s="1"/>
      <c r="F7" s="1"/>
      <c r="G7" s="1"/>
      <c r="H7" s="1"/>
      <c r="I7" s="1"/>
    </row>
    <row r="8" spans="2:9" x14ac:dyDescent="0.3">
      <c r="B8" s="1" t="s">
        <v>98</v>
      </c>
      <c r="C8" s="4">
        <v>10</v>
      </c>
      <c r="D8" s="1" t="str">
        <f>IF(Tabla8[[#This Row],[Edad]]&gt;=18,"Adulto","Menor")</f>
        <v>Menor</v>
      </c>
      <c r="E8" s="1"/>
      <c r="F8" s="1"/>
      <c r="G8" s="1"/>
      <c r="H8" s="1"/>
      <c r="I8" s="1"/>
    </row>
    <row r="9" spans="2:9" x14ac:dyDescent="0.3">
      <c r="B9" s="1"/>
      <c r="C9" s="4"/>
      <c r="D9" s="1"/>
      <c r="E9" s="1"/>
      <c r="F9" s="1"/>
      <c r="G9" s="1"/>
      <c r="H9" s="1"/>
      <c r="I9" s="1"/>
    </row>
    <row r="10" spans="2:9" x14ac:dyDescent="0.3">
      <c r="B10" s="1"/>
      <c r="C10" s="4"/>
      <c r="D10" s="1"/>
      <c r="E10" s="1"/>
      <c r="F10" s="1"/>
      <c r="G10" s="1"/>
      <c r="H10" s="1"/>
      <c r="I10" s="1"/>
    </row>
    <row r="11" spans="2:9" x14ac:dyDescent="0.3">
      <c r="B11" s="1"/>
      <c r="C11" s="4"/>
      <c r="D11" s="1"/>
      <c r="E11" s="1"/>
      <c r="F11" s="1"/>
      <c r="G11" s="1"/>
      <c r="H11" s="1"/>
      <c r="I11" s="1"/>
    </row>
    <row r="12" spans="2:9" x14ac:dyDescent="0.3">
      <c r="B12" s="1"/>
      <c r="C12" s="4"/>
      <c r="D12" s="1"/>
      <c r="E12" s="1"/>
      <c r="F12" s="1"/>
      <c r="G12" s="1"/>
      <c r="H12" s="1"/>
      <c r="I12" s="1"/>
    </row>
    <row r="13" spans="2:9" x14ac:dyDescent="0.3">
      <c r="B13" s="1"/>
      <c r="C13" s="4"/>
      <c r="D13" s="1"/>
      <c r="E13" s="1"/>
      <c r="F13" s="1"/>
      <c r="G13" s="1"/>
      <c r="H13" s="1"/>
      <c r="I13" s="1"/>
    </row>
    <row r="14" spans="2:9" x14ac:dyDescent="0.3">
      <c r="B14" s="1"/>
      <c r="C14" s="4"/>
      <c r="D14" s="1"/>
      <c r="E14" s="1"/>
      <c r="F14" s="1"/>
      <c r="G14" s="1"/>
      <c r="H14" s="1"/>
      <c r="I14" s="1"/>
    </row>
    <row r="15" spans="2:9" x14ac:dyDescent="0.3">
      <c r="B15" s="1"/>
      <c r="C15" s="4"/>
      <c r="D15" s="1"/>
    </row>
    <row r="16" spans="2:9" x14ac:dyDescent="0.3">
      <c r="B16" s="1"/>
      <c r="C16" s="4"/>
      <c r="D16" s="1"/>
    </row>
    <row r="17" spans="2:4" x14ac:dyDescent="0.3">
      <c r="B17" s="1"/>
      <c r="C17" s="4"/>
      <c r="D17" s="1"/>
    </row>
  </sheetData>
  <sheetProtection algorithmName="SHA-512" hashValue="RrAHevvXlMubhTNhxb/0c0FrRNyeRsGcb73PX7jOzHkkhtmiXNMcAlGDlAfoMOykuthT9uBkg4e4oz6x6CLCcQ==" saltValue="tN07g4PgrxAidFoUndkOOA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Puntos a tratar</vt:lpstr>
      <vt:lpstr>TD</vt:lpstr>
      <vt:lpstr>Hoja Final</vt:lpstr>
      <vt:lpstr>Hoja de Practica</vt:lpstr>
      <vt:lpstr>Recibo</vt:lpstr>
      <vt:lpstr>Aux Inf 2023 y 2024</vt:lpstr>
      <vt:lpstr>Aux Vac Ley y Feriados</vt:lpstr>
      <vt:lpstr>AuxDpto</vt:lpstr>
      <vt:lpstr>SI</vt:lpstr>
      <vt:lpstr>INDICE + COINCIDIR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Nelly Gonzalez</dc:creator>
  <cp:lastModifiedBy>Nelly Gonzalez</cp:lastModifiedBy>
  <cp:lastPrinted>2024-11-10T19:36:03Z</cp:lastPrinted>
  <dcterms:created xsi:type="dcterms:W3CDTF">2024-10-20T13:31:26Z</dcterms:created>
  <dcterms:modified xsi:type="dcterms:W3CDTF">2024-11-22T00:21:12Z</dcterms:modified>
</cp:coreProperties>
</file>