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ndres\Downloads\"/>
    </mc:Choice>
  </mc:AlternateContent>
  <xr:revisionPtr revIDLastSave="0" documentId="13_ncr:1_{D5869E72-64E0-47F9-AB54-510726E5CC0D}" xr6:coauthVersionLast="47" xr6:coauthVersionMax="47" xr10:uidLastSave="{00000000-0000-0000-0000-000000000000}"/>
  <bookViews>
    <workbookView xWindow="23880" yWindow="-120" windowWidth="20640" windowHeight="11310" xr2:uid="{00000000-000D-0000-FFFF-FFFF00000000}"/>
  </bookViews>
  <sheets>
    <sheet name="Ejercicio1" sheetId="2" r:id="rId1"/>
    <sheet name="Ejercicio2" sheetId="3" r:id="rId2"/>
    <sheet name="Ejercicio5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3" i="4" s="1"/>
  <c r="H88" i="2"/>
  <c r="J26" i="3" l="1"/>
  <c r="I26" i="3"/>
  <c r="J25" i="3"/>
  <c r="I25" i="3" l="1"/>
  <c r="G26" i="3"/>
  <c r="G25" i="3"/>
  <c r="G24" i="3"/>
  <c r="O20" i="3"/>
  <c r="O19" i="3"/>
  <c r="I20" i="3"/>
  <c r="I19" i="3"/>
  <c r="D19" i="3"/>
  <c r="D20" i="3" s="1"/>
  <c r="O17" i="3"/>
  <c r="I17" i="3"/>
  <c r="D17" i="3"/>
  <c r="E11" i="3"/>
  <c r="N11" i="2" l="1"/>
  <c r="N10" i="2"/>
  <c r="N9" i="2"/>
  <c r="N22" i="2" l="1"/>
  <c r="D16" i="2"/>
  <c r="B15" i="2"/>
  <c r="B13" i="2"/>
  <c r="D13" i="2" s="1"/>
  <c r="B11" i="2"/>
  <c r="D11" i="2" s="1"/>
  <c r="L23" i="2" s="1"/>
  <c r="B10" i="2"/>
  <c r="I57" i="2" s="1"/>
  <c r="H74" i="2" l="1"/>
  <c r="E23" i="2"/>
  <c r="H70" i="2"/>
  <c r="C18" i="2"/>
  <c r="H81" i="2"/>
  <c r="H79" i="2"/>
  <c r="H77" i="2"/>
  <c r="H75" i="2"/>
  <c r="H73" i="2"/>
  <c r="H71" i="2"/>
  <c r="H69" i="2"/>
  <c r="H67" i="2"/>
  <c r="H65" i="2"/>
  <c r="H63" i="2"/>
  <c r="H61" i="2"/>
  <c r="H59" i="2"/>
  <c r="H62" i="2"/>
  <c r="H76" i="2"/>
  <c r="H64" i="2"/>
  <c r="H78" i="2"/>
  <c r="H68" i="2"/>
  <c r="H58" i="2"/>
  <c r="M23" i="2"/>
  <c r="K23" i="2" s="1"/>
  <c r="H80" i="2"/>
  <c r="H72" i="2"/>
  <c r="H60" i="2"/>
  <c r="H66" i="2"/>
  <c r="L34" i="2"/>
  <c r="L26" i="2"/>
  <c r="L40" i="2"/>
  <c r="L43" i="2"/>
  <c r="L36" i="2"/>
  <c r="L30" i="2"/>
  <c r="L41" i="2"/>
  <c r="L37" i="2"/>
  <c r="L31" i="2"/>
  <c r="L25" i="2"/>
  <c r="L45" i="2"/>
  <c r="L39" i="2"/>
  <c r="L32" i="2"/>
  <c r="L27" i="2"/>
  <c r="L44" i="2"/>
  <c r="L38" i="2"/>
  <c r="L33" i="2"/>
  <c r="L29" i="2"/>
  <c r="L24" i="2"/>
  <c r="L42" i="2"/>
  <c r="L35" i="2"/>
  <c r="L28" i="2"/>
  <c r="G79" i="2"/>
  <c r="G77" i="2"/>
  <c r="G75" i="2"/>
  <c r="F75" i="2" s="1"/>
  <c r="G73" i="2"/>
  <c r="F73" i="2" s="1"/>
  <c r="G71" i="2"/>
  <c r="F71" i="2" s="1"/>
  <c r="G69" i="2"/>
  <c r="F69" i="2" s="1"/>
  <c r="G67" i="2"/>
  <c r="F67" i="2" s="1"/>
  <c r="G65" i="2"/>
  <c r="F65" i="2" s="1"/>
  <c r="G63" i="2"/>
  <c r="G61" i="2"/>
  <c r="G59" i="2"/>
  <c r="F59" i="2" s="1"/>
  <c r="I58" i="2"/>
  <c r="G80" i="2"/>
  <c r="G78" i="2"/>
  <c r="G76" i="2"/>
  <c r="F76" i="2" s="1"/>
  <c r="G74" i="2"/>
  <c r="F74" i="2" s="1"/>
  <c r="G72" i="2"/>
  <c r="F72" i="2" s="1"/>
  <c r="G70" i="2"/>
  <c r="F70" i="2" s="1"/>
  <c r="G68" i="2"/>
  <c r="F68" i="2" s="1"/>
  <c r="G66" i="2"/>
  <c r="F66" i="2" s="1"/>
  <c r="G64" i="2"/>
  <c r="F64" i="2" s="1"/>
  <c r="G62" i="2"/>
  <c r="F62" i="2" s="1"/>
  <c r="G60" i="2"/>
  <c r="F60" i="2" s="1"/>
  <c r="G58" i="2"/>
  <c r="N23" i="2"/>
  <c r="M24" i="2" s="1"/>
  <c r="F22" i="2"/>
  <c r="I59" i="2" l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F79" i="2"/>
  <c r="F77" i="2"/>
  <c r="N24" i="2"/>
  <c r="F23" i="2"/>
  <c r="F58" i="2"/>
  <c r="K24" i="2"/>
  <c r="F78" i="2"/>
  <c r="F61" i="2"/>
  <c r="F63" i="2"/>
  <c r="F80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D23" i="2" s="1"/>
  <c r="F24" i="2" l="1"/>
  <c r="E24" i="2"/>
  <c r="D24" i="2"/>
  <c r="N25" i="2"/>
  <c r="M25" i="2"/>
  <c r="G81" i="2"/>
  <c r="F81" i="2" s="1"/>
  <c r="F25" i="2" l="1"/>
  <c r="E25" i="2"/>
  <c r="D25" i="2" s="1"/>
  <c r="K25" i="2"/>
  <c r="I81" i="2"/>
  <c r="N26" i="2"/>
  <c r="M26" i="2"/>
  <c r="K26" i="2" s="1"/>
  <c r="N27" i="2" l="1"/>
  <c r="M27" i="2"/>
  <c r="K27" i="2" s="1"/>
  <c r="G87" i="2"/>
  <c r="F87" i="2" s="1"/>
  <c r="G85" i="2"/>
  <c r="G83" i="2"/>
  <c r="I82" i="2"/>
  <c r="I83" i="2" s="1"/>
  <c r="G86" i="2"/>
  <c r="F86" i="2" s="1"/>
  <c r="G84" i="2"/>
  <c r="F84" i="2" s="1"/>
  <c r="G82" i="2"/>
  <c r="F82" i="2" s="1"/>
  <c r="H87" i="2"/>
  <c r="H82" i="2"/>
  <c r="H86" i="2"/>
  <c r="H85" i="2"/>
  <c r="H83" i="2"/>
  <c r="H84" i="2"/>
  <c r="E26" i="2"/>
  <c r="F85" i="2" l="1"/>
  <c r="I84" i="2"/>
  <c r="I85" i="2" s="1"/>
  <c r="I86" i="2" s="1"/>
  <c r="I87" i="2" s="1"/>
  <c r="F83" i="2"/>
  <c r="D26" i="2"/>
  <c r="F26" i="2" s="1"/>
  <c r="N28" i="2"/>
  <c r="M28" i="2"/>
  <c r="K28" i="2" l="1"/>
  <c r="N29" i="2"/>
  <c r="M29" i="2"/>
  <c r="K29" i="2" s="1"/>
  <c r="E27" i="2"/>
  <c r="D27" i="2" s="1"/>
  <c r="F27" i="2" s="1"/>
  <c r="E28" i="2" l="1"/>
  <c r="D28" i="2" s="1"/>
  <c r="F28" i="2" s="1"/>
  <c r="N30" i="2"/>
  <c r="M30" i="2"/>
  <c r="K30" i="2" s="1"/>
  <c r="E29" i="2" l="1"/>
  <c r="D29" i="2" s="1"/>
  <c r="F29" i="2" s="1"/>
  <c r="N31" i="2"/>
  <c r="M31" i="2"/>
  <c r="K31" i="2" s="1"/>
  <c r="E30" i="2" l="1"/>
  <c r="D30" i="2" s="1"/>
  <c r="F30" i="2" s="1"/>
  <c r="N32" i="2"/>
  <c r="M32" i="2"/>
  <c r="K32" i="2" s="1"/>
  <c r="E31" i="2" l="1"/>
  <c r="D31" i="2" s="1"/>
  <c r="F31" i="2" s="1"/>
  <c r="N33" i="2"/>
  <c r="M33" i="2"/>
  <c r="K33" i="2" s="1"/>
  <c r="E32" i="2" l="1"/>
  <c r="D32" i="2" s="1"/>
  <c r="F32" i="2" s="1"/>
  <c r="N34" i="2"/>
  <c r="M34" i="2"/>
  <c r="K34" i="2" s="1"/>
  <c r="E33" i="2" l="1"/>
  <c r="D33" i="2" s="1"/>
  <c r="F33" i="2" s="1"/>
  <c r="N35" i="2"/>
  <c r="M35" i="2"/>
  <c r="K35" i="2" s="1"/>
  <c r="E34" i="2" l="1"/>
  <c r="D34" i="2" s="1"/>
  <c r="F34" i="2" s="1"/>
  <c r="N36" i="2"/>
  <c r="M36" i="2"/>
  <c r="K36" i="2" s="1"/>
  <c r="E35" i="2" l="1"/>
  <c r="D35" i="2" s="1"/>
  <c r="F35" i="2" s="1"/>
  <c r="N37" i="2"/>
  <c r="M37" i="2"/>
  <c r="K37" i="2" s="1"/>
  <c r="E36" i="2" l="1"/>
  <c r="D36" i="2" s="1"/>
  <c r="F36" i="2" s="1"/>
  <c r="N38" i="2"/>
  <c r="M38" i="2"/>
  <c r="K38" i="2" s="1"/>
  <c r="E37" i="2" l="1"/>
  <c r="D37" i="2" s="1"/>
  <c r="F37" i="2" s="1"/>
  <c r="N39" i="2"/>
  <c r="M39" i="2"/>
  <c r="K39" i="2" s="1"/>
  <c r="E38" i="2" l="1"/>
  <c r="D38" i="2" s="1"/>
  <c r="F38" i="2" s="1"/>
  <c r="N40" i="2"/>
  <c r="M40" i="2"/>
  <c r="K40" i="2" s="1"/>
  <c r="F39" i="2" l="1"/>
  <c r="E39" i="2"/>
  <c r="D39" i="2" s="1"/>
  <c r="N41" i="2"/>
  <c r="M41" i="2"/>
  <c r="K41" i="2" s="1"/>
  <c r="E40" i="2" l="1"/>
  <c r="D40" i="2" s="1"/>
  <c r="F40" i="2" s="1"/>
  <c r="N42" i="2"/>
  <c r="M42" i="2"/>
  <c r="K42" i="2" s="1"/>
  <c r="E41" i="2" l="1"/>
  <c r="D41" i="2" s="1"/>
  <c r="F41" i="2" s="1"/>
  <c r="N43" i="2"/>
  <c r="M43" i="2"/>
  <c r="K43" i="2" s="1"/>
  <c r="E42" i="2" l="1"/>
  <c r="D42" i="2" s="1"/>
  <c r="F42" i="2" s="1"/>
  <c r="N44" i="2"/>
  <c r="M44" i="2"/>
  <c r="K44" i="2" s="1"/>
  <c r="E43" i="2" l="1"/>
  <c r="D43" i="2" s="1"/>
  <c r="F43" i="2" s="1"/>
  <c r="N45" i="2"/>
  <c r="M45" i="2"/>
  <c r="K45" i="2" s="1"/>
  <c r="E44" i="2" l="1"/>
  <c r="D44" i="2" s="1"/>
  <c r="F44" i="2" s="1"/>
  <c r="M46" i="2"/>
  <c r="L46" i="2"/>
  <c r="K46" i="2" s="1"/>
  <c r="E45" i="2" l="1"/>
  <c r="D45" i="2" s="1"/>
  <c r="F45" i="2" s="1"/>
  <c r="N46" i="2"/>
  <c r="E46" i="2" l="1"/>
  <c r="C46" i="2"/>
  <c r="D46" i="2" s="1"/>
  <c r="F46" i="2" s="1"/>
  <c r="L47" i="2"/>
  <c r="N47" i="2" s="1"/>
  <c r="M47" i="2"/>
  <c r="M48" i="2" l="1"/>
  <c r="C47" i="2"/>
  <c r="E47" i="2"/>
  <c r="L52" i="2"/>
  <c r="L49" i="2"/>
  <c r="L50" i="2"/>
  <c r="L51" i="2"/>
  <c r="L48" i="2"/>
  <c r="K48" i="2" s="1"/>
  <c r="K47" i="2"/>
  <c r="D47" i="2" l="1"/>
  <c r="F47" i="2" s="1"/>
  <c r="C52" i="2"/>
  <c r="C51" i="2"/>
  <c r="C50" i="2"/>
  <c r="C49" i="2"/>
  <c r="C48" i="2"/>
  <c r="N48" i="2"/>
  <c r="E48" i="2" l="1"/>
  <c r="D48" i="2" s="1"/>
  <c r="F48" i="2" s="1"/>
  <c r="N49" i="2"/>
  <c r="M49" i="2"/>
  <c r="K49" i="2" s="1"/>
  <c r="E49" i="2" l="1"/>
  <c r="D49" i="2" s="1"/>
  <c r="F49" i="2" s="1"/>
  <c r="N50" i="2"/>
  <c r="M50" i="2"/>
  <c r="K50" i="2" s="1"/>
  <c r="E50" i="2" l="1"/>
  <c r="D50" i="2" s="1"/>
  <c r="F50" i="2" s="1"/>
  <c r="N51" i="2"/>
  <c r="M51" i="2"/>
  <c r="K51" i="2" s="1"/>
  <c r="E51" i="2" l="1"/>
  <c r="D51" i="2" s="1"/>
  <c r="F51" i="2" s="1"/>
  <c r="N52" i="2"/>
  <c r="M52" i="2"/>
  <c r="E52" i="2" l="1"/>
  <c r="M53" i="2"/>
  <c r="K52" i="2"/>
  <c r="E53" i="2" l="1"/>
  <c r="D52" i="2"/>
  <c r="F52" i="2" s="1"/>
</calcChain>
</file>

<file path=xl/sharedStrings.xml><?xml version="1.0" encoding="utf-8"?>
<sst xmlns="http://schemas.openxmlformats.org/spreadsheetml/2006/main" count="105" uniqueCount="63">
  <si>
    <t>VP</t>
  </si>
  <si>
    <t>n</t>
  </si>
  <si>
    <t>meses</t>
  </si>
  <si>
    <t>bimestres</t>
  </si>
  <si>
    <t>Cuotas</t>
  </si>
  <si>
    <t>???</t>
  </si>
  <si>
    <t>bimestrales</t>
  </si>
  <si>
    <t>i</t>
  </si>
  <si>
    <t>efectiva anual</t>
  </si>
  <si>
    <t>bimestral</t>
  </si>
  <si>
    <t>i2 = ((1+ i1)^(n1/n2))-1</t>
  </si>
  <si>
    <t>Abono</t>
  </si>
  <si>
    <t>del saldo</t>
  </si>
  <si>
    <t>nAbono</t>
  </si>
  <si>
    <t>Frances</t>
  </si>
  <si>
    <t>Aleman</t>
  </si>
  <si>
    <t>Periodo (bimestral)</t>
  </si>
  <si>
    <t>Cuota</t>
  </si>
  <si>
    <t>Capital</t>
  </si>
  <si>
    <t>Interés</t>
  </si>
  <si>
    <t>Saldo</t>
  </si>
  <si>
    <t>Abono 30%</t>
  </si>
  <si>
    <t>Costo de la deuda</t>
  </si>
  <si>
    <t>Directo</t>
  </si>
  <si>
    <t>1. Martha Lucia se encuentra montando una empresa productora de software, para lo cual desea comprar una serie de equipos para la empresa, estos tienen un costo de $95.000.000, para esto realiza un crédito bancario el cual se amortiza durante 60 meses, en pagos bimestrales, con una tasa de interés del 9,58%, pero realiza un abono en el mes 48, correspondiente al 30% del saldo a dicho periodo. Construir el plan de pagos o amortización mediante los tres métodos vistos en clase y mediante un análisis de los resultados seleccionar el tipo de amortización a contratar, tomando como base el de menor costo.</t>
  </si>
  <si>
    <t>nTotal</t>
  </si>
  <si>
    <t>años</t>
  </si>
  <si>
    <t>mensual</t>
  </si>
  <si>
    <t xml:space="preserve">2. Un Señor ha decidido crear un fondo para su retiro, el cual estima será en aproximadamente 25 años. Realizará depósitos al final de cada mes por $250.000 durante los primeros 5 años. Los posteriores 7 años llevará a cabo el mismo procedimiento, solo que ahora depositará $370.000 y los restantes 13 años establecerá una cuota mensual de $500.000. Se pide calcular el Valor Futuro de esta anualidad ordinaria considerando las siguientes tasas:
a.- Para los primeros 5 años se pacta una tasa del 8,25% nominal, con capitalizaciones cada 19 días.
b.- Los siguientes 7 años se incrementa la tasa al 13,35% nominal, solo que la capitalización se estipula cada 48 días.
c.- Los restantes 13 años fijan la tasa del 10,5%, con capitalización cada 25 días.
</t>
  </si>
  <si>
    <t>Analizar la contratación del credito</t>
  </si>
  <si>
    <t>Costo metodo Frances</t>
  </si>
  <si>
    <t>Costo metodo Aleman</t>
  </si>
  <si>
    <t>Costo metodo Directo</t>
  </si>
  <si>
    <t xml:space="preserve">Teniendo en cuenta el análisis de contratación de credito, el tipo de amortización a contratar es el Aleman, ya que es el de menor costo. </t>
  </si>
  <si>
    <t>RP</t>
  </si>
  <si>
    <t>ipv = inv / n</t>
  </si>
  <si>
    <t>VF1</t>
  </si>
  <si>
    <t>Valor Actualizado</t>
  </si>
  <si>
    <t>Valor Ahorrado</t>
  </si>
  <si>
    <t>VF2</t>
  </si>
  <si>
    <t>VF3</t>
  </si>
  <si>
    <t>VF = VP * (1 + i)^n</t>
  </si>
  <si>
    <t>0 - 5 años</t>
  </si>
  <si>
    <t>5 - 12 años</t>
  </si>
  <si>
    <t>12 - 25 años</t>
  </si>
  <si>
    <t>nominal 19 días</t>
  </si>
  <si>
    <t>periodica 19 días</t>
  </si>
  <si>
    <t>periodica mensual</t>
  </si>
  <si>
    <t>nominal 48 días</t>
  </si>
  <si>
    <t>periodica 48 días</t>
  </si>
  <si>
    <t>nominal 25 días</t>
  </si>
  <si>
    <t>periodica 25 días</t>
  </si>
  <si>
    <t>5 Años</t>
  </si>
  <si>
    <t>12 Años</t>
  </si>
  <si>
    <t>25 Años</t>
  </si>
  <si>
    <t>5. Una deuda vencida el día de hoy por un valor de $95.500.000 será saldada mediante tres pagos de iguales valor a los 12, 24 y 36 meses respectivamente. Si la tasa de interés es del 0,89% mensual ¿Cuál es el valor de los tres pagos?</t>
  </si>
  <si>
    <t>VP = VF/(1+i)^n</t>
  </si>
  <si>
    <t xml:space="preserve">$95.500.000 = X/((100%+0,89%)^12) + X/((100%+0,89%)^24) +X/((100%+0,89%)^36) </t>
  </si>
  <si>
    <t>[1/((1,0089)^12) + 1/((1,0089)^24) +1/((1,0089)^36]</t>
  </si>
  <si>
    <t>X</t>
  </si>
  <si>
    <t>$95.500.000 = X [1/((1,0089)^12) + 1/((1,0089)^24) +1/((1,0089)^36]</t>
  </si>
  <si>
    <r>
      <t xml:space="preserve">El valor de los tres pagos es de </t>
    </r>
    <r>
      <rPr>
        <b/>
        <sz val="11"/>
        <color theme="1"/>
        <rFont val="Calibri"/>
        <family val="2"/>
        <scheme val="minor"/>
      </rPr>
      <t>$ 39.228.521,46</t>
    </r>
  </si>
  <si>
    <r>
      <t xml:space="preserve">El valor futuro de esta anualidad ordinaria es de </t>
    </r>
    <r>
      <rPr>
        <b/>
        <sz val="14"/>
        <color theme="1"/>
        <rFont val="Calibri"/>
        <family val="2"/>
        <scheme val="minor"/>
      </rPr>
      <t>$ 545.639.015,46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</si>
</sst>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.00_-;\-&quot;$&quot;\ * #,##0.00_-;_-&quot;$&quot;\ * &quot;-&quot;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9" xfId="0" applyBorder="1" applyAlignment="1">
      <alignment horizontal="center"/>
    </xf>
    <xf numFmtId="164" fontId="0" fillId="0" borderId="3" xfId="1" applyNumberFormat="1" applyFont="1" applyBorder="1"/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10" fontId="0" fillId="0" borderId="9" xfId="2" applyNumberFormat="1" applyFont="1" applyBorder="1"/>
    <xf numFmtId="9" fontId="0" fillId="0" borderId="9" xfId="2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3" xfId="0" applyFont="1" applyBorder="1" applyAlignment="1">
      <alignment horizontal="center" vertical="center" wrapText="1" readingOrder="1"/>
    </xf>
    <xf numFmtId="0" fontId="3" fillId="0" borderId="14" xfId="0" applyFont="1" applyBorder="1" applyAlignment="1">
      <alignment horizontal="center" vertical="center" wrapText="1" readingOrder="1"/>
    </xf>
    <xf numFmtId="0" fontId="0" fillId="0" borderId="5" xfId="0" applyBorder="1"/>
    <xf numFmtId="0" fontId="4" fillId="0" borderId="13" xfId="0" applyFont="1" applyBorder="1" applyAlignment="1">
      <alignment horizontal="right" vertical="center" wrapText="1" readingOrder="1"/>
    </xf>
    <xf numFmtId="164" fontId="4" fillId="0" borderId="13" xfId="0" applyNumberFormat="1" applyFont="1" applyBorder="1" applyAlignment="1">
      <alignment horizontal="right" vertical="center" wrapText="1" readingOrder="1"/>
    </xf>
    <xf numFmtId="8" fontId="4" fillId="0" borderId="13" xfId="0" applyNumberFormat="1" applyFont="1" applyBorder="1" applyAlignment="1">
      <alignment horizontal="right" vertical="center" wrapText="1" readingOrder="1"/>
    </xf>
    <xf numFmtId="0" fontId="0" fillId="2" borderId="4" xfId="0" applyFill="1" applyBorder="1"/>
    <xf numFmtId="164" fontId="4" fillId="0" borderId="13" xfId="1" applyNumberFormat="1" applyFont="1" applyBorder="1" applyAlignment="1">
      <alignment horizontal="right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8" fontId="4" fillId="0" borderId="15" xfId="0" applyNumberFormat="1" applyFont="1" applyBorder="1" applyAlignment="1">
      <alignment horizontal="right" vertical="center" wrapText="1" readingOrder="1"/>
    </xf>
    <xf numFmtId="0" fontId="0" fillId="0" borderId="6" xfId="0" applyBorder="1"/>
    <xf numFmtId="0" fontId="3" fillId="0" borderId="7" xfId="0" applyFont="1" applyBorder="1" applyAlignment="1">
      <alignment horizontal="center" vertical="center" wrapText="1" readingOrder="1"/>
    </xf>
    <xf numFmtId="8" fontId="4" fillId="0" borderId="7" xfId="0" applyNumberFormat="1" applyFont="1" applyBorder="1" applyAlignment="1">
      <alignment horizontal="right" vertical="center" wrapText="1" readingOrder="1"/>
    </xf>
    <xf numFmtId="8" fontId="4" fillId="0" borderId="9" xfId="0" applyNumberFormat="1" applyFont="1" applyBorder="1" applyAlignment="1">
      <alignment horizontal="right" vertical="center" wrapText="1" readingOrder="1"/>
    </xf>
    <xf numFmtId="0" fontId="0" fillId="0" borderId="8" xfId="0" applyBorder="1"/>
    <xf numFmtId="0" fontId="0" fillId="0" borderId="0" xfId="0" applyAlignment="1">
      <alignment vertical="center" wrapText="1"/>
    </xf>
    <xf numFmtId="0" fontId="0" fillId="0" borderId="7" xfId="0" applyBorder="1"/>
    <xf numFmtId="164" fontId="7" fillId="0" borderId="10" xfId="1" applyNumberFormat="1" applyFont="1" applyBorder="1"/>
    <xf numFmtId="164" fontId="8" fillId="0" borderId="10" xfId="0" applyNumberFormat="1" applyFont="1" applyBorder="1"/>
    <xf numFmtId="164" fontId="0" fillId="3" borderId="9" xfId="1" applyNumberFormat="1" applyFont="1" applyFill="1" applyBorder="1"/>
    <xf numFmtId="8" fontId="4" fillId="3" borderId="11" xfId="0" applyNumberFormat="1" applyFont="1" applyFill="1" applyBorder="1" applyAlignment="1">
      <alignment horizontal="right" vertical="center" wrapText="1" readingOrder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10" fontId="0" fillId="0" borderId="0" xfId="2" applyNumberFormat="1" applyFont="1" applyBorder="1"/>
    <xf numFmtId="164" fontId="0" fillId="0" borderId="9" xfId="1" applyNumberFormat="1" applyFont="1" applyBorder="1"/>
    <xf numFmtId="10" fontId="0" fillId="0" borderId="2" xfId="0" applyNumberFormat="1" applyBorder="1"/>
    <xf numFmtId="10" fontId="0" fillId="0" borderId="7" xfId="2" applyNumberFormat="1" applyFont="1" applyBorder="1"/>
    <xf numFmtId="0" fontId="5" fillId="0" borderId="9" xfId="0" applyFont="1" applyBorder="1" applyAlignment="1">
      <alignment horizontal="center"/>
    </xf>
    <xf numFmtId="164" fontId="5" fillId="0" borderId="12" xfId="1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44" fontId="5" fillId="0" borderId="11" xfId="0" applyNumberFormat="1" applyFont="1" applyBorder="1" applyAlignment="1">
      <alignment horizontal="center"/>
    </xf>
    <xf numFmtId="0" fontId="0" fillId="0" borderId="10" xfId="0" applyBorder="1" applyAlignment="1">
      <alignment horizontal="right"/>
    </xf>
    <xf numFmtId="164" fontId="6" fillId="3" borderId="10" xfId="0" applyNumberFormat="1" applyFont="1" applyFill="1" applyBorder="1"/>
    <xf numFmtId="44" fontId="9" fillId="3" borderId="11" xfId="0" applyNumberFormat="1" applyFont="1" applyFill="1" applyBorder="1" applyAlignment="1">
      <alignment horizontal="center"/>
    </xf>
    <xf numFmtId="164" fontId="2" fillId="3" borderId="10" xfId="1" applyNumberFormat="1" applyFont="1" applyFill="1" applyBorder="1"/>
    <xf numFmtId="0" fontId="10" fillId="0" borderId="3" xfId="0" applyFont="1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16</xdr:row>
      <xdr:rowOff>38099</xdr:rowOff>
    </xdr:from>
    <xdr:to>
      <xdr:col>5</xdr:col>
      <xdr:colOff>501194</xdr:colOff>
      <xdr:row>18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B3E751-2BBB-4BC5-8A16-8479A3946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3086099"/>
          <a:ext cx="1596569" cy="5238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44</xdr:row>
      <xdr:rowOff>38100</xdr:rowOff>
    </xdr:from>
    <xdr:to>
      <xdr:col>7</xdr:col>
      <xdr:colOff>190500</xdr:colOff>
      <xdr:row>46</xdr:row>
      <xdr:rowOff>66229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0A1F81-D9FA-4073-A6B7-029399A85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8848725"/>
          <a:ext cx="1304925" cy="428179"/>
        </a:xfrm>
        <a:prstGeom prst="rect">
          <a:avLst/>
        </a:prstGeom>
      </xdr:spPr>
    </xdr:pic>
    <xdr:clientData/>
  </xdr:twoCellAnchor>
  <xdr:oneCellAnchor>
    <xdr:from>
      <xdr:col>9</xdr:col>
      <xdr:colOff>66675</xdr:colOff>
      <xdr:row>79</xdr:row>
      <xdr:rowOff>57150</xdr:rowOff>
    </xdr:from>
    <xdr:ext cx="1304925" cy="428179"/>
    <xdr:pic>
      <xdr:nvPicPr>
        <xdr:cNvPr id="4" name="Imagen 3">
          <a:extLst>
            <a:ext uri="{FF2B5EF4-FFF2-40B4-BE49-F238E27FC236}">
              <a16:creationId xmlns:a16="http://schemas.microsoft.com/office/drawing/2014/main" id="{70036544-3D39-4159-9A98-CD578619E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8375" y="16040100"/>
          <a:ext cx="1304925" cy="42817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22</xdr:row>
      <xdr:rowOff>66675</xdr:rowOff>
    </xdr:from>
    <xdr:to>
      <xdr:col>12</xdr:col>
      <xdr:colOff>552450</xdr:colOff>
      <xdr:row>24</xdr:row>
      <xdr:rowOff>200025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98F6A7B8-EC9F-4272-B3A1-60FA2C6927A4}"/>
                </a:ext>
              </a:extLst>
            </xdr:cNvPr>
            <xdr:cNvSpPr/>
          </xdr:nvSpPr>
          <xdr:spPr>
            <a:xfrm>
              <a:off x="12839701" y="4829175"/>
              <a:ext cx="2524124" cy="552450"/>
            </a:xfrm>
            <a:prstGeom prst="rect">
              <a:avLst/>
            </a:prstGeom>
            <a:solidFill>
              <a:schemeClr val="accent3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_trad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2000" b="1">
                  <a:latin typeface="Arial" panose="020B0604020202020204" pitchFamily="34" charset="0"/>
                  <a:cs typeface="Arial" panose="020B0604020202020204" pitchFamily="34" charset="0"/>
                </a:rPr>
                <a:t>VF = RP </a:t>
              </a:r>
              <a14:m>
                <m:oMath xmlns:m="http://schemas.openxmlformats.org/officeDocument/2006/math">
                  <m:f>
                    <m:fPr>
                      <m:ctrlPr>
                        <a:rPr lang="es-CO" sz="20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2000" b="1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CO" sz="2000" b="1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s-CO" sz="2000" b="1" i="1">
                              <a:latin typeface="Cambria Math" panose="02040503050406030204" pitchFamily="18" charset="0"/>
                            </a:rPr>
                            <m:t>𝟏</m:t>
                          </m:r>
                          <m:r>
                            <a:rPr lang="es-CO" sz="2000" b="1" i="1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es-CO" sz="2000" b="1" i="1">
                              <a:latin typeface="Cambria Math" panose="02040503050406030204" pitchFamily="18" charset="0"/>
                            </a:rPr>
                            <m:t>𝒊</m:t>
                          </m:r>
                          <m:r>
                            <a:rPr lang="es-CO" sz="2000" b="1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lang="es-CO" sz="2000" b="1" i="1">
                              <a:latin typeface="Cambria Math" panose="02040503050406030204" pitchFamily="18" charset="0"/>
                            </a:rPr>
                            <m:t>𝒏</m:t>
                          </m:r>
                        </m:sup>
                      </m:sSup>
                      <m:r>
                        <a:rPr lang="es-CO" sz="20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s-CO" sz="2000" b="1" i="1">
                          <a:latin typeface="Cambria Math" panose="02040503050406030204" pitchFamily="18" charset="0"/>
                        </a:rPr>
                        <m:t>𝟏</m:t>
                      </m:r>
                    </m:num>
                    <m:den>
                      <m:r>
                        <a:rPr lang="es-CO" sz="2000" b="1" i="1">
                          <a:latin typeface="Cambria Math" panose="02040503050406030204" pitchFamily="18" charset="0"/>
                        </a:rPr>
                        <m:t>𝒊</m:t>
                      </m:r>
                    </m:den>
                  </m:f>
                </m:oMath>
              </a14:m>
              <a:endParaRPr lang="es-CO" sz="2000" b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98F6A7B8-EC9F-4272-B3A1-60FA2C6927A4}"/>
                </a:ext>
              </a:extLst>
            </xdr:cNvPr>
            <xdr:cNvSpPr/>
          </xdr:nvSpPr>
          <xdr:spPr>
            <a:xfrm>
              <a:off x="12839701" y="4829175"/>
              <a:ext cx="2524124" cy="552450"/>
            </a:xfrm>
            <a:prstGeom prst="rect">
              <a:avLst/>
            </a:prstGeom>
            <a:solidFill>
              <a:schemeClr val="accent3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_trad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2000" b="1">
                  <a:latin typeface="Arial" panose="020B0604020202020204" pitchFamily="34" charset="0"/>
                  <a:cs typeface="Arial" panose="020B0604020202020204" pitchFamily="34" charset="0"/>
                </a:rPr>
                <a:t>VF = RP </a:t>
              </a:r>
              <a:r>
                <a:rPr lang="es-CO" sz="2000" b="1" i="0">
                  <a:latin typeface="Cambria Math" panose="02040503050406030204" pitchFamily="18" charset="0"/>
                </a:rPr>
                <a:t>(〖(𝟏+𝒊)〗^𝒏−𝟏)/𝒊</a:t>
              </a:r>
              <a:endParaRPr lang="es-CO" sz="2000" b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4769-04D4-4C27-9FF6-9553BE7B7A46}">
  <dimension ref="A2:O88"/>
  <sheetViews>
    <sheetView tabSelected="1" topLeftCell="A4" workbookViewId="0">
      <selection activeCell="I11" sqref="I11"/>
    </sheetView>
  </sheetViews>
  <sheetFormatPr baseColWidth="10" defaultRowHeight="15" x14ac:dyDescent="0.25"/>
  <cols>
    <col min="2" max="2" width="15.7109375" bestFit="1" customWidth="1"/>
    <col min="3" max="3" width="17.5703125" customWidth="1"/>
    <col min="4" max="4" width="17.7109375" bestFit="1" customWidth="1"/>
    <col min="5" max="5" width="16.85546875" customWidth="1"/>
    <col min="6" max="6" width="19.140625" customWidth="1"/>
    <col min="7" max="7" width="16.85546875" customWidth="1"/>
    <col min="8" max="8" width="14.7109375" customWidth="1"/>
    <col min="9" max="9" width="16.85546875" customWidth="1"/>
    <col min="11" max="11" width="17.7109375" customWidth="1"/>
    <col min="12" max="12" width="16.85546875" bestFit="1" customWidth="1"/>
    <col min="13" max="13" width="36.42578125" bestFit="1" customWidth="1"/>
    <col min="14" max="14" width="17.42578125" bestFit="1" customWidth="1"/>
    <col min="15" max="15" width="11.42578125" customWidth="1"/>
  </cols>
  <sheetData>
    <row r="2" spans="1:14" x14ac:dyDescent="0.25">
      <c r="B2" s="54" t="s">
        <v>24</v>
      </c>
      <c r="C2" s="55"/>
      <c r="D2" s="55"/>
      <c r="E2" s="55"/>
      <c r="F2" s="55"/>
      <c r="G2" s="55"/>
      <c r="H2" s="55"/>
      <c r="I2" s="55"/>
      <c r="J2" s="56"/>
    </row>
    <row r="3" spans="1:14" x14ac:dyDescent="0.25">
      <c r="B3" s="57"/>
      <c r="C3" s="58"/>
      <c r="D3" s="58"/>
      <c r="E3" s="58"/>
      <c r="F3" s="58"/>
      <c r="G3" s="58"/>
      <c r="H3" s="58"/>
      <c r="I3" s="58"/>
      <c r="J3" s="59"/>
    </row>
    <row r="4" spans="1:14" x14ac:dyDescent="0.25">
      <c r="B4" s="57"/>
      <c r="C4" s="58"/>
      <c r="D4" s="58"/>
      <c r="E4" s="58"/>
      <c r="F4" s="58"/>
      <c r="G4" s="58"/>
      <c r="H4" s="58"/>
      <c r="I4" s="58"/>
      <c r="J4" s="59"/>
    </row>
    <row r="5" spans="1:14" x14ac:dyDescent="0.25">
      <c r="B5" s="57"/>
      <c r="C5" s="58"/>
      <c r="D5" s="58"/>
      <c r="E5" s="58"/>
      <c r="F5" s="58"/>
      <c r="G5" s="58"/>
      <c r="H5" s="58"/>
      <c r="I5" s="58"/>
      <c r="J5" s="59"/>
    </row>
    <row r="6" spans="1:14" x14ac:dyDescent="0.25">
      <c r="B6" s="57"/>
      <c r="C6" s="58"/>
      <c r="D6" s="58"/>
      <c r="E6" s="58"/>
      <c r="F6" s="58"/>
      <c r="G6" s="58"/>
      <c r="H6" s="58"/>
      <c r="I6" s="58"/>
      <c r="J6" s="59"/>
    </row>
    <row r="7" spans="1:14" x14ac:dyDescent="0.25">
      <c r="B7" s="57"/>
      <c r="C7" s="58"/>
      <c r="D7" s="58"/>
      <c r="E7" s="58"/>
      <c r="F7" s="58"/>
      <c r="G7" s="58"/>
      <c r="H7" s="58"/>
      <c r="I7" s="58"/>
      <c r="J7" s="59"/>
    </row>
    <row r="8" spans="1:14" x14ac:dyDescent="0.25">
      <c r="B8" s="60"/>
      <c r="C8" s="61"/>
      <c r="D8" s="61"/>
      <c r="E8" s="61"/>
      <c r="F8" s="61"/>
      <c r="G8" s="61"/>
      <c r="H8" s="61"/>
      <c r="I8" s="61"/>
      <c r="J8" s="62"/>
      <c r="L8" s="78" t="s">
        <v>29</v>
      </c>
      <c r="M8" s="79"/>
      <c r="N8" s="80"/>
    </row>
    <row r="9" spans="1:14" x14ac:dyDescent="0.25">
      <c r="L9" s="68" t="s">
        <v>30</v>
      </c>
      <c r="M9" s="68"/>
      <c r="N9" s="31">
        <f>E53</f>
        <v>23857388.684945356</v>
      </c>
    </row>
    <row r="10" spans="1:14" x14ac:dyDescent="0.25">
      <c r="A10" s="1" t="s">
        <v>0</v>
      </c>
      <c r="B10" s="2">
        <f>95000000</f>
        <v>95000000</v>
      </c>
      <c r="L10" s="68" t="s">
        <v>31</v>
      </c>
      <c r="M10" s="68"/>
      <c r="N10" s="49">
        <f>M53</f>
        <v>22266304.121902358</v>
      </c>
    </row>
    <row r="11" spans="1:14" x14ac:dyDescent="0.25">
      <c r="A11" s="3" t="s">
        <v>1</v>
      </c>
      <c r="B11" s="4">
        <f>60</f>
        <v>60</v>
      </c>
      <c r="C11" s="5" t="s">
        <v>2</v>
      </c>
      <c r="D11" s="4">
        <f>B11/2</f>
        <v>30</v>
      </c>
      <c r="E11" s="5" t="s">
        <v>3</v>
      </c>
      <c r="L11" s="68" t="s">
        <v>32</v>
      </c>
      <c r="M11" s="68"/>
      <c r="N11" s="32">
        <f>H88</f>
        <v>36169060.382873856</v>
      </c>
    </row>
    <row r="12" spans="1:14" x14ac:dyDescent="0.25">
      <c r="A12" s="3" t="s">
        <v>4</v>
      </c>
      <c r="B12" s="1" t="s">
        <v>5</v>
      </c>
      <c r="C12" s="6" t="s">
        <v>6</v>
      </c>
      <c r="L12" s="69" t="s">
        <v>33</v>
      </c>
      <c r="M12" s="70"/>
      <c r="N12" s="71"/>
    </row>
    <row r="13" spans="1:14" x14ac:dyDescent="0.25">
      <c r="A13" s="3" t="s">
        <v>7</v>
      </c>
      <c r="B13" s="7">
        <f>9.58%</f>
        <v>9.5799999999999996E-2</v>
      </c>
      <c r="C13" s="5" t="s">
        <v>8</v>
      </c>
      <c r="D13" s="7">
        <f>((1+B13)^(1/6))-1</f>
        <v>1.5364283752973051E-2</v>
      </c>
      <c r="E13" s="5" t="s">
        <v>9</v>
      </c>
      <c r="F13" s="63" t="s">
        <v>10</v>
      </c>
      <c r="G13" s="64"/>
      <c r="L13" s="72"/>
      <c r="M13" s="73"/>
      <c r="N13" s="74"/>
    </row>
    <row r="14" spans="1:14" x14ac:dyDescent="0.25">
      <c r="L14" s="72"/>
      <c r="M14" s="73"/>
      <c r="N14" s="74"/>
    </row>
    <row r="15" spans="1:14" x14ac:dyDescent="0.25">
      <c r="A15" s="3" t="s">
        <v>11</v>
      </c>
      <c r="B15" s="8">
        <f>30%</f>
        <v>0.3</v>
      </c>
      <c r="C15" s="5" t="s">
        <v>12</v>
      </c>
      <c r="L15" s="72"/>
      <c r="M15" s="73"/>
      <c r="N15" s="74"/>
    </row>
    <row r="16" spans="1:14" x14ac:dyDescent="0.25">
      <c r="A16" s="3" t="s">
        <v>13</v>
      </c>
      <c r="B16" s="4">
        <v>48</v>
      </c>
      <c r="C16" s="5" t="s">
        <v>2</v>
      </c>
      <c r="D16" s="4">
        <f>B16/2</f>
        <v>24</v>
      </c>
      <c r="E16" s="5" t="s">
        <v>3</v>
      </c>
      <c r="L16" s="75"/>
      <c r="M16" s="76"/>
      <c r="N16" s="77"/>
    </row>
    <row r="18" spans="1:15" x14ac:dyDescent="0.25">
      <c r="B18" s="3" t="s">
        <v>4</v>
      </c>
      <c r="C18" s="33">
        <f>(B10*D13)/(1-((1+D13)^(-D11)))</f>
        <v>3976180.2478870437</v>
      </c>
      <c r="D18" s="5" t="s">
        <v>6</v>
      </c>
    </row>
    <row r="20" spans="1:15" ht="15.75" thickBot="1" x14ac:dyDescent="0.3">
      <c r="A20" s="9"/>
      <c r="B20" s="10"/>
      <c r="C20" s="65" t="s">
        <v>14</v>
      </c>
      <c r="D20" s="66"/>
      <c r="E20" s="67"/>
      <c r="F20" s="10"/>
      <c r="G20" s="11"/>
      <c r="I20" s="9"/>
      <c r="J20" s="10"/>
      <c r="K20" s="65" t="s">
        <v>15</v>
      </c>
      <c r="L20" s="66"/>
      <c r="M20" s="67"/>
      <c r="N20" s="10"/>
      <c r="O20" s="11"/>
    </row>
    <row r="21" spans="1:15" ht="30.75" thickBot="1" x14ac:dyDescent="0.3">
      <c r="A21" s="12"/>
      <c r="B21" s="13" t="s">
        <v>16</v>
      </c>
      <c r="C21" s="14" t="s">
        <v>17</v>
      </c>
      <c r="D21" s="14" t="s">
        <v>18</v>
      </c>
      <c r="E21" s="14" t="s">
        <v>19</v>
      </c>
      <c r="F21" s="13" t="s">
        <v>20</v>
      </c>
      <c r="G21" s="15"/>
      <c r="I21" s="12"/>
      <c r="J21" s="13" t="s">
        <v>16</v>
      </c>
      <c r="K21" s="14" t="s">
        <v>17</v>
      </c>
      <c r="L21" s="14" t="s">
        <v>18</v>
      </c>
      <c r="M21" s="14" t="s">
        <v>19</v>
      </c>
      <c r="N21" s="13" t="s">
        <v>20</v>
      </c>
      <c r="O21" s="15"/>
    </row>
    <row r="22" spans="1:15" ht="15.75" thickBot="1" x14ac:dyDescent="0.3">
      <c r="A22" s="12"/>
      <c r="B22" s="13">
        <v>0</v>
      </c>
      <c r="C22" s="16"/>
      <c r="D22" s="16"/>
      <c r="E22" s="16"/>
      <c r="F22" s="17">
        <f>B10</f>
        <v>95000000</v>
      </c>
      <c r="G22" s="15"/>
      <c r="I22" s="12"/>
      <c r="J22" s="13">
        <v>0</v>
      </c>
      <c r="K22" s="16"/>
      <c r="L22" s="16"/>
      <c r="M22" s="16"/>
      <c r="N22" s="17">
        <f>B10</f>
        <v>95000000</v>
      </c>
      <c r="O22" s="15"/>
    </row>
    <row r="23" spans="1:15" ht="15.75" thickBot="1" x14ac:dyDescent="0.3">
      <c r="A23" s="12"/>
      <c r="B23" s="13">
        <v>1</v>
      </c>
      <c r="C23" s="17">
        <f>$C$18</f>
        <v>3976180.2478870437</v>
      </c>
      <c r="D23" s="18">
        <f>C23-E23</f>
        <v>2516573.2913546041</v>
      </c>
      <c r="E23" s="18">
        <f>$D$13*F22</f>
        <v>1459606.9565324399</v>
      </c>
      <c r="F23" s="18">
        <f>F22-D23</f>
        <v>92483426.708645403</v>
      </c>
      <c r="G23" s="15"/>
      <c r="I23" s="12"/>
      <c r="J23" s="13">
        <v>1</v>
      </c>
      <c r="K23" s="17">
        <f>L23+M23</f>
        <v>4626273.6231991062</v>
      </c>
      <c r="L23" s="18">
        <f>N22/D11</f>
        <v>3166666.6666666665</v>
      </c>
      <c r="M23" s="18">
        <f>$D$13*N22</f>
        <v>1459606.9565324399</v>
      </c>
      <c r="N23" s="18">
        <f>N22-L23</f>
        <v>91833333.333333328</v>
      </c>
      <c r="O23" s="15"/>
    </row>
    <row r="24" spans="1:15" ht="15.75" thickBot="1" x14ac:dyDescent="0.3">
      <c r="A24" s="12"/>
      <c r="B24" s="13">
        <v>2</v>
      </c>
      <c r="C24" s="17">
        <f t="shared" ref="C24:C45" si="0">$C$18</f>
        <v>3976180.2478870437</v>
      </c>
      <c r="D24" s="18">
        <f t="shared" ref="D24:D52" si="1">C24-E24</f>
        <v>2555238.6374881295</v>
      </c>
      <c r="E24" s="18">
        <f t="shared" ref="E24:E52" si="2">$D$13*F23</f>
        <v>1420941.6103989144</v>
      </c>
      <c r="F24" s="18">
        <f t="shared" ref="F24:F52" si="3">F23-D24</f>
        <v>89928188.071157277</v>
      </c>
      <c r="G24" s="15"/>
      <c r="I24" s="12"/>
      <c r="J24" s="13">
        <v>2</v>
      </c>
      <c r="K24" s="17">
        <f t="shared" ref="K24:K52" si="4">L24+M24</f>
        <v>4577620.0579813588</v>
      </c>
      <c r="L24" s="18">
        <f>$L$23</f>
        <v>3166666.6666666665</v>
      </c>
      <c r="M24" s="18">
        <f t="shared" ref="M24:M52" si="5">$D$13*N23</f>
        <v>1410953.3913146919</v>
      </c>
      <c r="N24" s="18">
        <f t="shared" ref="N24:N52" si="6">N23-L24</f>
        <v>88666666.666666657</v>
      </c>
      <c r="O24" s="15"/>
    </row>
    <row r="25" spans="1:15" ht="15.75" thickBot="1" x14ac:dyDescent="0.3">
      <c r="A25" s="12"/>
      <c r="B25" s="13">
        <v>3</v>
      </c>
      <c r="C25" s="17">
        <f t="shared" si="0"/>
        <v>3976180.2478870437</v>
      </c>
      <c r="D25" s="18">
        <f t="shared" si="1"/>
        <v>2594498.0489710569</v>
      </c>
      <c r="E25" s="18">
        <f t="shared" si="2"/>
        <v>1381682.1989159868</v>
      </c>
      <c r="F25" s="18">
        <f t="shared" si="3"/>
        <v>87333690.02218622</v>
      </c>
      <c r="G25" s="15"/>
      <c r="I25" s="12"/>
      <c r="J25" s="13">
        <v>3</v>
      </c>
      <c r="K25" s="17">
        <f t="shared" si="4"/>
        <v>4528966.4927636106</v>
      </c>
      <c r="L25" s="18">
        <f t="shared" ref="L25:L45" si="7">$L$23</f>
        <v>3166666.6666666665</v>
      </c>
      <c r="M25" s="18">
        <f t="shared" si="5"/>
        <v>1362299.8260969438</v>
      </c>
      <c r="N25" s="18">
        <f t="shared" si="6"/>
        <v>85499999.999999985</v>
      </c>
      <c r="O25" s="15"/>
    </row>
    <row r="26" spans="1:15" ht="15.75" thickBot="1" x14ac:dyDescent="0.3">
      <c r="A26" s="12"/>
      <c r="B26" s="13">
        <v>4</v>
      </c>
      <c r="C26" s="17">
        <f t="shared" si="0"/>
        <v>3976180.2478870437</v>
      </c>
      <c r="D26" s="18">
        <f t="shared" si="1"/>
        <v>2634360.6531919832</v>
      </c>
      <c r="E26" s="18">
        <f t="shared" si="2"/>
        <v>1341819.5946950605</v>
      </c>
      <c r="F26" s="18">
        <f t="shared" si="3"/>
        <v>84699329.368994236</v>
      </c>
      <c r="G26" s="15"/>
      <c r="I26" s="12"/>
      <c r="J26" s="13">
        <v>4</v>
      </c>
      <c r="K26" s="17">
        <f t="shared" si="4"/>
        <v>4480312.9275458623</v>
      </c>
      <c r="L26" s="18">
        <f t="shared" si="7"/>
        <v>3166666.6666666665</v>
      </c>
      <c r="M26" s="18">
        <f t="shared" si="5"/>
        <v>1313646.2608791958</v>
      </c>
      <c r="N26" s="18">
        <f t="shared" si="6"/>
        <v>82333333.333333313</v>
      </c>
      <c r="O26" s="15"/>
    </row>
    <row r="27" spans="1:15" ht="15.75" thickBot="1" x14ac:dyDescent="0.3">
      <c r="A27" s="12"/>
      <c r="B27" s="13">
        <v>5</v>
      </c>
      <c r="C27" s="17">
        <f t="shared" si="0"/>
        <v>3976180.2478870437</v>
      </c>
      <c r="D27" s="18">
        <f t="shared" si="1"/>
        <v>2674835.7177752927</v>
      </c>
      <c r="E27" s="18">
        <f t="shared" si="2"/>
        <v>1301344.5301117513</v>
      </c>
      <c r="F27" s="18">
        <f t="shared" si="3"/>
        <v>82024493.651218951</v>
      </c>
      <c r="G27" s="15"/>
      <c r="I27" s="12"/>
      <c r="J27" s="13">
        <v>5</v>
      </c>
      <c r="K27" s="17">
        <f t="shared" si="4"/>
        <v>4431659.362328114</v>
      </c>
      <c r="L27" s="18">
        <f t="shared" si="7"/>
        <v>3166666.6666666665</v>
      </c>
      <c r="M27" s="18">
        <f t="shared" si="5"/>
        <v>1264992.6956614475</v>
      </c>
      <c r="N27" s="18">
        <f t="shared" si="6"/>
        <v>79166666.666666642</v>
      </c>
      <c r="O27" s="15"/>
    </row>
    <row r="28" spans="1:15" ht="15.75" thickBot="1" x14ac:dyDescent="0.3">
      <c r="A28" s="12"/>
      <c r="B28" s="13">
        <v>6</v>
      </c>
      <c r="C28" s="17">
        <f t="shared" si="0"/>
        <v>3976180.2478870437</v>
      </c>
      <c r="D28" s="18">
        <f t="shared" si="1"/>
        <v>2715932.6527357791</v>
      </c>
      <c r="E28" s="18">
        <f t="shared" si="2"/>
        <v>1260247.5951512645</v>
      </c>
      <c r="F28" s="18">
        <f t="shared" si="3"/>
        <v>79308560.998483166</v>
      </c>
      <c r="G28" s="15"/>
      <c r="I28" s="12"/>
      <c r="J28" s="13">
        <v>6</v>
      </c>
      <c r="K28" s="17">
        <f t="shared" si="4"/>
        <v>4383005.7971103657</v>
      </c>
      <c r="L28" s="18">
        <f t="shared" si="7"/>
        <v>3166666.6666666665</v>
      </c>
      <c r="M28" s="18">
        <f t="shared" si="5"/>
        <v>1216339.1304436994</v>
      </c>
      <c r="N28" s="18">
        <f t="shared" si="6"/>
        <v>75999999.99999997</v>
      </c>
      <c r="O28" s="15"/>
    </row>
    <row r="29" spans="1:15" ht="15.75" thickBot="1" x14ac:dyDescent="0.3">
      <c r="A29" s="12"/>
      <c r="B29" s="13">
        <v>7</v>
      </c>
      <c r="C29" s="17">
        <f t="shared" si="0"/>
        <v>3976180.2478870437</v>
      </c>
      <c r="D29" s="18">
        <f t="shared" si="1"/>
        <v>2757661.0126663763</v>
      </c>
      <c r="E29" s="18">
        <f t="shared" si="2"/>
        <v>1218519.2352206672</v>
      </c>
      <c r="F29" s="18">
        <f t="shared" si="3"/>
        <v>76550899.985816792</v>
      </c>
      <c r="G29" s="15"/>
      <c r="I29" s="12"/>
      <c r="J29" s="13">
        <v>7</v>
      </c>
      <c r="K29" s="17">
        <f t="shared" si="4"/>
        <v>4334352.2318926174</v>
      </c>
      <c r="L29" s="18">
        <f t="shared" si="7"/>
        <v>3166666.6666666665</v>
      </c>
      <c r="M29" s="18">
        <f t="shared" si="5"/>
        <v>1167685.5652259514</v>
      </c>
      <c r="N29" s="18">
        <f t="shared" si="6"/>
        <v>72833333.333333299</v>
      </c>
      <c r="O29" s="15"/>
    </row>
    <row r="30" spans="1:15" ht="15.75" thickBot="1" x14ac:dyDescent="0.3">
      <c r="A30" s="12"/>
      <c r="B30" s="13">
        <v>8</v>
      </c>
      <c r="C30" s="17">
        <f t="shared" si="0"/>
        <v>3976180.2478870437</v>
      </c>
      <c r="D30" s="18">
        <f t="shared" si="1"/>
        <v>2800030.4989594938</v>
      </c>
      <c r="E30" s="18">
        <f t="shared" si="2"/>
        <v>1176149.7489275499</v>
      </c>
      <c r="F30" s="18">
        <f t="shared" si="3"/>
        <v>73750869.486857295</v>
      </c>
      <c r="G30" s="15"/>
      <c r="I30" s="12"/>
      <c r="J30" s="13">
        <v>8</v>
      </c>
      <c r="K30" s="17">
        <f t="shared" si="4"/>
        <v>4285698.6666748701</v>
      </c>
      <c r="L30" s="18">
        <f t="shared" si="7"/>
        <v>3166666.6666666665</v>
      </c>
      <c r="M30" s="18">
        <f t="shared" si="5"/>
        <v>1119032.0000082033</v>
      </c>
      <c r="N30" s="18">
        <f t="shared" si="6"/>
        <v>69666666.666666627</v>
      </c>
      <c r="O30" s="15"/>
    </row>
    <row r="31" spans="1:15" ht="15.75" thickBot="1" x14ac:dyDescent="0.3">
      <c r="A31" s="12"/>
      <c r="B31" s="13">
        <v>9</v>
      </c>
      <c r="C31" s="17">
        <f t="shared" si="0"/>
        <v>3976180.2478870437</v>
      </c>
      <c r="D31" s="18">
        <f t="shared" si="1"/>
        <v>2843050.9620624864</v>
      </c>
      <c r="E31" s="18">
        <f t="shared" si="2"/>
        <v>1133129.2858245575</v>
      </c>
      <c r="F31" s="18">
        <f t="shared" si="3"/>
        <v>70907818.524794802</v>
      </c>
      <c r="G31" s="15"/>
      <c r="I31" s="12"/>
      <c r="J31" s="13">
        <v>9</v>
      </c>
      <c r="K31" s="17">
        <f t="shared" si="4"/>
        <v>4237045.1014571218</v>
      </c>
      <c r="L31" s="18">
        <f t="shared" si="7"/>
        <v>3166666.6666666665</v>
      </c>
      <c r="M31" s="18">
        <f t="shared" si="5"/>
        <v>1070378.4347904553</v>
      </c>
      <c r="N31" s="18">
        <f t="shared" si="6"/>
        <v>66499999.999999963</v>
      </c>
      <c r="O31" s="15"/>
    </row>
    <row r="32" spans="1:15" ht="15.75" thickBot="1" x14ac:dyDescent="0.3">
      <c r="A32" s="12"/>
      <c r="B32" s="13">
        <v>10</v>
      </c>
      <c r="C32" s="17">
        <f t="shared" si="0"/>
        <v>3976180.2478870437</v>
      </c>
      <c r="D32" s="18">
        <f t="shared" si="1"/>
        <v>2886732.4037677776</v>
      </c>
      <c r="E32" s="18">
        <f t="shared" si="2"/>
        <v>1089447.8441192664</v>
      </c>
      <c r="F32" s="18">
        <f t="shared" si="3"/>
        <v>68021086.121027023</v>
      </c>
      <c r="G32" s="15"/>
      <c r="I32" s="12"/>
      <c r="J32" s="13">
        <v>10</v>
      </c>
      <c r="K32" s="17">
        <f t="shared" si="4"/>
        <v>4188391.536239374</v>
      </c>
      <c r="L32" s="18">
        <f t="shared" si="7"/>
        <v>3166666.6666666665</v>
      </c>
      <c r="M32" s="18">
        <f t="shared" si="5"/>
        <v>1021724.8695727073</v>
      </c>
      <c r="N32" s="18">
        <f t="shared" si="6"/>
        <v>63333333.333333299</v>
      </c>
      <c r="O32" s="15"/>
    </row>
    <row r="33" spans="1:15" ht="15.75" thickBot="1" x14ac:dyDescent="0.3">
      <c r="A33" s="12"/>
      <c r="B33" s="13">
        <v>11</v>
      </c>
      <c r="C33" s="17">
        <f t="shared" si="0"/>
        <v>3976180.2478870437</v>
      </c>
      <c r="D33" s="18">
        <f t="shared" si="1"/>
        <v>2931084.9795381678</v>
      </c>
      <c r="E33" s="18">
        <f t="shared" si="2"/>
        <v>1045095.2683488762</v>
      </c>
      <c r="F33" s="18">
        <f t="shared" si="3"/>
        <v>65090001.141488858</v>
      </c>
      <c r="G33" s="15"/>
      <c r="I33" s="12"/>
      <c r="J33" s="13">
        <v>11</v>
      </c>
      <c r="K33" s="17">
        <f t="shared" si="4"/>
        <v>4139737.9710216261</v>
      </c>
      <c r="L33" s="18">
        <f t="shared" si="7"/>
        <v>3166666.6666666665</v>
      </c>
      <c r="M33" s="18">
        <f t="shared" si="5"/>
        <v>973071.3043549594</v>
      </c>
      <c r="N33" s="18">
        <f t="shared" si="6"/>
        <v>60166666.666666634</v>
      </c>
      <c r="O33" s="15"/>
    </row>
    <row r="34" spans="1:15" ht="15.75" thickBot="1" x14ac:dyDescent="0.3">
      <c r="A34" s="12"/>
      <c r="B34" s="13">
        <v>12</v>
      </c>
      <c r="C34" s="17">
        <f t="shared" si="0"/>
        <v>3976180.2478870437</v>
      </c>
      <c r="D34" s="18">
        <f t="shared" si="1"/>
        <v>2976119.0008678692</v>
      </c>
      <c r="E34" s="18">
        <f t="shared" si="2"/>
        <v>1000061.2470191746</v>
      </c>
      <c r="F34" s="18">
        <f t="shared" si="3"/>
        <v>62113882.140620992</v>
      </c>
      <c r="G34" s="15"/>
      <c r="I34" s="12"/>
      <c r="J34" s="13">
        <v>12</v>
      </c>
      <c r="K34" s="17">
        <f t="shared" si="4"/>
        <v>4091084.4058038779</v>
      </c>
      <c r="L34" s="18">
        <f t="shared" si="7"/>
        <v>3166666.6666666665</v>
      </c>
      <c r="M34" s="18">
        <f t="shared" si="5"/>
        <v>924417.73913721147</v>
      </c>
      <c r="N34" s="18">
        <f t="shared" si="6"/>
        <v>56999999.99999997</v>
      </c>
      <c r="O34" s="15"/>
    </row>
    <row r="35" spans="1:15" ht="15.75" thickBot="1" x14ac:dyDescent="0.3">
      <c r="A35" s="12"/>
      <c r="B35" s="13">
        <v>13</v>
      </c>
      <c r="C35" s="17">
        <f t="shared" si="0"/>
        <v>3976180.2478870437</v>
      </c>
      <c r="D35" s="18">
        <f t="shared" si="1"/>
        <v>3021844.9376798179</v>
      </c>
      <c r="E35" s="18">
        <f t="shared" si="2"/>
        <v>954335.31020722608</v>
      </c>
      <c r="F35" s="18">
        <f t="shared" si="3"/>
        <v>59092037.202941172</v>
      </c>
      <c r="G35" s="15"/>
      <c r="I35" s="12"/>
      <c r="J35" s="13">
        <v>13</v>
      </c>
      <c r="K35" s="17">
        <f t="shared" si="4"/>
        <v>4042430.84058613</v>
      </c>
      <c r="L35" s="18">
        <f t="shared" si="7"/>
        <v>3166666.6666666665</v>
      </c>
      <c r="M35" s="18">
        <f t="shared" si="5"/>
        <v>875764.17391946341</v>
      </c>
      <c r="N35" s="18">
        <f t="shared" si="6"/>
        <v>53833333.333333306</v>
      </c>
      <c r="O35" s="15"/>
    </row>
    <row r="36" spans="1:15" ht="15.75" thickBot="1" x14ac:dyDescent="0.3">
      <c r="A36" s="12"/>
      <c r="B36" s="13">
        <v>14</v>
      </c>
      <c r="C36" s="17">
        <f t="shared" si="0"/>
        <v>3976180.2478870437</v>
      </c>
      <c r="D36" s="18">
        <f t="shared" si="1"/>
        <v>3068273.4207598157</v>
      </c>
      <c r="E36" s="18">
        <f t="shared" si="2"/>
        <v>907906.82712722814</v>
      </c>
      <c r="F36" s="18">
        <f t="shared" si="3"/>
        <v>56023763.782181352</v>
      </c>
      <c r="G36" s="15"/>
      <c r="I36" s="12"/>
      <c r="J36" s="13">
        <v>14</v>
      </c>
      <c r="K36" s="17">
        <f t="shared" si="4"/>
        <v>3993777.2753683822</v>
      </c>
      <c r="L36" s="18">
        <f t="shared" si="7"/>
        <v>3166666.6666666665</v>
      </c>
      <c r="M36" s="18">
        <f t="shared" si="5"/>
        <v>827110.60870171548</v>
      </c>
      <c r="N36" s="18">
        <f t="shared" si="6"/>
        <v>50666666.666666642</v>
      </c>
      <c r="O36" s="15"/>
    </row>
    <row r="37" spans="1:15" ht="15.75" thickBot="1" x14ac:dyDescent="0.3">
      <c r="A37" s="12"/>
      <c r="B37" s="13">
        <v>15</v>
      </c>
      <c r="C37" s="17">
        <f t="shared" si="0"/>
        <v>3976180.2478870437</v>
      </c>
      <c r="D37" s="18">
        <f t="shared" si="1"/>
        <v>3115415.2442280748</v>
      </c>
      <c r="E37" s="18">
        <f t="shared" si="2"/>
        <v>860765.00365896907</v>
      </c>
      <c r="F37" s="18">
        <f t="shared" si="3"/>
        <v>52908348.53795328</v>
      </c>
      <c r="G37" s="15"/>
      <c r="I37" s="12"/>
      <c r="J37" s="13">
        <v>15</v>
      </c>
      <c r="K37" s="17">
        <f t="shared" si="4"/>
        <v>3945123.7101506339</v>
      </c>
      <c r="L37" s="18">
        <f t="shared" si="7"/>
        <v>3166666.6666666665</v>
      </c>
      <c r="M37" s="18">
        <f t="shared" si="5"/>
        <v>778457.04348396754</v>
      </c>
      <c r="N37" s="18">
        <f t="shared" si="6"/>
        <v>47499999.999999978</v>
      </c>
      <c r="O37" s="15"/>
    </row>
    <row r="38" spans="1:15" ht="15.75" thickBot="1" x14ac:dyDescent="0.3">
      <c r="A38" s="12"/>
      <c r="B38" s="13">
        <v>16</v>
      </c>
      <c r="C38" s="17">
        <f t="shared" si="0"/>
        <v>3976180.2478870437</v>
      </c>
      <c r="D38" s="18">
        <f t="shared" si="1"/>
        <v>3163281.3680487326</v>
      </c>
      <c r="E38" s="18">
        <f t="shared" si="2"/>
        <v>812898.87983831111</v>
      </c>
      <c r="F38" s="18">
        <f t="shared" si="3"/>
        <v>49745067.169904545</v>
      </c>
      <c r="G38" s="15"/>
      <c r="I38" s="12"/>
      <c r="J38" s="13">
        <v>16</v>
      </c>
      <c r="K38" s="17">
        <f t="shared" si="4"/>
        <v>3896470.1449328861</v>
      </c>
      <c r="L38" s="18">
        <f t="shared" si="7"/>
        <v>3166666.6666666665</v>
      </c>
      <c r="M38" s="18">
        <f t="shared" si="5"/>
        <v>729803.47826621961</v>
      </c>
      <c r="N38" s="18">
        <f t="shared" si="6"/>
        <v>44333333.333333313</v>
      </c>
      <c r="O38" s="15"/>
    </row>
    <row r="39" spans="1:15" ht="15.75" thickBot="1" x14ac:dyDescent="0.3">
      <c r="A39" s="12"/>
      <c r="B39" s="13">
        <v>17</v>
      </c>
      <c r="C39" s="17">
        <f t="shared" si="0"/>
        <v>3976180.2478870437</v>
      </c>
      <c r="D39" s="18">
        <f t="shared" si="1"/>
        <v>3211882.9205779261</v>
      </c>
      <c r="E39" s="18">
        <f t="shared" si="2"/>
        <v>764297.32730911754</v>
      </c>
      <c r="F39" s="18">
        <f t="shared" si="3"/>
        <v>46533184.249326617</v>
      </c>
      <c r="G39" s="15"/>
      <c r="I39" s="12"/>
      <c r="J39" s="13">
        <v>17</v>
      </c>
      <c r="K39" s="17">
        <f t="shared" si="4"/>
        <v>3847816.5797151383</v>
      </c>
      <c r="L39" s="18">
        <f t="shared" si="7"/>
        <v>3166666.6666666665</v>
      </c>
      <c r="M39" s="18">
        <f t="shared" si="5"/>
        <v>681149.91304847167</v>
      </c>
      <c r="N39" s="18">
        <f t="shared" si="6"/>
        <v>41166666.666666649</v>
      </c>
      <c r="O39" s="15"/>
    </row>
    <row r="40" spans="1:15" ht="15.75" thickBot="1" x14ac:dyDescent="0.3">
      <c r="A40" s="12"/>
      <c r="B40" s="13">
        <v>18</v>
      </c>
      <c r="C40" s="17">
        <f t="shared" si="0"/>
        <v>3976180.2478870437</v>
      </c>
      <c r="D40" s="18">
        <f t="shared" si="1"/>
        <v>3261231.2011510134</v>
      </c>
      <c r="E40" s="18">
        <f t="shared" si="2"/>
        <v>714949.04673603037</v>
      </c>
      <c r="F40" s="18">
        <f t="shared" si="3"/>
        <v>43271953.048175603</v>
      </c>
      <c r="G40" s="15"/>
      <c r="I40" s="12"/>
      <c r="J40" s="13">
        <v>18</v>
      </c>
      <c r="K40" s="17">
        <f t="shared" si="4"/>
        <v>3799163.01449739</v>
      </c>
      <c r="L40" s="18">
        <f t="shared" si="7"/>
        <v>3166666.6666666665</v>
      </c>
      <c r="M40" s="18">
        <f t="shared" si="5"/>
        <v>632496.34783072374</v>
      </c>
      <c r="N40" s="18">
        <f t="shared" si="6"/>
        <v>37999999.999999985</v>
      </c>
      <c r="O40" s="15"/>
    </row>
    <row r="41" spans="1:15" ht="15.75" thickBot="1" x14ac:dyDescent="0.3">
      <c r="A41" s="12"/>
      <c r="B41" s="13">
        <v>19</v>
      </c>
      <c r="C41" s="17">
        <f t="shared" si="0"/>
        <v>3976180.2478870437</v>
      </c>
      <c r="D41" s="18">
        <f t="shared" si="1"/>
        <v>3311337.6827095468</v>
      </c>
      <c r="E41" s="18">
        <f t="shared" si="2"/>
        <v>664842.5651774971</v>
      </c>
      <c r="F41" s="18">
        <f t="shared" si="3"/>
        <v>39960615.365466058</v>
      </c>
      <c r="G41" s="15"/>
      <c r="I41" s="12"/>
      <c r="J41" s="13">
        <v>19</v>
      </c>
      <c r="K41" s="17">
        <f t="shared" si="4"/>
        <v>3750509.4492796422</v>
      </c>
      <c r="L41" s="18">
        <f t="shared" si="7"/>
        <v>3166666.6666666665</v>
      </c>
      <c r="M41" s="18">
        <f t="shared" si="5"/>
        <v>583842.78261297569</v>
      </c>
      <c r="N41" s="18">
        <f t="shared" si="6"/>
        <v>34833333.333333321</v>
      </c>
      <c r="O41" s="15"/>
    </row>
    <row r="42" spans="1:15" ht="15.75" thickBot="1" x14ac:dyDescent="0.3">
      <c r="A42" s="12"/>
      <c r="B42" s="13">
        <v>20</v>
      </c>
      <c r="C42" s="17">
        <f t="shared" si="0"/>
        <v>3976180.2478870437</v>
      </c>
      <c r="D42" s="18">
        <f t="shared" si="1"/>
        <v>3362214.0144686084</v>
      </c>
      <c r="E42" s="18">
        <f t="shared" si="2"/>
        <v>613966.23341843544</v>
      </c>
      <c r="F42" s="18">
        <f t="shared" si="3"/>
        <v>36598401.350997448</v>
      </c>
      <c r="G42" s="15"/>
      <c r="I42" s="12"/>
      <c r="J42" s="13">
        <v>20</v>
      </c>
      <c r="K42" s="17">
        <f t="shared" si="4"/>
        <v>3701855.8840618944</v>
      </c>
      <c r="L42" s="18">
        <f t="shared" si="7"/>
        <v>3166666.6666666665</v>
      </c>
      <c r="M42" s="18">
        <f t="shared" si="5"/>
        <v>535189.21739522775</v>
      </c>
      <c r="N42" s="18">
        <f t="shared" si="6"/>
        <v>31666666.666666653</v>
      </c>
      <c r="O42" s="15"/>
    </row>
    <row r="43" spans="1:15" ht="15.75" thickBot="1" x14ac:dyDescent="0.3">
      <c r="A43" s="12"/>
      <c r="B43" s="13">
        <v>21</v>
      </c>
      <c r="C43" s="17">
        <f t="shared" si="0"/>
        <v>3976180.2478870437</v>
      </c>
      <c r="D43" s="18">
        <f t="shared" si="1"/>
        <v>3413872.0246251267</v>
      </c>
      <c r="E43" s="18">
        <f t="shared" si="2"/>
        <v>562308.22326191701</v>
      </c>
      <c r="F43" s="18">
        <f t="shared" si="3"/>
        <v>33184529.326372322</v>
      </c>
      <c r="G43" s="15"/>
      <c r="I43" s="12"/>
      <c r="J43" s="13">
        <v>21</v>
      </c>
      <c r="K43" s="17">
        <f t="shared" si="4"/>
        <v>3653202.3188441461</v>
      </c>
      <c r="L43" s="18">
        <f t="shared" si="7"/>
        <v>3166666.6666666665</v>
      </c>
      <c r="M43" s="18">
        <f t="shared" si="5"/>
        <v>486535.65217747976</v>
      </c>
      <c r="N43" s="18">
        <f t="shared" si="6"/>
        <v>28499999.999999985</v>
      </c>
      <c r="O43" s="15"/>
    </row>
    <row r="44" spans="1:15" ht="15.75" thickBot="1" x14ac:dyDescent="0.3">
      <c r="A44" s="12"/>
      <c r="B44" s="13">
        <v>22</v>
      </c>
      <c r="C44" s="17">
        <f t="shared" si="0"/>
        <v>3976180.2478870437</v>
      </c>
      <c r="D44" s="18">
        <f t="shared" si="1"/>
        <v>3466323.7231078036</v>
      </c>
      <c r="E44" s="18">
        <f t="shared" si="2"/>
        <v>509856.52477924002</v>
      </c>
      <c r="F44" s="18">
        <f t="shared" si="3"/>
        <v>29718205.603264518</v>
      </c>
      <c r="G44" s="15"/>
      <c r="I44" s="12"/>
      <c r="J44" s="13">
        <v>22</v>
      </c>
      <c r="K44" s="17">
        <f t="shared" si="4"/>
        <v>3604548.7536263983</v>
      </c>
      <c r="L44" s="18">
        <f t="shared" si="7"/>
        <v>3166666.6666666665</v>
      </c>
      <c r="M44" s="18">
        <f t="shared" si="5"/>
        <v>437882.08695973171</v>
      </c>
      <c r="N44" s="18">
        <f t="shared" si="6"/>
        <v>25333333.333333317</v>
      </c>
      <c r="O44" s="15"/>
    </row>
    <row r="45" spans="1:15" ht="15.75" thickBot="1" x14ac:dyDescent="0.3">
      <c r="A45" s="12"/>
      <c r="B45" s="13">
        <v>23</v>
      </c>
      <c r="C45" s="17">
        <f t="shared" si="0"/>
        <v>3976180.2478870437</v>
      </c>
      <c r="D45" s="18">
        <f t="shared" si="1"/>
        <v>3519581.3043692941</v>
      </c>
      <c r="E45" s="18">
        <f t="shared" si="2"/>
        <v>456598.94351774972</v>
      </c>
      <c r="F45" s="18">
        <f t="shared" si="3"/>
        <v>26198624.298895225</v>
      </c>
      <c r="G45" s="15"/>
      <c r="I45" s="12"/>
      <c r="J45" s="13">
        <v>23</v>
      </c>
      <c r="K45" s="17">
        <f t="shared" si="4"/>
        <v>3555895.1884086505</v>
      </c>
      <c r="L45" s="18">
        <f t="shared" si="7"/>
        <v>3166666.6666666665</v>
      </c>
      <c r="M45" s="18">
        <f t="shared" si="5"/>
        <v>389228.52174198371</v>
      </c>
      <c r="N45" s="18">
        <f t="shared" si="6"/>
        <v>22166666.666666649</v>
      </c>
      <c r="O45" s="15"/>
    </row>
    <row r="46" spans="1:15" ht="15.75" thickBot="1" x14ac:dyDescent="0.3">
      <c r="A46" s="19" t="s">
        <v>21</v>
      </c>
      <c r="B46" s="13">
        <v>24</v>
      </c>
      <c r="C46" s="17">
        <f>$C$18 + B15 * F45</f>
        <v>11835767.537555611</v>
      </c>
      <c r="D46" s="18">
        <f>C46-E46</f>
        <v>11433244.43988985</v>
      </c>
      <c r="E46" s="18">
        <f>$D$13*F45</f>
        <v>402523.0976657609</v>
      </c>
      <c r="F46" s="18">
        <f>F45-D46</f>
        <v>14765379.859005375</v>
      </c>
      <c r="G46" s="15"/>
      <c r="I46" s="19" t="s">
        <v>21</v>
      </c>
      <c r="J46" s="13">
        <v>24</v>
      </c>
      <c r="K46" s="17">
        <f>L46+M46</f>
        <v>10157241.623190897</v>
      </c>
      <c r="L46" s="18">
        <f>$L$23 + B15*N45</f>
        <v>9816666.6666666605</v>
      </c>
      <c r="M46" s="18">
        <f t="shared" si="5"/>
        <v>340574.95652423572</v>
      </c>
      <c r="N46" s="18">
        <f t="shared" si="6"/>
        <v>12349999.999999989</v>
      </c>
      <c r="O46" s="15"/>
    </row>
    <row r="47" spans="1:15" ht="15.75" thickBot="1" x14ac:dyDescent="0.3">
      <c r="A47" s="12"/>
      <c r="B47" s="13">
        <v>25</v>
      </c>
      <c r="C47" s="20">
        <f>(F46*D13)/(1-((1+D13)^(-(D11-D16))))</f>
        <v>2594912.5743312882</v>
      </c>
      <c r="D47" s="18">
        <f>C47-E47</f>
        <v>2368053.0884570964</v>
      </c>
      <c r="E47" s="18">
        <f>$D$13*F46</f>
        <v>226859.4858741918</v>
      </c>
      <c r="F47" s="18">
        <f>F46-D47</f>
        <v>12397326.770548278</v>
      </c>
      <c r="G47" s="15"/>
      <c r="I47" s="12"/>
      <c r="J47" s="13">
        <v>25</v>
      </c>
      <c r="K47" s="17">
        <f>L47+M47</f>
        <v>2248082.2376825484</v>
      </c>
      <c r="L47" s="18">
        <f>N46/(D11-D16)</f>
        <v>2058333.3333333314</v>
      </c>
      <c r="M47" s="18">
        <f>$D$13*N46</f>
        <v>189748.90434921702</v>
      </c>
      <c r="N47" s="18">
        <f t="shared" si="6"/>
        <v>10291666.666666657</v>
      </c>
      <c r="O47" s="15"/>
    </row>
    <row r="48" spans="1:15" ht="15.75" thickBot="1" x14ac:dyDescent="0.3">
      <c r="A48" s="12"/>
      <c r="B48" s="13">
        <v>26</v>
      </c>
      <c r="C48" s="17">
        <f>$C$47</f>
        <v>2594912.5743312882</v>
      </c>
      <c r="D48" s="18">
        <f t="shared" si="1"/>
        <v>2404436.5280502555</v>
      </c>
      <c r="E48" s="18">
        <f t="shared" si="2"/>
        <v>190476.04628103279</v>
      </c>
      <c r="F48" s="18">
        <f t="shared" si="3"/>
        <v>9992890.2424980234</v>
      </c>
      <c r="G48" s="15"/>
      <c r="I48" s="12"/>
      <c r="J48" s="13">
        <v>26</v>
      </c>
      <c r="K48" s="17">
        <f t="shared" si="4"/>
        <v>2216457.4202910122</v>
      </c>
      <c r="L48" s="18">
        <f>$L$47</f>
        <v>2058333.3333333314</v>
      </c>
      <c r="M48" s="18">
        <f t="shared" si="5"/>
        <v>158124.08695768085</v>
      </c>
      <c r="N48" s="18">
        <f t="shared" si="6"/>
        <v>8233333.3333333256</v>
      </c>
      <c r="O48" s="15"/>
    </row>
    <row r="49" spans="1:15" ht="15.75" thickBot="1" x14ac:dyDescent="0.3">
      <c r="A49" s="12"/>
      <c r="B49" s="13">
        <v>27</v>
      </c>
      <c r="C49" s="17">
        <f t="shared" ref="C49:C52" si="8">$C$47</f>
        <v>2594912.5743312882</v>
      </c>
      <c r="D49" s="18">
        <f t="shared" si="1"/>
        <v>2441378.9731332329</v>
      </c>
      <c r="E49" s="18">
        <f t="shared" si="2"/>
        <v>153533.60119805532</v>
      </c>
      <c r="F49" s="18">
        <f t="shared" si="3"/>
        <v>7551511.269364791</v>
      </c>
      <c r="G49" s="15"/>
      <c r="I49" s="12"/>
      <c r="J49" s="13">
        <v>27</v>
      </c>
      <c r="K49" s="17">
        <f t="shared" si="4"/>
        <v>2184832.602899476</v>
      </c>
      <c r="L49" s="18">
        <f t="shared" ref="L49:L52" si="9">$L$47</f>
        <v>2058333.3333333314</v>
      </c>
      <c r="M49" s="18">
        <f t="shared" si="5"/>
        <v>126499.26956614466</v>
      </c>
      <c r="N49" s="18">
        <f t="shared" si="6"/>
        <v>6174999.9999999944</v>
      </c>
      <c r="O49" s="15"/>
    </row>
    <row r="50" spans="1:15" ht="15.75" thickBot="1" x14ac:dyDescent="0.3">
      <c r="A50" s="12"/>
      <c r="B50" s="13">
        <v>28</v>
      </c>
      <c r="C50" s="17">
        <f t="shared" si="8"/>
        <v>2594912.5743312882</v>
      </c>
      <c r="D50" s="18">
        <f t="shared" si="1"/>
        <v>2478889.0124249938</v>
      </c>
      <c r="E50" s="18">
        <f t="shared" si="2"/>
        <v>116023.56190629436</v>
      </c>
      <c r="F50" s="18">
        <f t="shared" si="3"/>
        <v>5072622.2569397967</v>
      </c>
      <c r="G50" s="15"/>
      <c r="I50" s="12"/>
      <c r="J50" s="13">
        <v>28</v>
      </c>
      <c r="K50" s="17">
        <f t="shared" si="4"/>
        <v>2153207.7855079398</v>
      </c>
      <c r="L50" s="18">
        <f t="shared" si="9"/>
        <v>2058333.3333333314</v>
      </c>
      <c r="M50" s="18">
        <f t="shared" si="5"/>
        <v>94874.452174608508</v>
      </c>
      <c r="N50" s="18">
        <f t="shared" si="6"/>
        <v>4116666.6666666633</v>
      </c>
      <c r="O50" s="15"/>
    </row>
    <row r="51" spans="1:15" ht="15.75" thickBot="1" x14ac:dyDescent="0.3">
      <c r="A51" s="12"/>
      <c r="B51" s="21">
        <v>29</v>
      </c>
      <c r="C51" s="17">
        <f t="shared" si="8"/>
        <v>2594912.5743312882</v>
      </c>
      <c r="D51" s="18">
        <f t="shared" si="1"/>
        <v>2516975.3666040185</v>
      </c>
      <c r="E51" s="18">
        <f t="shared" si="2"/>
        <v>77937.207727269604</v>
      </c>
      <c r="F51" s="18">
        <f t="shared" si="3"/>
        <v>2555646.8903357782</v>
      </c>
      <c r="G51" s="15"/>
      <c r="I51" s="12"/>
      <c r="J51" s="21">
        <v>29</v>
      </c>
      <c r="K51" s="17">
        <f t="shared" si="4"/>
        <v>2121582.9681164036</v>
      </c>
      <c r="L51" s="18">
        <f t="shared" si="9"/>
        <v>2058333.3333333314</v>
      </c>
      <c r="M51" s="18">
        <f t="shared" si="5"/>
        <v>63249.634783072339</v>
      </c>
      <c r="N51" s="18">
        <f t="shared" si="6"/>
        <v>2058333.3333333319</v>
      </c>
      <c r="O51" s="15"/>
    </row>
    <row r="52" spans="1:15" ht="15.75" thickBot="1" x14ac:dyDescent="0.3">
      <c r="A52" s="12"/>
      <c r="B52" s="22">
        <v>30</v>
      </c>
      <c r="C52" s="17">
        <f t="shared" si="8"/>
        <v>2594912.5743312882</v>
      </c>
      <c r="D52" s="23">
        <f t="shared" si="1"/>
        <v>2555646.8903357661</v>
      </c>
      <c r="E52" s="23">
        <f t="shared" si="2"/>
        <v>39265.6839955221</v>
      </c>
      <c r="F52" s="18">
        <f t="shared" si="3"/>
        <v>1.2107193470001221E-8</v>
      </c>
      <c r="G52" s="15"/>
      <c r="I52" s="12"/>
      <c r="J52" s="22">
        <v>30</v>
      </c>
      <c r="K52" s="17">
        <f t="shared" si="4"/>
        <v>2089958.1507248676</v>
      </c>
      <c r="L52" s="18">
        <f t="shared" si="9"/>
        <v>2058333.3333333314</v>
      </c>
      <c r="M52" s="18">
        <f t="shared" si="5"/>
        <v>31624.817391536173</v>
      </c>
      <c r="N52" s="18">
        <f t="shared" si="6"/>
        <v>0</v>
      </c>
      <c r="O52" s="15"/>
    </row>
    <row r="53" spans="1:15" x14ac:dyDescent="0.25">
      <c r="A53" s="24"/>
      <c r="B53" s="25"/>
      <c r="C53" s="26"/>
      <c r="D53" s="27" t="s">
        <v>22</v>
      </c>
      <c r="E53" s="34">
        <f>SUM(E23:E52)</f>
        <v>23857388.684945356</v>
      </c>
      <c r="F53" s="26"/>
      <c r="G53" s="28"/>
      <c r="I53" s="24"/>
      <c r="J53" s="25"/>
      <c r="K53" s="26"/>
      <c r="L53" s="27" t="s">
        <v>22</v>
      </c>
      <c r="M53" s="34">
        <f>SUM(M23:M52)</f>
        <v>22266304.121902358</v>
      </c>
      <c r="N53" s="26"/>
      <c r="O53" s="28"/>
    </row>
    <row r="55" spans="1:15" ht="15.75" thickBot="1" x14ac:dyDescent="0.3">
      <c r="D55" s="9"/>
      <c r="E55" s="10"/>
      <c r="F55" s="65" t="s">
        <v>23</v>
      </c>
      <c r="G55" s="66"/>
      <c r="H55" s="67"/>
      <c r="I55" s="10"/>
      <c r="J55" s="11"/>
    </row>
    <row r="56" spans="1:15" ht="30.75" thickBot="1" x14ac:dyDescent="0.3">
      <c r="D56" s="12"/>
      <c r="E56" s="13" t="s">
        <v>16</v>
      </c>
      <c r="F56" s="14" t="s">
        <v>17</v>
      </c>
      <c r="G56" s="14" t="s">
        <v>18</v>
      </c>
      <c r="H56" s="14" t="s">
        <v>19</v>
      </c>
      <c r="I56" s="13" t="s">
        <v>20</v>
      </c>
      <c r="J56" s="15"/>
    </row>
    <row r="57" spans="1:15" ht="15.75" thickBot="1" x14ac:dyDescent="0.3">
      <c r="D57" s="12"/>
      <c r="E57" s="13">
        <v>0</v>
      </c>
      <c r="F57" s="16"/>
      <c r="G57" s="16"/>
      <c r="H57" s="16"/>
      <c r="I57" s="17">
        <f>B10</f>
        <v>95000000</v>
      </c>
      <c r="J57" s="15"/>
    </row>
    <row r="58" spans="1:15" ht="15.75" thickBot="1" x14ac:dyDescent="0.3">
      <c r="D58" s="12"/>
      <c r="E58" s="13">
        <v>1</v>
      </c>
      <c r="F58" s="17">
        <f>G58+H58</f>
        <v>4626273.6231991062</v>
      </c>
      <c r="G58" s="18">
        <f>$I$57/$D$11</f>
        <v>3166666.6666666665</v>
      </c>
      <c r="H58" s="18">
        <f xml:space="preserve"> $D$13*$I$57</f>
        <v>1459606.9565324399</v>
      </c>
      <c r="I58" s="18">
        <f>I57-G58</f>
        <v>91833333.333333328</v>
      </c>
      <c r="J58" s="15"/>
    </row>
    <row r="59" spans="1:15" ht="15.75" thickBot="1" x14ac:dyDescent="0.3">
      <c r="D59" s="12"/>
      <c r="E59" s="13">
        <v>2</v>
      </c>
      <c r="F59" s="17">
        <f t="shared" ref="F59:F87" si="10">G59+H59</f>
        <v>4626273.6231991062</v>
      </c>
      <c r="G59" s="18">
        <f t="shared" ref="G59:G80" si="11">$I$57/$D$11</f>
        <v>3166666.6666666665</v>
      </c>
      <c r="H59" s="18">
        <f t="shared" ref="H59:H81" si="12" xml:space="preserve"> $D$13*$I$57</f>
        <v>1459606.9565324399</v>
      </c>
      <c r="I59" s="18">
        <f t="shared" ref="I59:I87" si="13">I58-G59</f>
        <v>88666666.666666657</v>
      </c>
      <c r="J59" s="15"/>
    </row>
    <row r="60" spans="1:15" ht="15.75" thickBot="1" x14ac:dyDescent="0.3">
      <c r="D60" s="12"/>
      <c r="E60" s="13">
        <v>3</v>
      </c>
      <c r="F60" s="17">
        <f t="shared" si="10"/>
        <v>4626273.6231991062</v>
      </c>
      <c r="G60" s="18">
        <f t="shared" si="11"/>
        <v>3166666.6666666665</v>
      </c>
      <c r="H60" s="18">
        <f t="shared" si="12"/>
        <v>1459606.9565324399</v>
      </c>
      <c r="I60" s="18">
        <f t="shared" si="13"/>
        <v>85499999.999999985</v>
      </c>
      <c r="J60" s="15"/>
    </row>
    <row r="61" spans="1:15" ht="15.75" thickBot="1" x14ac:dyDescent="0.3">
      <c r="D61" s="12"/>
      <c r="E61" s="13">
        <v>4</v>
      </c>
      <c r="F61" s="17">
        <f t="shared" si="10"/>
        <v>4626273.6231991062</v>
      </c>
      <c r="G61" s="18">
        <f t="shared" si="11"/>
        <v>3166666.6666666665</v>
      </c>
      <c r="H61" s="18">
        <f t="shared" si="12"/>
        <v>1459606.9565324399</v>
      </c>
      <c r="I61" s="18">
        <f t="shared" si="13"/>
        <v>82333333.333333313</v>
      </c>
      <c r="J61" s="15"/>
    </row>
    <row r="62" spans="1:15" ht="15.75" thickBot="1" x14ac:dyDescent="0.3">
      <c r="D62" s="12"/>
      <c r="E62" s="13">
        <v>5</v>
      </c>
      <c r="F62" s="17">
        <f t="shared" si="10"/>
        <v>4626273.6231991062</v>
      </c>
      <c r="G62" s="18">
        <f t="shared" si="11"/>
        <v>3166666.6666666665</v>
      </c>
      <c r="H62" s="18">
        <f t="shared" si="12"/>
        <v>1459606.9565324399</v>
      </c>
      <c r="I62" s="18">
        <f t="shared" si="13"/>
        <v>79166666.666666642</v>
      </c>
      <c r="J62" s="15"/>
    </row>
    <row r="63" spans="1:15" ht="15.75" thickBot="1" x14ac:dyDescent="0.3">
      <c r="D63" s="12"/>
      <c r="E63" s="13">
        <v>6</v>
      </c>
      <c r="F63" s="17">
        <f t="shared" si="10"/>
        <v>4626273.6231991062</v>
      </c>
      <c r="G63" s="18">
        <f t="shared" si="11"/>
        <v>3166666.6666666665</v>
      </c>
      <c r="H63" s="18">
        <f t="shared" si="12"/>
        <v>1459606.9565324399</v>
      </c>
      <c r="I63" s="18">
        <f t="shared" si="13"/>
        <v>75999999.99999997</v>
      </c>
      <c r="J63" s="15"/>
    </row>
    <row r="64" spans="1:15" ht="15.75" thickBot="1" x14ac:dyDescent="0.3">
      <c r="D64" s="12"/>
      <c r="E64" s="13">
        <v>7</v>
      </c>
      <c r="F64" s="17">
        <f t="shared" si="10"/>
        <v>4626273.6231991062</v>
      </c>
      <c r="G64" s="18">
        <f t="shared" si="11"/>
        <v>3166666.6666666665</v>
      </c>
      <c r="H64" s="18">
        <f t="shared" si="12"/>
        <v>1459606.9565324399</v>
      </c>
      <c r="I64" s="18">
        <f t="shared" si="13"/>
        <v>72833333.333333299</v>
      </c>
      <c r="J64" s="15"/>
    </row>
    <row r="65" spans="4:10" ht="15.75" thickBot="1" x14ac:dyDescent="0.3">
      <c r="D65" s="12"/>
      <c r="E65" s="13">
        <v>8</v>
      </c>
      <c r="F65" s="17">
        <f t="shared" si="10"/>
        <v>4626273.6231991062</v>
      </c>
      <c r="G65" s="18">
        <f t="shared" si="11"/>
        <v>3166666.6666666665</v>
      </c>
      <c r="H65" s="18">
        <f t="shared" si="12"/>
        <v>1459606.9565324399</v>
      </c>
      <c r="I65" s="18">
        <f t="shared" si="13"/>
        <v>69666666.666666627</v>
      </c>
      <c r="J65" s="15"/>
    </row>
    <row r="66" spans="4:10" ht="15.75" thickBot="1" x14ac:dyDescent="0.3">
      <c r="D66" s="12"/>
      <c r="E66" s="13">
        <v>9</v>
      </c>
      <c r="F66" s="17">
        <f t="shared" si="10"/>
        <v>4626273.6231991062</v>
      </c>
      <c r="G66" s="18">
        <f t="shared" si="11"/>
        <v>3166666.6666666665</v>
      </c>
      <c r="H66" s="18">
        <f t="shared" si="12"/>
        <v>1459606.9565324399</v>
      </c>
      <c r="I66" s="18">
        <f t="shared" si="13"/>
        <v>66499999.999999963</v>
      </c>
      <c r="J66" s="15"/>
    </row>
    <row r="67" spans="4:10" ht="15.75" thickBot="1" x14ac:dyDescent="0.3">
      <c r="D67" s="12"/>
      <c r="E67" s="13">
        <v>10</v>
      </c>
      <c r="F67" s="17">
        <f t="shared" si="10"/>
        <v>4626273.6231991062</v>
      </c>
      <c r="G67" s="18">
        <f t="shared" si="11"/>
        <v>3166666.6666666665</v>
      </c>
      <c r="H67" s="18">
        <f t="shared" si="12"/>
        <v>1459606.9565324399</v>
      </c>
      <c r="I67" s="18">
        <f t="shared" si="13"/>
        <v>63333333.333333299</v>
      </c>
      <c r="J67" s="15"/>
    </row>
    <row r="68" spans="4:10" ht="15.75" thickBot="1" x14ac:dyDescent="0.3">
      <c r="D68" s="12"/>
      <c r="E68" s="13">
        <v>11</v>
      </c>
      <c r="F68" s="17">
        <f t="shared" si="10"/>
        <v>4626273.6231991062</v>
      </c>
      <c r="G68" s="18">
        <f t="shared" si="11"/>
        <v>3166666.6666666665</v>
      </c>
      <c r="H68" s="18">
        <f t="shared" si="12"/>
        <v>1459606.9565324399</v>
      </c>
      <c r="I68" s="18">
        <f t="shared" si="13"/>
        <v>60166666.666666634</v>
      </c>
      <c r="J68" s="15"/>
    </row>
    <row r="69" spans="4:10" ht="15.75" thickBot="1" x14ac:dyDescent="0.3">
      <c r="D69" s="12"/>
      <c r="E69" s="13">
        <v>12</v>
      </c>
      <c r="F69" s="17">
        <f t="shared" si="10"/>
        <v>4626273.6231991062</v>
      </c>
      <c r="G69" s="18">
        <f t="shared" si="11"/>
        <v>3166666.6666666665</v>
      </c>
      <c r="H69" s="18">
        <f t="shared" si="12"/>
        <v>1459606.9565324399</v>
      </c>
      <c r="I69" s="18">
        <f t="shared" si="13"/>
        <v>56999999.99999997</v>
      </c>
      <c r="J69" s="15"/>
    </row>
    <row r="70" spans="4:10" ht="15.75" thickBot="1" x14ac:dyDescent="0.3">
      <c r="D70" s="12"/>
      <c r="E70" s="13">
        <v>13</v>
      </c>
      <c r="F70" s="17">
        <f t="shared" si="10"/>
        <v>4626273.6231991062</v>
      </c>
      <c r="G70" s="18">
        <f t="shared" si="11"/>
        <v>3166666.6666666665</v>
      </c>
      <c r="H70" s="18">
        <f t="shared" si="12"/>
        <v>1459606.9565324399</v>
      </c>
      <c r="I70" s="18">
        <f t="shared" si="13"/>
        <v>53833333.333333306</v>
      </c>
      <c r="J70" s="15"/>
    </row>
    <row r="71" spans="4:10" ht="15.75" thickBot="1" x14ac:dyDescent="0.3">
      <c r="D71" s="12"/>
      <c r="E71" s="13">
        <v>14</v>
      </c>
      <c r="F71" s="17">
        <f t="shared" si="10"/>
        <v>4626273.6231991062</v>
      </c>
      <c r="G71" s="18">
        <f t="shared" si="11"/>
        <v>3166666.6666666665</v>
      </c>
      <c r="H71" s="18">
        <f t="shared" si="12"/>
        <v>1459606.9565324399</v>
      </c>
      <c r="I71" s="18">
        <f t="shared" si="13"/>
        <v>50666666.666666642</v>
      </c>
      <c r="J71" s="15"/>
    </row>
    <row r="72" spans="4:10" ht="15.75" thickBot="1" x14ac:dyDescent="0.3">
      <c r="D72" s="12"/>
      <c r="E72" s="13">
        <v>15</v>
      </c>
      <c r="F72" s="17">
        <f t="shared" si="10"/>
        <v>4626273.6231991062</v>
      </c>
      <c r="G72" s="18">
        <f t="shared" si="11"/>
        <v>3166666.6666666665</v>
      </c>
      <c r="H72" s="18">
        <f t="shared" si="12"/>
        <v>1459606.9565324399</v>
      </c>
      <c r="I72" s="18">
        <f t="shared" si="13"/>
        <v>47499999.999999978</v>
      </c>
      <c r="J72" s="15"/>
    </row>
    <row r="73" spans="4:10" ht="15.75" thickBot="1" x14ac:dyDescent="0.3">
      <c r="D73" s="12"/>
      <c r="E73" s="13">
        <v>16</v>
      </c>
      <c r="F73" s="17">
        <f t="shared" si="10"/>
        <v>4626273.6231991062</v>
      </c>
      <c r="G73" s="18">
        <f t="shared" si="11"/>
        <v>3166666.6666666665</v>
      </c>
      <c r="H73" s="18">
        <f t="shared" si="12"/>
        <v>1459606.9565324399</v>
      </c>
      <c r="I73" s="18">
        <f t="shared" si="13"/>
        <v>44333333.333333313</v>
      </c>
      <c r="J73" s="15"/>
    </row>
    <row r="74" spans="4:10" ht="15.75" thickBot="1" x14ac:dyDescent="0.3">
      <c r="D74" s="12"/>
      <c r="E74" s="13">
        <v>17</v>
      </c>
      <c r="F74" s="17">
        <f t="shared" si="10"/>
        <v>4626273.6231991062</v>
      </c>
      <c r="G74" s="18">
        <f t="shared" si="11"/>
        <v>3166666.6666666665</v>
      </c>
      <c r="H74" s="18">
        <f t="shared" si="12"/>
        <v>1459606.9565324399</v>
      </c>
      <c r="I74" s="18">
        <f t="shared" si="13"/>
        <v>41166666.666666649</v>
      </c>
      <c r="J74" s="15"/>
    </row>
    <row r="75" spans="4:10" ht="15.75" thickBot="1" x14ac:dyDescent="0.3">
      <c r="D75" s="12"/>
      <c r="E75" s="13">
        <v>18</v>
      </c>
      <c r="F75" s="17">
        <f t="shared" si="10"/>
        <v>4626273.6231991062</v>
      </c>
      <c r="G75" s="18">
        <f t="shared" si="11"/>
        <v>3166666.6666666665</v>
      </c>
      <c r="H75" s="18">
        <f t="shared" si="12"/>
        <v>1459606.9565324399</v>
      </c>
      <c r="I75" s="18">
        <f t="shared" si="13"/>
        <v>37999999.999999985</v>
      </c>
      <c r="J75" s="15"/>
    </row>
    <row r="76" spans="4:10" ht="15.75" thickBot="1" x14ac:dyDescent="0.3">
      <c r="D76" s="12"/>
      <c r="E76" s="13">
        <v>19</v>
      </c>
      <c r="F76" s="17">
        <f t="shared" si="10"/>
        <v>4626273.6231991062</v>
      </c>
      <c r="G76" s="18">
        <f t="shared" si="11"/>
        <v>3166666.6666666665</v>
      </c>
      <c r="H76" s="18">
        <f t="shared" si="12"/>
        <v>1459606.9565324399</v>
      </c>
      <c r="I76" s="18">
        <f t="shared" si="13"/>
        <v>34833333.333333321</v>
      </c>
      <c r="J76" s="15"/>
    </row>
    <row r="77" spans="4:10" ht="15.75" thickBot="1" x14ac:dyDescent="0.3">
      <c r="D77" s="12"/>
      <c r="E77" s="13">
        <v>20</v>
      </c>
      <c r="F77" s="17">
        <f t="shared" si="10"/>
        <v>4626273.6231991062</v>
      </c>
      <c r="G77" s="18">
        <f t="shared" si="11"/>
        <v>3166666.6666666665</v>
      </c>
      <c r="H77" s="18">
        <f t="shared" si="12"/>
        <v>1459606.9565324399</v>
      </c>
      <c r="I77" s="18">
        <f t="shared" si="13"/>
        <v>31666666.666666653</v>
      </c>
      <c r="J77" s="15"/>
    </row>
    <row r="78" spans="4:10" ht="15.75" thickBot="1" x14ac:dyDescent="0.3">
      <c r="D78" s="12"/>
      <c r="E78" s="13">
        <v>21</v>
      </c>
      <c r="F78" s="17">
        <f t="shared" si="10"/>
        <v>4626273.6231991062</v>
      </c>
      <c r="G78" s="18">
        <f t="shared" si="11"/>
        <v>3166666.6666666665</v>
      </c>
      <c r="H78" s="18">
        <f t="shared" si="12"/>
        <v>1459606.9565324399</v>
      </c>
      <c r="I78" s="18">
        <f t="shared" si="13"/>
        <v>28499999.999999985</v>
      </c>
      <c r="J78" s="15"/>
    </row>
    <row r="79" spans="4:10" ht="15.75" thickBot="1" x14ac:dyDescent="0.3">
      <c r="D79" s="12"/>
      <c r="E79" s="13">
        <v>22</v>
      </c>
      <c r="F79" s="17">
        <f t="shared" si="10"/>
        <v>4626273.6231991062</v>
      </c>
      <c r="G79" s="18">
        <f t="shared" si="11"/>
        <v>3166666.6666666665</v>
      </c>
      <c r="H79" s="18">
        <f t="shared" si="12"/>
        <v>1459606.9565324399</v>
      </c>
      <c r="I79" s="18">
        <f t="shared" si="13"/>
        <v>25333333.333333317</v>
      </c>
      <c r="J79" s="15"/>
    </row>
    <row r="80" spans="4:10" ht="15.75" thickBot="1" x14ac:dyDescent="0.3">
      <c r="D80" s="12"/>
      <c r="E80" s="13">
        <v>23</v>
      </c>
      <c r="F80" s="17">
        <f t="shared" si="10"/>
        <v>4626273.6231991062</v>
      </c>
      <c r="G80" s="18">
        <f t="shared" si="11"/>
        <v>3166666.6666666665</v>
      </c>
      <c r="H80" s="18">
        <f t="shared" si="12"/>
        <v>1459606.9565324399</v>
      </c>
      <c r="I80" s="18">
        <f t="shared" si="13"/>
        <v>22166666.666666649</v>
      </c>
      <c r="J80" s="15"/>
    </row>
    <row r="81" spans="4:10" ht="15.75" thickBot="1" x14ac:dyDescent="0.3">
      <c r="D81" s="19" t="s">
        <v>21</v>
      </c>
      <c r="E81" s="13">
        <v>24</v>
      </c>
      <c r="F81" s="17">
        <f>G81+H81</f>
        <v>11276273.6231991</v>
      </c>
      <c r="G81" s="18">
        <f>($I$57/$D$11) + B15*I80</f>
        <v>9816666.6666666605</v>
      </c>
      <c r="H81" s="18">
        <f t="shared" si="12"/>
        <v>1459606.9565324399</v>
      </c>
      <c r="I81" s="18">
        <f t="shared" si="13"/>
        <v>12349999.999999989</v>
      </c>
      <c r="J81" s="15"/>
    </row>
    <row r="82" spans="4:10" ht="15.75" thickBot="1" x14ac:dyDescent="0.3">
      <c r="D82" s="12"/>
      <c r="E82" s="13">
        <v>25</v>
      </c>
      <c r="F82" s="17">
        <f t="shared" si="10"/>
        <v>2248082.2376825484</v>
      </c>
      <c r="G82" s="18">
        <f>$I$81/($D$11-$D$16)</f>
        <v>2058333.3333333314</v>
      </c>
      <c r="H82" s="18">
        <f>$D$13*$I$81</f>
        <v>189748.90434921702</v>
      </c>
      <c r="I82" s="18">
        <f t="shared" si="13"/>
        <v>10291666.666666657</v>
      </c>
      <c r="J82" s="15"/>
    </row>
    <row r="83" spans="4:10" ht="15.75" thickBot="1" x14ac:dyDescent="0.3">
      <c r="D83" s="12"/>
      <c r="E83" s="13">
        <v>26</v>
      </c>
      <c r="F83" s="17">
        <f t="shared" si="10"/>
        <v>2248082.2376825484</v>
      </c>
      <c r="G83" s="18">
        <f t="shared" ref="G83:G87" si="14">$I$81/($D$11-$D$16)</f>
        <v>2058333.3333333314</v>
      </c>
      <c r="H83" s="18">
        <f t="shared" ref="H83:H87" si="15">$D$13*$I$81</f>
        <v>189748.90434921702</v>
      </c>
      <c r="I83" s="18">
        <f t="shared" si="13"/>
        <v>8233333.3333333256</v>
      </c>
      <c r="J83" s="15"/>
    </row>
    <row r="84" spans="4:10" ht="15.75" thickBot="1" x14ac:dyDescent="0.3">
      <c r="D84" s="12"/>
      <c r="E84" s="13">
        <v>27</v>
      </c>
      <c r="F84" s="17">
        <f t="shared" si="10"/>
        <v>2248082.2376825484</v>
      </c>
      <c r="G84" s="18">
        <f t="shared" si="14"/>
        <v>2058333.3333333314</v>
      </c>
      <c r="H84" s="18">
        <f t="shared" si="15"/>
        <v>189748.90434921702</v>
      </c>
      <c r="I84" s="18">
        <f t="shared" si="13"/>
        <v>6174999.9999999944</v>
      </c>
      <c r="J84" s="15"/>
    </row>
    <row r="85" spans="4:10" ht="15.75" thickBot="1" x14ac:dyDescent="0.3">
      <c r="D85" s="12"/>
      <c r="E85" s="13">
        <v>28</v>
      </c>
      <c r="F85" s="17">
        <f t="shared" si="10"/>
        <v>2248082.2376825484</v>
      </c>
      <c r="G85" s="18">
        <f t="shared" si="14"/>
        <v>2058333.3333333314</v>
      </c>
      <c r="H85" s="18">
        <f t="shared" si="15"/>
        <v>189748.90434921702</v>
      </c>
      <c r="I85" s="18">
        <f t="shared" si="13"/>
        <v>4116666.6666666633</v>
      </c>
      <c r="J85" s="15"/>
    </row>
    <row r="86" spans="4:10" ht="15.75" thickBot="1" x14ac:dyDescent="0.3">
      <c r="D86" s="12"/>
      <c r="E86" s="21">
        <v>29</v>
      </c>
      <c r="F86" s="17">
        <f t="shared" si="10"/>
        <v>2248082.2376825484</v>
      </c>
      <c r="G86" s="18">
        <f t="shared" si="14"/>
        <v>2058333.3333333314</v>
      </c>
      <c r="H86" s="18">
        <f t="shared" si="15"/>
        <v>189748.90434921702</v>
      </c>
      <c r="I86" s="18">
        <f t="shared" si="13"/>
        <v>2058333.3333333319</v>
      </c>
      <c r="J86" s="15"/>
    </row>
    <row r="87" spans="4:10" ht="15.75" thickBot="1" x14ac:dyDescent="0.3">
      <c r="D87" s="12"/>
      <c r="E87" s="22">
        <v>30</v>
      </c>
      <c r="F87" s="17">
        <f t="shared" si="10"/>
        <v>2248082.2376825484</v>
      </c>
      <c r="G87" s="18">
        <f t="shared" si="14"/>
        <v>2058333.3333333314</v>
      </c>
      <c r="H87" s="18">
        <f t="shared" si="15"/>
        <v>189748.90434921702</v>
      </c>
      <c r="I87" s="18">
        <f t="shared" si="13"/>
        <v>0</v>
      </c>
      <c r="J87" s="15"/>
    </row>
    <row r="88" spans="4:10" x14ac:dyDescent="0.25">
      <c r="D88" s="24"/>
      <c r="E88" s="25"/>
      <c r="F88" s="26"/>
      <c r="G88" s="27" t="s">
        <v>22</v>
      </c>
      <c r="H88" s="34">
        <f>SUM(H58:H87)</f>
        <v>36169060.382873856</v>
      </c>
      <c r="I88" s="26"/>
      <c r="J88" s="28"/>
    </row>
  </sheetData>
  <mergeCells count="10">
    <mergeCell ref="B2:J8"/>
    <mergeCell ref="F13:G13"/>
    <mergeCell ref="C20:E20"/>
    <mergeCell ref="K20:M20"/>
    <mergeCell ref="F55:H55"/>
    <mergeCell ref="L9:M9"/>
    <mergeCell ref="L10:M10"/>
    <mergeCell ref="L11:M11"/>
    <mergeCell ref="L12:N16"/>
    <mergeCell ref="L8:N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C6D1-24BE-49AD-9827-C35BDD76C4ED}">
  <dimension ref="A2:R28"/>
  <sheetViews>
    <sheetView topLeftCell="A7" workbookViewId="0">
      <selection activeCell="I32" sqref="I32"/>
    </sheetView>
  </sheetViews>
  <sheetFormatPr baseColWidth="10" defaultRowHeight="15" x14ac:dyDescent="0.25"/>
  <cols>
    <col min="2" max="2" width="13" bestFit="1" customWidth="1"/>
    <col min="4" max="4" width="13" bestFit="1" customWidth="1"/>
    <col min="5" max="5" width="18.28515625" bestFit="1" customWidth="1"/>
    <col min="6" max="6" width="20.7109375" bestFit="1" customWidth="1"/>
    <col min="7" max="7" width="25" bestFit="1" customWidth="1"/>
    <col min="9" max="9" width="25" bestFit="1" customWidth="1"/>
    <col min="10" max="10" width="25.7109375" bestFit="1" customWidth="1"/>
    <col min="11" max="11" width="20.7109375" bestFit="1" customWidth="1"/>
    <col min="15" max="15" width="13" bestFit="1" customWidth="1"/>
    <col min="16" max="16" width="18.42578125" bestFit="1" customWidth="1"/>
    <col min="17" max="17" width="20.7109375" bestFit="1" customWidth="1"/>
  </cols>
  <sheetData>
    <row r="2" spans="1:18" ht="15" customHeight="1" x14ac:dyDescent="0.25">
      <c r="B2" s="54" t="s">
        <v>28</v>
      </c>
      <c r="C2" s="55"/>
      <c r="D2" s="55"/>
      <c r="E2" s="55"/>
      <c r="F2" s="55"/>
      <c r="G2" s="55"/>
      <c r="H2" s="55"/>
      <c r="I2" s="55"/>
      <c r="J2" s="55"/>
      <c r="K2" s="56"/>
      <c r="L2" s="29"/>
    </row>
    <row r="3" spans="1:18" x14ac:dyDescent="0.25">
      <c r="B3" s="57"/>
      <c r="C3" s="58"/>
      <c r="D3" s="58"/>
      <c r="E3" s="58"/>
      <c r="F3" s="58"/>
      <c r="G3" s="58"/>
      <c r="H3" s="58"/>
      <c r="I3" s="58"/>
      <c r="J3" s="58"/>
      <c r="K3" s="59"/>
      <c r="L3" s="29"/>
    </row>
    <row r="4" spans="1:18" x14ac:dyDescent="0.25">
      <c r="B4" s="57"/>
      <c r="C4" s="58"/>
      <c r="D4" s="58"/>
      <c r="E4" s="58"/>
      <c r="F4" s="58"/>
      <c r="G4" s="58"/>
      <c r="H4" s="58"/>
      <c r="I4" s="58"/>
      <c r="J4" s="58"/>
      <c r="K4" s="59"/>
      <c r="L4" s="29"/>
    </row>
    <row r="5" spans="1:18" x14ac:dyDescent="0.25">
      <c r="B5" s="57"/>
      <c r="C5" s="58"/>
      <c r="D5" s="58"/>
      <c r="E5" s="58"/>
      <c r="F5" s="58"/>
      <c r="G5" s="58"/>
      <c r="H5" s="58"/>
      <c r="I5" s="58"/>
      <c r="J5" s="58"/>
      <c r="K5" s="59"/>
      <c r="L5" s="29"/>
    </row>
    <row r="6" spans="1:18" x14ac:dyDescent="0.25">
      <c r="B6" s="57"/>
      <c r="C6" s="58"/>
      <c r="D6" s="58"/>
      <c r="E6" s="58"/>
      <c r="F6" s="58"/>
      <c r="G6" s="58"/>
      <c r="H6" s="58"/>
      <c r="I6" s="58"/>
      <c r="J6" s="58"/>
      <c r="K6" s="59"/>
      <c r="L6" s="29"/>
    </row>
    <row r="7" spans="1:18" x14ac:dyDescent="0.25">
      <c r="B7" s="57"/>
      <c r="C7" s="58"/>
      <c r="D7" s="58"/>
      <c r="E7" s="58"/>
      <c r="F7" s="58"/>
      <c r="G7" s="58"/>
      <c r="H7" s="58"/>
      <c r="I7" s="58"/>
      <c r="J7" s="58"/>
      <c r="K7" s="59"/>
      <c r="L7" s="29"/>
    </row>
    <row r="8" spans="1:18" x14ac:dyDescent="0.25">
      <c r="B8" s="57"/>
      <c r="C8" s="58"/>
      <c r="D8" s="58"/>
      <c r="E8" s="58"/>
      <c r="F8" s="58"/>
      <c r="G8" s="58"/>
      <c r="H8" s="58"/>
      <c r="I8" s="58"/>
      <c r="J8" s="58"/>
      <c r="K8" s="59"/>
      <c r="L8" s="29"/>
    </row>
    <row r="9" spans="1:18" x14ac:dyDescent="0.25">
      <c r="B9" s="60"/>
      <c r="C9" s="61"/>
      <c r="D9" s="61"/>
      <c r="E9" s="61"/>
      <c r="F9" s="61"/>
      <c r="G9" s="61"/>
      <c r="H9" s="61"/>
      <c r="I9" s="61"/>
      <c r="J9" s="61"/>
      <c r="K9" s="62"/>
      <c r="L9" s="29"/>
    </row>
    <row r="10" spans="1:18" x14ac:dyDescent="0.25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8" x14ac:dyDescent="0.25">
      <c r="A11" s="35"/>
      <c r="B11" s="3" t="s">
        <v>25</v>
      </c>
      <c r="C11" s="4">
        <v>25</v>
      </c>
      <c r="D11" s="5" t="s">
        <v>26</v>
      </c>
      <c r="E11" s="4">
        <f>C11*12</f>
        <v>300</v>
      </c>
      <c r="F11" s="5" t="s">
        <v>2</v>
      </c>
    </row>
    <row r="12" spans="1:18" x14ac:dyDescent="0.25">
      <c r="A12" s="35"/>
    </row>
    <row r="13" spans="1:18" x14ac:dyDescent="0.25">
      <c r="A13" s="35"/>
      <c r="B13" s="9"/>
      <c r="C13" s="82" t="s">
        <v>42</v>
      </c>
      <c r="D13" s="83"/>
      <c r="E13" s="83"/>
      <c r="F13" s="83"/>
      <c r="G13" s="9"/>
      <c r="H13" s="82" t="s">
        <v>43</v>
      </c>
      <c r="I13" s="83"/>
      <c r="J13" s="83"/>
      <c r="K13" s="84"/>
      <c r="L13" s="11"/>
      <c r="M13" s="10"/>
      <c r="N13" s="82" t="s">
        <v>44</v>
      </c>
      <c r="O13" s="83"/>
      <c r="P13" s="83"/>
      <c r="Q13" s="84"/>
      <c r="R13" s="11"/>
    </row>
    <row r="14" spans="1:18" x14ac:dyDescent="0.25">
      <c r="A14" s="35"/>
      <c r="B14" s="12"/>
      <c r="F14" s="37"/>
      <c r="G14" s="12"/>
      <c r="H14" s="37"/>
      <c r="I14" s="37"/>
      <c r="J14" s="37"/>
      <c r="K14" s="15"/>
      <c r="L14" s="15"/>
      <c r="R14" s="15"/>
    </row>
    <row r="15" spans="1:18" x14ac:dyDescent="0.25">
      <c r="A15" s="35"/>
      <c r="B15" s="12"/>
      <c r="C15" s="3" t="s">
        <v>34</v>
      </c>
      <c r="D15" s="39">
        <v>250000</v>
      </c>
      <c r="E15" s="5" t="s">
        <v>27</v>
      </c>
      <c r="F15" s="37"/>
      <c r="G15" s="12"/>
      <c r="H15" s="3" t="s">
        <v>34</v>
      </c>
      <c r="I15" s="39">
        <v>370000</v>
      </c>
      <c r="J15" s="5" t="s">
        <v>27</v>
      </c>
      <c r="K15" s="15"/>
      <c r="L15" s="15"/>
      <c r="N15" s="3" t="s">
        <v>34</v>
      </c>
      <c r="O15" s="39">
        <v>500000</v>
      </c>
      <c r="P15" s="5" t="s">
        <v>27</v>
      </c>
      <c r="R15" s="15"/>
    </row>
    <row r="16" spans="1:18" x14ac:dyDescent="0.25">
      <c r="A16" s="35"/>
      <c r="B16" s="12"/>
      <c r="C16" s="3" t="s">
        <v>1</v>
      </c>
      <c r="D16" s="10">
        <v>5</v>
      </c>
      <c r="E16" s="11" t="s">
        <v>26</v>
      </c>
      <c r="F16" s="37"/>
      <c r="G16" s="12"/>
      <c r="H16" s="3" t="s">
        <v>1</v>
      </c>
      <c r="I16" s="10">
        <v>7</v>
      </c>
      <c r="J16" s="11" t="s">
        <v>26</v>
      </c>
      <c r="K16" s="15"/>
      <c r="L16" s="15"/>
      <c r="N16" s="3" t="s">
        <v>1</v>
      </c>
      <c r="O16" s="10">
        <v>13</v>
      </c>
      <c r="P16" s="11" t="s">
        <v>26</v>
      </c>
      <c r="R16" s="15"/>
    </row>
    <row r="17" spans="1:18" x14ac:dyDescent="0.25">
      <c r="A17" s="35"/>
      <c r="B17" s="12"/>
      <c r="C17" s="12"/>
      <c r="D17">
        <f>D16*12</f>
        <v>60</v>
      </c>
      <c r="E17" s="15" t="s">
        <v>2</v>
      </c>
      <c r="F17" s="37"/>
      <c r="G17" s="12"/>
      <c r="H17" s="12"/>
      <c r="I17" s="37">
        <f>I16*12</f>
        <v>84</v>
      </c>
      <c r="J17" s="15" t="s">
        <v>2</v>
      </c>
      <c r="K17" s="15"/>
      <c r="L17" s="15"/>
      <c r="N17" s="12"/>
      <c r="O17">
        <f>O16*12</f>
        <v>156</v>
      </c>
      <c r="P17" s="15" t="s">
        <v>2</v>
      </c>
      <c r="R17" s="15"/>
    </row>
    <row r="18" spans="1:18" x14ac:dyDescent="0.25">
      <c r="A18" s="35"/>
      <c r="B18" s="12"/>
      <c r="C18" s="3" t="s">
        <v>7</v>
      </c>
      <c r="D18" s="40">
        <v>8.2500000000000004E-2</v>
      </c>
      <c r="E18" s="10" t="s">
        <v>45</v>
      </c>
      <c r="F18" s="10"/>
      <c r="G18" s="12"/>
      <c r="H18" s="3" t="s">
        <v>7</v>
      </c>
      <c r="I18" s="40">
        <v>0.13350000000000001</v>
      </c>
      <c r="J18" s="10" t="s">
        <v>48</v>
      </c>
      <c r="K18" s="11"/>
      <c r="L18" s="15"/>
      <c r="N18" s="3" t="s">
        <v>7</v>
      </c>
      <c r="O18" s="40">
        <v>0.105</v>
      </c>
      <c r="P18" s="10" t="s">
        <v>50</v>
      </c>
      <c r="Q18" s="11"/>
      <c r="R18" s="15"/>
    </row>
    <row r="19" spans="1:18" x14ac:dyDescent="0.25">
      <c r="A19" s="37"/>
      <c r="B19" s="12"/>
      <c r="C19" s="12"/>
      <c r="D19" s="38">
        <f>D18/(360/19)</f>
        <v>4.3541666666666676E-3</v>
      </c>
      <c r="E19" t="s">
        <v>46</v>
      </c>
      <c r="F19" s="1" t="s">
        <v>35</v>
      </c>
      <c r="G19" s="12"/>
      <c r="H19" s="12"/>
      <c r="I19" s="38">
        <f>I18/(360/48)</f>
        <v>1.78E-2</v>
      </c>
      <c r="J19" s="37" t="s">
        <v>49</v>
      </c>
      <c r="K19" s="3" t="s">
        <v>35</v>
      </c>
      <c r="L19" s="15"/>
      <c r="N19" s="12"/>
      <c r="O19" s="38">
        <f>O18/(360/25)</f>
        <v>7.2916666666666659E-3</v>
      </c>
      <c r="P19" s="37" t="s">
        <v>51</v>
      </c>
      <c r="Q19" s="3" t="s">
        <v>35</v>
      </c>
      <c r="R19" s="15"/>
    </row>
    <row r="20" spans="1:18" x14ac:dyDescent="0.25">
      <c r="A20" s="37"/>
      <c r="B20" s="12"/>
      <c r="C20" s="24"/>
      <c r="D20" s="41">
        <f>((1+D19)^((360/19)/12))-1</f>
        <v>6.8836600772570478E-3</v>
      </c>
      <c r="E20" s="30" t="s">
        <v>47</v>
      </c>
      <c r="F20" s="1" t="s">
        <v>10</v>
      </c>
      <c r="G20" s="12"/>
      <c r="H20" s="24"/>
      <c r="I20" s="41">
        <f>((1+I19)^((360/48)/12))-1</f>
        <v>1.1088170065392644E-2</v>
      </c>
      <c r="J20" s="30" t="s">
        <v>47</v>
      </c>
      <c r="K20" s="3" t="s">
        <v>10</v>
      </c>
      <c r="L20" s="15"/>
      <c r="N20" s="24"/>
      <c r="O20" s="41">
        <f>((1+O19)^((360/25)/12))-1</f>
        <v>8.7563678429143366E-3</v>
      </c>
      <c r="P20" s="30" t="s">
        <v>47</v>
      </c>
      <c r="Q20" s="3" t="s">
        <v>10</v>
      </c>
      <c r="R20" s="15"/>
    </row>
    <row r="21" spans="1:18" x14ac:dyDescent="0.25">
      <c r="A21" s="37"/>
      <c r="B21" s="12"/>
      <c r="F21" s="37"/>
      <c r="G21" s="12"/>
      <c r="H21" s="37"/>
      <c r="I21" s="37"/>
      <c r="J21" s="37"/>
      <c r="K21" s="15"/>
      <c r="L21" s="15"/>
      <c r="O21" s="38"/>
      <c r="R21" s="15"/>
    </row>
    <row r="22" spans="1:18" x14ac:dyDescent="0.25">
      <c r="A22" s="37"/>
      <c r="B22" s="24"/>
      <c r="C22" s="30"/>
      <c r="D22" s="30"/>
      <c r="E22" s="30"/>
      <c r="F22" s="30"/>
      <c r="G22" s="24"/>
      <c r="H22" s="30"/>
      <c r="I22" s="30"/>
      <c r="J22" s="30"/>
      <c r="K22" s="28"/>
      <c r="L22" s="28"/>
      <c r="M22" s="30"/>
      <c r="N22" s="30"/>
      <c r="O22" s="30"/>
      <c r="P22" s="30"/>
      <c r="Q22" s="30"/>
      <c r="R22" s="28"/>
    </row>
    <row r="24" spans="1:18" ht="18" x14ac:dyDescent="0.25">
      <c r="F24" s="42" t="s">
        <v>36</v>
      </c>
      <c r="G24" s="43">
        <f>D15*(((1+D20)^(D17)-1)/(D20))</f>
        <v>18494430.537182018</v>
      </c>
      <c r="H24" s="44" t="s">
        <v>52</v>
      </c>
      <c r="I24" s="45" t="s">
        <v>37</v>
      </c>
      <c r="J24" s="46" t="s">
        <v>38</v>
      </c>
    </row>
    <row r="25" spans="1:18" ht="18" x14ac:dyDescent="0.25">
      <c r="F25" s="42" t="s">
        <v>39</v>
      </c>
      <c r="G25" s="43">
        <f>I15*(((1+I20)^(I17)-1)/(I20))</f>
        <v>50890877.24257803</v>
      </c>
      <c r="H25" s="44" t="s">
        <v>53</v>
      </c>
      <c r="I25" s="43">
        <f>G24*((1+I20)^(I17))</f>
        <v>46700271.636065647</v>
      </c>
      <c r="J25" s="47">
        <f>G25+I25</f>
        <v>97591148.878643677</v>
      </c>
    </row>
    <row r="26" spans="1:18" ht="18" x14ac:dyDescent="0.25">
      <c r="F26" s="42" t="s">
        <v>40</v>
      </c>
      <c r="G26" s="43">
        <f>O15*(((1+O20)^(O17)-1)/(O20))</f>
        <v>165386974.25413573</v>
      </c>
      <c r="H26" s="44" t="s">
        <v>54</v>
      </c>
      <c r="I26" s="43">
        <f>J25*((1+O20)^(O17))</f>
        <v>380252041.20301563</v>
      </c>
      <c r="J26" s="50">
        <f>G26+I26</f>
        <v>545639015.45715141</v>
      </c>
      <c r="K26" s="81" t="s">
        <v>41</v>
      </c>
      <c r="L26" s="64"/>
    </row>
    <row r="27" spans="1:18" ht="15.75" thickBot="1" x14ac:dyDescent="0.3"/>
    <row r="28" spans="1:18" ht="19.5" thickBot="1" x14ac:dyDescent="0.35">
      <c r="G28" s="85" t="s">
        <v>62</v>
      </c>
      <c r="H28" s="86"/>
      <c r="I28" s="86"/>
      <c r="J28" s="86"/>
      <c r="K28" s="87"/>
    </row>
  </sheetData>
  <mergeCells count="6">
    <mergeCell ref="G28:K28"/>
    <mergeCell ref="B2:K9"/>
    <mergeCell ref="K26:L26"/>
    <mergeCell ref="C13:F13"/>
    <mergeCell ref="H13:K13"/>
    <mergeCell ref="N13:Q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2FBE-1809-4822-BDEB-599418FF455D}">
  <dimension ref="B2:I15"/>
  <sheetViews>
    <sheetView topLeftCell="A19" zoomScale="120" zoomScaleNormal="120" workbookViewId="0">
      <selection activeCell="H15" sqref="H15"/>
    </sheetView>
  </sheetViews>
  <sheetFormatPr baseColWidth="10" defaultRowHeight="15" x14ac:dyDescent="0.25"/>
  <cols>
    <col min="2" max="2" width="75" bestFit="1" customWidth="1"/>
    <col min="3" max="3" width="16.5703125" bestFit="1" customWidth="1"/>
    <col min="4" max="4" width="17.140625" bestFit="1" customWidth="1"/>
  </cols>
  <sheetData>
    <row r="2" spans="2:9" ht="15" customHeight="1" x14ac:dyDescent="0.25">
      <c r="B2" s="54" t="s">
        <v>55</v>
      </c>
      <c r="C2" s="55"/>
      <c r="D2" s="55"/>
      <c r="E2" s="55"/>
      <c r="F2" s="55"/>
      <c r="G2" s="56"/>
      <c r="H2" s="36"/>
      <c r="I2" s="36"/>
    </row>
    <row r="3" spans="2:9" x14ac:dyDescent="0.25">
      <c r="B3" s="57"/>
      <c r="C3" s="88"/>
      <c r="D3" s="88"/>
      <c r="E3" s="88"/>
      <c r="F3" s="88"/>
      <c r="G3" s="59"/>
      <c r="H3" s="36"/>
      <c r="I3" s="36"/>
    </row>
    <row r="4" spans="2:9" x14ac:dyDescent="0.25">
      <c r="B4" s="57"/>
      <c r="C4" s="88"/>
      <c r="D4" s="88"/>
      <c r="E4" s="88"/>
      <c r="F4" s="88"/>
      <c r="G4" s="59"/>
      <c r="H4" s="36"/>
      <c r="I4" s="36"/>
    </row>
    <row r="5" spans="2:9" x14ac:dyDescent="0.25">
      <c r="B5" s="57"/>
      <c r="C5" s="88"/>
      <c r="D5" s="88"/>
      <c r="E5" s="88"/>
      <c r="F5" s="88"/>
      <c r="G5" s="59"/>
      <c r="H5" s="36"/>
      <c r="I5" s="36"/>
    </row>
    <row r="6" spans="2:9" x14ac:dyDescent="0.25">
      <c r="B6" s="57"/>
      <c r="C6" s="88"/>
      <c r="D6" s="88"/>
      <c r="E6" s="88"/>
      <c r="F6" s="88"/>
      <c r="G6" s="59"/>
      <c r="H6" s="36"/>
      <c r="I6" s="36"/>
    </row>
    <row r="7" spans="2:9" x14ac:dyDescent="0.25">
      <c r="B7" s="57"/>
      <c r="C7" s="88"/>
      <c r="D7" s="88"/>
      <c r="E7" s="88"/>
      <c r="F7" s="88"/>
      <c r="G7" s="59"/>
      <c r="H7" s="36"/>
      <c r="I7" s="36"/>
    </row>
    <row r="8" spans="2:9" x14ac:dyDescent="0.25">
      <c r="B8" s="60"/>
      <c r="C8" s="61"/>
      <c r="D8" s="61"/>
      <c r="E8" s="61"/>
      <c r="F8" s="61"/>
      <c r="G8" s="62"/>
      <c r="H8" s="36"/>
      <c r="I8" s="36"/>
    </row>
    <row r="10" spans="2:9" ht="18" x14ac:dyDescent="0.25">
      <c r="B10" s="9" t="s">
        <v>57</v>
      </c>
      <c r="C10" s="10"/>
      <c r="D10" s="52" t="s">
        <v>56</v>
      </c>
    </row>
    <row r="11" spans="2:9" x14ac:dyDescent="0.25">
      <c r="B11" s="12" t="s">
        <v>60</v>
      </c>
      <c r="C11" s="37"/>
      <c r="D11" s="15"/>
    </row>
    <row r="12" spans="2:9" x14ac:dyDescent="0.25">
      <c r="B12" s="53" t="s">
        <v>58</v>
      </c>
      <c r="C12" s="37">
        <f>1/((1.0089)^12) + 1/((1.0089)^24) + 1/((1.0089)^36)</f>
        <v>2.4344532102188658</v>
      </c>
      <c r="D12" s="15"/>
    </row>
    <row r="13" spans="2:9" x14ac:dyDescent="0.25">
      <c r="B13" s="48" t="s">
        <v>59</v>
      </c>
      <c r="C13" s="51">
        <f>95500000/C12</f>
        <v>39228521.459820628</v>
      </c>
      <c r="D13" s="28"/>
    </row>
    <row r="14" spans="2:9" ht="15.75" thickBot="1" x14ac:dyDescent="0.3"/>
    <row r="15" spans="2:9" ht="15.75" thickBot="1" x14ac:dyDescent="0.3">
      <c r="B15" s="89" t="s">
        <v>61</v>
      </c>
      <c r="C15" s="90"/>
      <c r="D15" s="91"/>
    </row>
  </sheetData>
  <mergeCells count="2">
    <mergeCell ref="B2:G8"/>
    <mergeCell ref="B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Jhonattan</dc:creator>
  <cp:lastModifiedBy>Andres</cp:lastModifiedBy>
  <dcterms:created xsi:type="dcterms:W3CDTF">2015-06-05T18:17:20Z</dcterms:created>
  <dcterms:modified xsi:type="dcterms:W3CDTF">2021-07-28T13:16:30Z</dcterms:modified>
</cp:coreProperties>
</file>