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ndres\Desktop\"/>
    </mc:Choice>
  </mc:AlternateContent>
  <xr:revisionPtr revIDLastSave="0" documentId="13_ncr:1_{F59BD6FD-BE71-43D9-B01A-BC7E867213A9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Hoja1" sheetId="1" r:id="rId1"/>
    <sheet name="Hoja3" sheetId="3" r:id="rId2"/>
  </sheets>
  <calcPr calcId="181029"/>
  <extLst>
    <ext uri="GoogleSheetsCustomDataVersion1">
      <go:sheetsCustomData xmlns:go="http://customooxmlschemas.google.com/" r:id="rId5" roundtripDataSignature="AMtx7miuiQ9Av/Uw1XBt6+vdKRnKreOubQ=="/>
    </ext>
  </extLst>
</workbook>
</file>

<file path=xl/calcChain.xml><?xml version="1.0" encoding="utf-8"?>
<calcChain xmlns="http://schemas.openxmlformats.org/spreadsheetml/2006/main">
  <c r="E141" i="1" l="1"/>
  <c r="E140" i="1"/>
  <c r="E139" i="1"/>
  <c r="E138" i="1"/>
  <c r="E137" i="1"/>
  <c r="D141" i="1"/>
  <c r="D140" i="1"/>
  <c r="D139" i="1"/>
  <c r="D137" i="1"/>
  <c r="D138" i="1"/>
  <c r="C136" i="1"/>
  <c r="L13" i="3"/>
  <c r="L14" i="3"/>
  <c r="L15" i="3"/>
  <c r="L16" i="3"/>
  <c r="L17" i="3"/>
  <c r="L18" i="3"/>
  <c r="L19" i="3"/>
  <c r="L20" i="3"/>
  <c r="L21" i="3"/>
  <c r="L22" i="3"/>
  <c r="L23" i="3"/>
  <c r="V15" i="3"/>
  <c r="V16" i="3"/>
  <c r="V17" i="3"/>
  <c r="V18" i="3"/>
  <c r="V19" i="3" s="1"/>
  <c r="V14" i="3"/>
  <c r="V13" i="3"/>
  <c r="W13" i="3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12" i="3"/>
  <c r="W11" i="3"/>
  <c r="V12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14" i="3"/>
  <c r="U15" i="3"/>
  <c r="U16" i="3"/>
  <c r="U17" i="3"/>
  <c r="U18" i="3"/>
  <c r="U19" i="3"/>
  <c r="U20" i="3"/>
  <c r="U21" i="3"/>
  <c r="U22" i="3"/>
  <c r="U23" i="3"/>
  <c r="U24" i="3"/>
  <c r="U25" i="3"/>
  <c r="U13" i="3"/>
  <c r="U12" i="3"/>
  <c r="T25" i="3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15" i="3"/>
  <c r="T16" i="3"/>
  <c r="T17" i="3" s="1"/>
  <c r="T18" i="3" s="1"/>
  <c r="T19" i="3" s="1"/>
  <c r="T20" i="3" s="1"/>
  <c r="T21" i="3" s="1"/>
  <c r="T22" i="3" s="1"/>
  <c r="T23" i="3" s="1"/>
  <c r="T24" i="3" s="1"/>
  <c r="T14" i="3"/>
  <c r="T13" i="3"/>
  <c r="T12" i="3"/>
  <c r="N13" i="3"/>
  <c r="N12" i="3"/>
  <c r="M12" i="3"/>
  <c r="O12" i="3" s="1"/>
  <c r="O11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12" i="3"/>
  <c r="F12" i="3"/>
  <c r="E12" i="3"/>
  <c r="D12" i="3"/>
  <c r="M13" i="3" l="1"/>
  <c r="O13" i="3" s="1"/>
  <c r="V20" i="3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N14" i="3" l="1"/>
  <c r="V72" i="3"/>
  <c r="M14" i="3" l="1"/>
  <c r="O14" i="3" s="1"/>
  <c r="N15" i="3" s="1"/>
  <c r="M15" i="3" s="1"/>
  <c r="O15" i="3" s="1"/>
  <c r="N16" i="3" l="1"/>
  <c r="M16" i="3" s="1"/>
  <c r="O16" i="3"/>
  <c r="N17" i="3" l="1"/>
  <c r="M17" i="3" s="1"/>
  <c r="O17" i="3" s="1"/>
  <c r="N18" i="3" s="1"/>
  <c r="M18" i="3" s="1"/>
  <c r="O18" i="3" s="1"/>
  <c r="N19" i="3" s="1"/>
  <c r="M19" i="3" s="1"/>
  <c r="O19" i="3" s="1"/>
  <c r="N20" i="3" l="1"/>
  <c r="M20" i="3" s="1"/>
  <c r="O20" i="3" s="1"/>
  <c r="N21" i="3" l="1"/>
  <c r="M21" i="3" l="1"/>
  <c r="O21" i="3" s="1"/>
  <c r="N22" i="3" s="1"/>
  <c r="M22" i="3" s="1"/>
  <c r="O22" i="3" s="1"/>
  <c r="N23" i="3"/>
  <c r="M23" i="3" s="1"/>
  <c r="O23" i="3" s="1"/>
  <c r="N24" i="3" l="1"/>
  <c r="M24" i="3" l="1"/>
  <c r="O24" i="3" s="1"/>
  <c r="N25" i="3"/>
  <c r="M25" i="3" s="1"/>
  <c r="O25" i="3"/>
  <c r="N26" i="3" l="1"/>
  <c r="M26" i="3" s="1"/>
  <c r="O26" i="3" s="1"/>
  <c r="N27" i="3" l="1"/>
  <c r="M27" i="3" s="1"/>
  <c r="O27" i="3" s="1"/>
  <c r="N28" i="3" l="1"/>
  <c r="M28" i="3" s="1"/>
  <c r="O28" i="3" s="1"/>
  <c r="N29" i="3" l="1"/>
  <c r="M29" i="3" s="1"/>
  <c r="O29" i="3" s="1"/>
  <c r="N30" i="3" l="1"/>
  <c r="M30" i="3" s="1"/>
  <c r="O30" i="3" s="1"/>
  <c r="N31" i="3" l="1"/>
  <c r="M31" i="3" s="1"/>
  <c r="O31" i="3" s="1"/>
  <c r="N32" i="3" l="1"/>
  <c r="M32" i="3" s="1"/>
  <c r="O32" i="3" s="1"/>
  <c r="N33" i="3" l="1"/>
  <c r="M33" i="3" s="1"/>
  <c r="O33" i="3" s="1"/>
  <c r="N34" i="3" l="1"/>
  <c r="M34" i="3" s="1"/>
  <c r="O34" i="3" s="1"/>
  <c r="N35" i="3" l="1"/>
  <c r="M35" i="3" s="1"/>
  <c r="O35" i="3" s="1"/>
  <c r="N36" i="3" l="1"/>
  <c r="M36" i="3" s="1"/>
  <c r="O36" i="3" s="1"/>
  <c r="N37" i="3" l="1"/>
  <c r="M37" i="3" s="1"/>
  <c r="O37" i="3" s="1"/>
  <c r="N38" i="3" l="1"/>
  <c r="M38" i="3" s="1"/>
  <c r="O38" i="3"/>
  <c r="N39" i="3" l="1"/>
  <c r="M39" i="3" s="1"/>
  <c r="O39" i="3" s="1"/>
  <c r="N40" i="3" l="1"/>
  <c r="M40" i="3" s="1"/>
  <c r="O40" i="3" s="1"/>
  <c r="N41" i="3" l="1"/>
  <c r="M41" i="3" s="1"/>
  <c r="O41" i="3" s="1"/>
  <c r="N42" i="3" l="1"/>
  <c r="M42" i="3" s="1"/>
  <c r="O42" i="3" s="1"/>
  <c r="N43" i="3" l="1"/>
  <c r="M43" i="3" s="1"/>
  <c r="O43" i="3"/>
  <c r="N44" i="3" l="1"/>
  <c r="M44" i="3" s="1"/>
  <c r="O44" i="3"/>
  <c r="N45" i="3" l="1"/>
  <c r="M45" i="3" s="1"/>
  <c r="O45" i="3" s="1"/>
  <c r="N46" i="3" l="1"/>
  <c r="M46" i="3" s="1"/>
  <c r="O46" i="3" s="1"/>
  <c r="N47" i="3" l="1"/>
  <c r="M47" i="3" s="1"/>
  <c r="O47" i="3" s="1"/>
  <c r="N48" i="3" l="1"/>
  <c r="M48" i="3" s="1"/>
  <c r="O48" i="3" s="1"/>
  <c r="N49" i="3" l="1"/>
  <c r="M49" i="3" s="1"/>
  <c r="O49" i="3" s="1"/>
  <c r="N50" i="3" l="1"/>
  <c r="M50" i="3" s="1"/>
  <c r="O50" i="3" s="1"/>
  <c r="N51" i="3" l="1"/>
  <c r="M51" i="3" s="1"/>
  <c r="O51" i="3" s="1"/>
  <c r="N52" i="3" l="1"/>
  <c r="M52" i="3" s="1"/>
  <c r="O52" i="3" s="1"/>
  <c r="N53" i="3" l="1"/>
  <c r="M53" i="3" s="1"/>
  <c r="O53" i="3" s="1"/>
  <c r="N54" i="3" l="1"/>
  <c r="M54" i="3" s="1"/>
  <c r="O54" i="3" s="1"/>
  <c r="N55" i="3" l="1"/>
  <c r="M55" i="3" s="1"/>
  <c r="O55" i="3" s="1"/>
  <c r="N56" i="3" l="1"/>
  <c r="M56" i="3" s="1"/>
  <c r="O56" i="3"/>
  <c r="N57" i="3" l="1"/>
  <c r="M57" i="3" s="1"/>
  <c r="O57" i="3" s="1"/>
  <c r="N58" i="3" l="1"/>
  <c r="M58" i="3" s="1"/>
  <c r="O58" i="3" s="1"/>
  <c r="N59" i="3" l="1"/>
  <c r="M59" i="3" s="1"/>
  <c r="O59" i="3" s="1"/>
  <c r="N60" i="3" l="1"/>
  <c r="M60" i="3" s="1"/>
  <c r="O60" i="3" s="1"/>
  <c r="N61" i="3" l="1"/>
  <c r="M61" i="3" s="1"/>
  <c r="O61" i="3" s="1"/>
  <c r="N62" i="3" l="1"/>
  <c r="M62" i="3" s="1"/>
  <c r="O62" i="3" s="1"/>
  <c r="N63" i="3" l="1"/>
  <c r="M63" i="3" s="1"/>
  <c r="O63" i="3" s="1"/>
  <c r="N64" i="3" l="1"/>
  <c r="M64" i="3" s="1"/>
  <c r="O64" i="3"/>
  <c r="N65" i="3" l="1"/>
  <c r="M65" i="3" s="1"/>
  <c r="O65" i="3"/>
  <c r="N66" i="3" l="1"/>
  <c r="M66" i="3" s="1"/>
  <c r="O66" i="3"/>
  <c r="N67" i="3" l="1"/>
  <c r="M67" i="3" s="1"/>
  <c r="O67" i="3"/>
  <c r="N68" i="3" l="1"/>
  <c r="M68" i="3" s="1"/>
  <c r="O68" i="3" s="1"/>
  <c r="N69" i="3" l="1"/>
  <c r="M69" i="3" s="1"/>
  <c r="O69" i="3" s="1"/>
  <c r="N70" i="3" l="1"/>
  <c r="M70" i="3" s="1"/>
  <c r="O70" i="3" s="1"/>
  <c r="N71" i="3" l="1"/>
  <c r="M71" i="3" l="1"/>
  <c r="O71" i="3" s="1"/>
  <c r="N72" i="3"/>
  <c r="G11" i="3" l="1"/>
  <c r="E13" i="3" s="1"/>
  <c r="E4" i="3"/>
  <c r="E5" i="3"/>
  <c r="D51" i="1"/>
  <c r="F51" i="1" s="1"/>
  <c r="H51" i="1" s="1"/>
  <c r="J51" i="1" s="1"/>
  <c r="L51" i="1" s="1"/>
  <c r="D50" i="1"/>
  <c r="F50" i="1" s="1"/>
  <c r="H50" i="1" s="1"/>
  <c r="J50" i="1" s="1"/>
  <c r="L50" i="1" s="1"/>
  <c r="D49" i="1"/>
  <c r="F49" i="1" s="1"/>
  <c r="H49" i="1" s="1"/>
  <c r="J49" i="1" s="1"/>
  <c r="L49" i="1" s="1"/>
  <c r="D48" i="1"/>
  <c r="F48" i="1" s="1"/>
  <c r="H48" i="1" s="1"/>
  <c r="J48" i="1" s="1"/>
  <c r="L48" i="1" s="1"/>
  <c r="D47" i="1"/>
  <c r="F47" i="1" s="1"/>
  <c r="D46" i="1"/>
  <c r="F46" i="1" s="1"/>
  <c r="H46" i="1" s="1"/>
  <c r="J46" i="1" s="1"/>
  <c r="L46" i="1" s="1"/>
  <c r="D45" i="1"/>
  <c r="F45" i="1" s="1"/>
  <c r="H45" i="1" s="1"/>
  <c r="J45" i="1" s="1"/>
  <c r="L45" i="1" s="1"/>
  <c r="C45" i="1"/>
  <c r="E45" i="1" s="1"/>
  <c r="G45" i="1" s="1"/>
  <c r="I45" i="1" s="1"/>
  <c r="K45" i="1" s="1"/>
  <c r="E83" i="1"/>
  <c r="C81" i="1"/>
  <c r="E81" i="1" s="1"/>
  <c r="H47" i="1" l="1"/>
  <c r="J47" i="1" s="1"/>
  <c r="L47" i="1" s="1"/>
  <c r="E59" i="3"/>
  <c r="E55" i="3"/>
  <c r="E39" i="3"/>
  <c r="E33" i="3"/>
  <c r="E51" i="3"/>
  <c r="E28" i="3"/>
  <c r="E71" i="3"/>
  <c r="E49" i="3"/>
  <c r="E26" i="3"/>
  <c r="E27" i="3"/>
  <c r="E65" i="3"/>
  <c r="E43" i="3"/>
  <c r="E50" i="3"/>
  <c r="E63" i="3"/>
  <c r="E41" i="3"/>
  <c r="G12" i="3"/>
  <c r="E60" i="3"/>
  <c r="E40" i="3"/>
  <c r="E68" i="3"/>
  <c r="E58" i="3"/>
  <c r="E48" i="3"/>
  <c r="E36" i="3"/>
  <c r="E25" i="3"/>
  <c r="E67" i="3"/>
  <c r="E57" i="3"/>
  <c r="E47" i="3"/>
  <c r="E35" i="3"/>
  <c r="E20" i="3"/>
  <c r="E66" i="3"/>
  <c r="E56" i="3"/>
  <c r="E44" i="3"/>
  <c r="E34" i="3"/>
  <c r="E19" i="3"/>
  <c r="E18" i="3"/>
  <c r="E64" i="3"/>
  <c r="E52" i="3"/>
  <c r="E42" i="3"/>
  <c r="E31" i="3"/>
  <c r="E17" i="3"/>
  <c r="E32" i="3"/>
  <c r="E24" i="3"/>
  <c r="E16" i="3"/>
  <c r="E23" i="3"/>
  <c r="E15" i="3"/>
  <c r="E70" i="3"/>
  <c r="E62" i="3"/>
  <c r="E54" i="3"/>
  <c r="E46" i="3"/>
  <c r="E38" i="3"/>
  <c r="E30" i="3"/>
  <c r="E22" i="3"/>
  <c r="E14" i="3"/>
  <c r="E69" i="3"/>
  <c r="E61" i="3"/>
  <c r="E53" i="3"/>
  <c r="E45" i="3"/>
  <c r="E37" i="3"/>
  <c r="E29" i="3"/>
  <c r="E21" i="3"/>
  <c r="S81" i="1"/>
  <c r="U81" i="1" s="1"/>
  <c r="O81" i="1"/>
  <c r="Q81" i="1" s="1"/>
  <c r="K81" i="1"/>
  <c r="M81" i="1" s="1"/>
  <c r="H83" i="1"/>
  <c r="I83" i="1" s="1"/>
  <c r="G81" i="1"/>
  <c r="I81" i="1" s="1"/>
  <c r="C51" i="1"/>
  <c r="E51" i="1" s="1"/>
  <c r="G51" i="1" s="1"/>
  <c r="I51" i="1" s="1"/>
  <c r="K51" i="1" s="1"/>
  <c r="C50" i="1"/>
  <c r="E50" i="1" s="1"/>
  <c r="G50" i="1" s="1"/>
  <c r="I50" i="1" s="1"/>
  <c r="K50" i="1" s="1"/>
  <c r="C49" i="1"/>
  <c r="E49" i="1" s="1"/>
  <c r="G49" i="1" s="1"/>
  <c r="I49" i="1" s="1"/>
  <c r="K49" i="1" s="1"/>
  <c r="C48" i="1"/>
  <c r="E48" i="1" s="1"/>
  <c r="G48" i="1" s="1"/>
  <c r="I48" i="1" s="1"/>
  <c r="K48" i="1" s="1"/>
  <c r="C47" i="1"/>
  <c r="E47" i="1" s="1"/>
  <c r="C46" i="1"/>
  <c r="E46" i="1" s="1"/>
  <c r="G46" i="1" s="1"/>
  <c r="I46" i="1" s="1"/>
  <c r="K46" i="1" s="1"/>
  <c r="E16" i="1"/>
  <c r="E17" i="1" s="1"/>
  <c r="D16" i="1"/>
  <c r="F16" i="1" s="1"/>
  <c r="C16" i="1"/>
  <c r="B16" i="1"/>
  <c r="B17" i="1" s="1"/>
  <c r="G47" i="1" l="1"/>
  <c r="I47" i="1" s="1"/>
  <c r="K47" i="1" s="1"/>
  <c r="E79" i="1"/>
  <c r="F81" i="1" s="1"/>
  <c r="C66" i="1"/>
  <c r="C65" i="1"/>
  <c r="C63" i="1"/>
  <c r="C58" i="1"/>
  <c r="C17" i="1"/>
  <c r="G17" i="1" s="1"/>
  <c r="F56" i="1" s="1"/>
  <c r="G16" i="1"/>
  <c r="C56" i="1"/>
  <c r="C60" i="1"/>
  <c r="C55" i="1"/>
  <c r="F13" i="3"/>
  <c r="D13" i="3" s="1"/>
  <c r="G13" i="3"/>
  <c r="D17" i="1"/>
  <c r="B18" i="1"/>
  <c r="E18" i="1"/>
  <c r="L83" i="1"/>
  <c r="M83" i="1" s="1"/>
  <c r="C110" i="1" l="1"/>
  <c r="E109" i="1" s="1"/>
  <c r="C109" i="1"/>
  <c r="C103" i="1"/>
  <c r="C91" i="1"/>
  <c r="C95" i="1" s="1"/>
  <c r="D18" i="1"/>
  <c r="F17" i="1"/>
  <c r="E63" i="1" s="1"/>
  <c r="E65" i="1"/>
  <c r="C18" i="1"/>
  <c r="G18" i="1" s="1"/>
  <c r="M80" i="1" s="1"/>
  <c r="F14" i="3"/>
  <c r="D14" i="3" s="1"/>
  <c r="G14" i="3"/>
  <c r="B19" i="1"/>
  <c r="C113" i="1"/>
  <c r="P83" i="1"/>
  <c r="Q83" i="1" s="1"/>
  <c r="C108" i="1"/>
  <c r="E19" i="1"/>
  <c r="G19" i="1" s="1"/>
  <c r="E103" i="1" l="1"/>
  <c r="E91" i="1"/>
  <c r="I79" i="1"/>
  <c r="E56" i="1"/>
  <c r="E58" i="1"/>
  <c r="I80" i="1"/>
  <c r="J82" i="1" s="1"/>
  <c r="F58" i="1"/>
  <c r="F65" i="1"/>
  <c r="F63" i="1"/>
  <c r="F60" i="1"/>
  <c r="F66" i="1"/>
  <c r="F55" i="1"/>
  <c r="C19" i="1"/>
  <c r="C20" i="1" s="1"/>
  <c r="D19" i="1"/>
  <c r="F18" i="1"/>
  <c r="G56" i="1" s="1"/>
  <c r="E55" i="1"/>
  <c r="E60" i="1"/>
  <c r="E66" i="1"/>
  <c r="G15" i="3"/>
  <c r="F15" i="3"/>
  <c r="D15" i="3" s="1"/>
  <c r="H63" i="1"/>
  <c r="B20" i="1"/>
  <c r="H56" i="1"/>
  <c r="H58" i="1"/>
  <c r="E20" i="1"/>
  <c r="G20" i="1" s="1"/>
  <c r="J63" i="1"/>
  <c r="T83" i="1"/>
  <c r="U83" i="1" s="1"/>
  <c r="C123" i="1"/>
  <c r="E108" i="1"/>
  <c r="E95" i="1"/>
  <c r="G65" i="1" l="1"/>
  <c r="H103" i="1"/>
  <c r="H91" i="1"/>
  <c r="H95" i="1" s="1"/>
  <c r="D110" i="1"/>
  <c r="F110" i="1"/>
  <c r="G60" i="1"/>
  <c r="M79" i="1"/>
  <c r="K80" i="1" s="1"/>
  <c r="K79" i="1" s="1"/>
  <c r="M84" i="1" s="1"/>
  <c r="J103" i="1"/>
  <c r="J108" i="1" s="1"/>
  <c r="J91" i="1"/>
  <c r="G66" i="1"/>
  <c r="F103" i="1"/>
  <c r="F108" i="1" s="1"/>
  <c r="F91" i="1"/>
  <c r="F95" i="1" s="1"/>
  <c r="G58" i="1"/>
  <c r="G55" i="1"/>
  <c r="G63" i="1"/>
  <c r="H66" i="1"/>
  <c r="H55" i="1"/>
  <c r="D20" i="1"/>
  <c r="F20" i="1" s="1"/>
  <c r="F19" i="1"/>
  <c r="H65" i="1"/>
  <c r="G80" i="1"/>
  <c r="J81" i="1"/>
  <c r="E110" i="1" s="1"/>
  <c r="G109" i="1" s="1"/>
  <c r="H60" i="1"/>
  <c r="G16" i="3"/>
  <c r="F16" i="3"/>
  <c r="D16" i="3" s="1"/>
  <c r="L63" i="1"/>
  <c r="H108" i="1"/>
  <c r="I58" i="1"/>
  <c r="J95" i="1"/>
  <c r="J60" i="1"/>
  <c r="Q80" i="1"/>
  <c r="J58" i="1"/>
  <c r="J65" i="1"/>
  <c r="J55" i="1"/>
  <c r="J56" i="1"/>
  <c r="J66" i="1"/>
  <c r="U80" i="1"/>
  <c r="V82" i="1" s="1"/>
  <c r="L110" i="1" s="1"/>
  <c r="L60" i="1"/>
  <c r="L58" i="1"/>
  <c r="L65" i="1"/>
  <c r="L56" i="1"/>
  <c r="L55" i="1"/>
  <c r="L66" i="1"/>
  <c r="G103" i="1" l="1"/>
  <c r="G108" i="1" s="1"/>
  <c r="G91" i="1"/>
  <c r="G95" i="1" s="1"/>
  <c r="L103" i="1"/>
  <c r="L108" i="1" s="1"/>
  <c r="L91" i="1"/>
  <c r="L95" i="1" s="1"/>
  <c r="I65" i="1"/>
  <c r="Q79" i="1"/>
  <c r="O80" i="1" s="1"/>
  <c r="O82" i="1" s="1"/>
  <c r="K60" i="1"/>
  <c r="U79" i="1"/>
  <c r="S80" i="1" s="1"/>
  <c r="I63" i="1"/>
  <c r="K56" i="1"/>
  <c r="I66" i="1"/>
  <c r="K65" i="1"/>
  <c r="K55" i="1"/>
  <c r="I56" i="1"/>
  <c r="K66" i="1"/>
  <c r="K58" i="1"/>
  <c r="K63" i="1"/>
  <c r="G79" i="1"/>
  <c r="G82" i="1"/>
  <c r="I60" i="1"/>
  <c r="I55" i="1"/>
  <c r="G17" i="3"/>
  <c r="F17" i="3"/>
  <c r="D17" i="3" s="1"/>
  <c r="K91" i="1" l="1"/>
  <c r="K95" i="1" s="1"/>
  <c r="K103" i="1"/>
  <c r="I84" i="1"/>
  <c r="I82" i="1" s="1"/>
  <c r="I91" i="1"/>
  <c r="I95" i="1" s="1"/>
  <c r="I103" i="1"/>
  <c r="I108" i="1" s="1"/>
  <c r="K108" i="1"/>
  <c r="M82" i="1"/>
  <c r="N80" i="1" s="1"/>
  <c r="H57" i="1" s="1"/>
  <c r="H67" i="1" s="1"/>
  <c r="G18" i="3"/>
  <c r="F18" i="3"/>
  <c r="D18" i="3" s="1"/>
  <c r="K82" i="1"/>
  <c r="N81" i="1"/>
  <c r="G110" i="1" s="1"/>
  <c r="I109" i="1" s="1"/>
  <c r="N82" i="1"/>
  <c r="H110" i="1" s="1"/>
  <c r="S79" i="1"/>
  <c r="O79" i="1"/>
  <c r="N79" i="1" l="1"/>
  <c r="G57" i="1" s="1"/>
  <c r="G67" i="1" s="1"/>
  <c r="J79" i="1"/>
  <c r="E57" i="1" s="1"/>
  <c r="E67" i="1" s="1"/>
  <c r="J80" i="1"/>
  <c r="F57" i="1" s="1"/>
  <c r="F67" i="1" s="1"/>
  <c r="G19" i="3"/>
  <c r="F19" i="3"/>
  <c r="D19" i="3" s="1"/>
  <c r="G104" i="1"/>
  <c r="Q84" i="1"/>
  <c r="U84" i="1"/>
  <c r="H104" i="1"/>
  <c r="G20" i="3" l="1"/>
  <c r="F20" i="3"/>
  <c r="D20" i="3" s="1"/>
  <c r="U82" i="1"/>
  <c r="V80" i="1" s="1"/>
  <c r="L57" i="1" s="1"/>
  <c r="L67" i="1" s="1"/>
  <c r="Q82" i="1"/>
  <c r="R79" i="1" s="1"/>
  <c r="I57" i="1" s="1"/>
  <c r="I67" i="1" s="1"/>
  <c r="R81" i="1"/>
  <c r="I110" i="1" s="1"/>
  <c r="K109" i="1" s="1"/>
  <c r="R82" i="1"/>
  <c r="J110" i="1" s="1"/>
  <c r="V81" i="1"/>
  <c r="K110" i="1" s="1"/>
  <c r="S82" i="1"/>
  <c r="V79" i="1" l="1"/>
  <c r="K57" i="1" s="1"/>
  <c r="K67" i="1" s="1"/>
  <c r="G21" i="3"/>
  <c r="F21" i="3"/>
  <c r="D21" i="3" s="1"/>
  <c r="R80" i="1"/>
  <c r="J57" i="1" s="1"/>
  <c r="J67" i="1" s="1"/>
  <c r="G22" i="3" l="1"/>
  <c r="F22" i="3"/>
  <c r="D22" i="3" s="1"/>
  <c r="G23" i="3" l="1"/>
  <c r="F23" i="3"/>
  <c r="D23" i="3" l="1"/>
  <c r="I23" i="3" s="1"/>
  <c r="C104" i="1"/>
  <c r="F24" i="3"/>
  <c r="D24" i="3" s="1"/>
  <c r="G24" i="3"/>
  <c r="C59" i="1" l="1"/>
  <c r="F25" i="3"/>
  <c r="D25" i="3" s="1"/>
  <c r="G25" i="3"/>
  <c r="F26" i="3" l="1"/>
  <c r="D26" i="3" s="1"/>
  <c r="G26" i="3"/>
  <c r="F27" i="3" l="1"/>
  <c r="D27" i="3" s="1"/>
  <c r="G27" i="3"/>
  <c r="F28" i="3" l="1"/>
  <c r="D28" i="3" s="1"/>
  <c r="G28" i="3"/>
  <c r="F29" i="3" l="1"/>
  <c r="D29" i="3" s="1"/>
  <c r="G29" i="3"/>
  <c r="F30" i="3" l="1"/>
  <c r="D30" i="3" s="1"/>
  <c r="G30" i="3"/>
  <c r="F31" i="3" l="1"/>
  <c r="D31" i="3" s="1"/>
  <c r="G31" i="3"/>
  <c r="F32" i="3" l="1"/>
  <c r="D32" i="3" s="1"/>
  <c r="G32" i="3"/>
  <c r="F33" i="3" l="1"/>
  <c r="D33" i="3" s="1"/>
  <c r="G33" i="3"/>
  <c r="F34" i="3" l="1"/>
  <c r="D34" i="3" s="1"/>
  <c r="G34" i="3"/>
  <c r="F35" i="3" l="1"/>
  <c r="G35" i="3"/>
  <c r="F36" i="3" l="1"/>
  <c r="D36" i="3" s="1"/>
  <c r="G36" i="3"/>
  <c r="F104" i="1"/>
  <c r="D35" i="3"/>
  <c r="E104" i="1"/>
  <c r="E59" i="1" l="1"/>
  <c r="E61" i="1" s="1"/>
  <c r="I35" i="3"/>
  <c r="F59" i="1"/>
  <c r="F61" i="1" s="1"/>
  <c r="F37" i="3"/>
  <c r="D37" i="3" s="1"/>
  <c r="G37" i="3"/>
  <c r="F64" i="1" l="1"/>
  <c r="F68" i="1"/>
  <c r="F69" i="1" s="1"/>
  <c r="F70" i="1" s="1"/>
  <c r="F90" i="1" s="1"/>
  <c r="E68" i="1"/>
  <c r="E64" i="1"/>
  <c r="F38" i="3"/>
  <c r="D38" i="3" s="1"/>
  <c r="G38" i="3"/>
  <c r="F102" i="1" l="1"/>
  <c r="F71" i="1"/>
  <c r="E69" i="1"/>
  <c r="E70" i="1" s="1"/>
  <c r="E90" i="1" s="1"/>
  <c r="F39" i="3"/>
  <c r="D39" i="3" s="1"/>
  <c r="G39" i="3"/>
  <c r="F72" i="1"/>
  <c r="F93" i="1" l="1"/>
  <c r="F106" i="1" s="1"/>
  <c r="E71" i="1"/>
  <c r="F73" i="1"/>
  <c r="F74" i="1" s="1"/>
  <c r="F89" i="1" s="1"/>
  <c r="F92" i="1" s="1"/>
  <c r="F94" i="1" s="1"/>
  <c r="F96" i="1" s="1"/>
  <c r="E102" i="1"/>
  <c r="F40" i="3"/>
  <c r="D40" i="3" s="1"/>
  <c r="G40" i="3"/>
  <c r="E93" i="1" l="1"/>
  <c r="E106" i="1" s="1"/>
  <c r="F75" i="1"/>
  <c r="E72" i="1"/>
  <c r="F41" i="3"/>
  <c r="D41" i="3" s="1"/>
  <c r="G41" i="3"/>
  <c r="F101" i="1"/>
  <c r="F105" i="1" s="1"/>
  <c r="F107" i="1" s="1"/>
  <c r="E73" i="1" l="1"/>
  <c r="E74" i="1" s="1"/>
  <c r="E89" i="1" s="1"/>
  <c r="F42" i="3"/>
  <c r="D42" i="3" s="1"/>
  <c r="G42" i="3"/>
  <c r="E92" i="1" l="1"/>
  <c r="E75" i="1"/>
  <c r="F43" i="3"/>
  <c r="D43" i="3" s="1"/>
  <c r="G43" i="3"/>
  <c r="E101" i="1" l="1"/>
  <c r="E94" i="1"/>
  <c r="E96" i="1" s="1"/>
  <c r="F44" i="3"/>
  <c r="D44" i="3" s="1"/>
  <c r="G44" i="3"/>
  <c r="E105" i="1" l="1"/>
  <c r="E107" i="1" s="1"/>
  <c r="E111" i="1" s="1"/>
  <c r="C115" i="1" s="1"/>
  <c r="F45" i="3"/>
  <c r="D45" i="3" s="1"/>
  <c r="G45" i="3"/>
  <c r="F46" i="3" l="1"/>
  <c r="D46" i="3" s="1"/>
  <c r="G46" i="3"/>
  <c r="F47" i="3" l="1"/>
  <c r="D47" i="3" s="1"/>
  <c r="G47" i="3"/>
  <c r="F48" i="3" l="1"/>
  <c r="D48" i="3" s="1"/>
  <c r="G48" i="3"/>
  <c r="G59" i="1"/>
  <c r="G61" i="1" s="1"/>
  <c r="H59" i="1"/>
  <c r="H61" i="1" s="1"/>
  <c r="H64" i="1" l="1"/>
  <c r="H68" i="1"/>
  <c r="G68" i="1"/>
  <c r="G64" i="1"/>
  <c r="F49" i="3"/>
  <c r="D49" i="3" s="1"/>
  <c r="G49" i="3"/>
  <c r="G69" i="1" l="1"/>
  <c r="G70" i="1" s="1"/>
  <c r="F50" i="3"/>
  <c r="D50" i="3" s="1"/>
  <c r="G50" i="3"/>
  <c r="H69" i="1"/>
  <c r="H70" i="1" s="1"/>
  <c r="H71" i="1" l="1"/>
  <c r="H93" i="1" s="1"/>
  <c r="H90" i="1"/>
  <c r="G71" i="1"/>
  <c r="G93" i="1" s="1"/>
  <c r="G90" i="1"/>
  <c r="G102" i="1"/>
  <c r="F51" i="3"/>
  <c r="D51" i="3" s="1"/>
  <c r="G51" i="3"/>
  <c r="H102" i="1"/>
  <c r="G106" i="1" l="1"/>
  <c r="G72" i="1"/>
  <c r="H106" i="1"/>
  <c r="H72" i="1"/>
  <c r="F52" i="3"/>
  <c r="D52" i="3" s="1"/>
  <c r="G52" i="3"/>
  <c r="H73" i="1" l="1"/>
  <c r="H74" i="1" s="1"/>
  <c r="G73" i="1"/>
  <c r="G74" i="1" s="1"/>
  <c r="G89" i="1" s="1"/>
  <c r="F53" i="3"/>
  <c r="D53" i="3" s="1"/>
  <c r="G53" i="3"/>
  <c r="G92" i="1" l="1"/>
  <c r="G75" i="1"/>
  <c r="G101" i="1"/>
  <c r="G105" i="1" s="1"/>
  <c r="G107" i="1" s="1"/>
  <c r="G111" i="1" s="1"/>
  <c r="C116" i="1" s="1"/>
  <c r="H89" i="1"/>
  <c r="H92" i="1" s="1"/>
  <c r="H94" i="1" s="1"/>
  <c r="H96" i="1" s="1"/>
  <c r="H75" i="1"/>
  <c r="F54" i="3"/>
  <c r="D54" i="3" s="1"/>
  <c r="G54" i="3"/>
  <c r="H101" i="1" l="1"/>
  <c r="H105" i="1" s="1"/>
  <c r="H107" i="1" s="1"/>
  <c r="G94" i="1"/>
  <c r="G96" i="1" s="1"/>
  <c r="F55" i="3"/>
  <c r="D55" i="3" s="1"/>
  <c r="G55" i="3"/>
  <c r="F56" i="3" l="1"/>
  <c r="D56" i="3" s="1"/>
  <c r="G56" i="3"/>
  <c r="F57" i="3" l="1"/>
  <c r="D57" i="3" s="1"/>
  <c r="G57" i="3"/>
  <c r="F58" i="3" l="1"/>
  <c r="D58" i="3" s="1"/>
  <c r="G58" i="3"/>
  <c r="F59" i="3" l="1"/>
  <c r="G59" i="3"/>
  <c r="F60" i="3" l="1"/>
  <c r="D60" i="3" s="1"/>
  <c r="G60" i="3"/>
  <c r="J104" i="1"/>
  <c r="D59" i="3"/>
  <c r="I104" i="1"/>
  <c r="I59" i="1" l="1"/>
  <c r="I61" i="1" s="1"/>
  <c r="J59" i="1"/>
  <c r="J61" i="1" s="1"/>
  <c r="F61" i="3"/>
  <c r="D61" i="3" s="1"/>
  <c r="G61" i="3"/>
  <c r="J68" i="1" l="1"/>
  <c r="J64" i="1"/>
  <c r="J69" i="1" s="1"/>
  <c r="J70" i="1" s="1"/>
  <c r="J90" i="1" s="1"/>
  <c r="I64" i="1"/>
  <c r="I68" i="1"/>
  <c r="F62" i="3"/>
  <c r="D62" i="3" s="1"/>
  <c r="G62" i="3"/>
  <c r="J71" i="1" l="1"/>
  <c r="I69" i="1"/>
  <c r="I70" i="1" s="1"/>
  <c r="I90" i="1" s="1"/>
  <c r="J102" i="1"/>
  <c r="F63" i="3"/>
  <c r="D63" i="3" s="1"/>
  <c r="G63" i="3"/>
  <c r="J72" i="1"/>
  <c r="J73" i="1" s="1"/>
  <c r="J93" i="1" l="1"/>
  <c r="J106" i="1" s="1"/>
  <c r="I71" i="1"/>
  <c r="I93" i="1" s="1"/>
  <c r="I102" i="1"/>
  <c r="F64" i="3"/>
  <c r="D64" i="3" s="1"/>
  <c r="G64" i="3"/>
  <c r="J74" i="1"/>
  <c r="I106" i="1" l="1"/>
  <c r="I72" i="1"/>
  <c r="F65" i="3"/>
  <c r="D65" i="3" s="1"/>
  <c r="G65" i="3"/>
  <c r="J89" i="1"/>
  <c r="J75" i="1"/>
  <c r="I73" i="1" l="1"/>
  <c r="I74" i="1" s="1"/>
  <c r="I89" i="1" s="1"/>
  <c r="F66" i="3"/>
  <c r="D66" i="3" s="1"/>
  <c r="G66" i="3"/>
  <c r="J92" i="1"/>
  <c r="J94" i="1" s="1"/>
  <c r="J96" i="1" s="1"/>
  <c r="J101" i="1"/>
  <c r="J105" i="1" s="1"/>
  <c r="J107" i="1" s="1"/>
  <c r="I101" i="1" l="1"/>
  <c r="I105" i="1" s="1"/>
  <c r="I107" i="1" s="1"/>
  <c r="I111" i="1" s="1"/>
  <c r="C117" i="1" s="1"/>
  <c r="I75" i="1"/>
  <c r="I92" i="1"/>
  <c r="I94" i="1" s="1"/>
  <c r="I96" i="1" s="1"/>
  <c r="F67" i="3"/>
  <c r="D67" i="3" s="1"/>
  <c r="G67" i="3"/>
  <c r="F68" i="3" l="1"/>
  <c r="D68" i="3" s="1"/>
  <c r="G68" i="3"/>
  <c r="F69" i="3" l="1"/>
  <c r="D69" i="3" s="1"/>
  <c r="G69" i="3"/>
  <c r="F70" i="3" l="1"/>
  <c r="D70" i="3" s="1"/>
  <c r="G70" i="3"/>
  <c r="G71" i="3" s="1"/>
  <c r="F71" i="3" l="1"/>
  <c r="F72" i="3" s="1"/>
  <c r="K104" i="1" l="1"/>
  <c r="D71" i="3"/>
  <c r="L104" i="1"/>
  <c r="K59" i="1" l="1"/>
  <c r="K61" i="1" s="1"/>
  <c r="L59" i="1"/>
  <c r="L61" i="1" s="1"/>
  <c r="L64" i="1" l="1"/>
  <c r="L68" i="1"/>
  <c r="K68" i="1"/>
  <c r="K64" i="1"/>
  <c r="K69" i="1" s="1"/>
  <c r="K70" i="1" s="1"/>
  <c r="K71" i="1" l="1"/>
  <c r="K93" i="1" s="1"/>
  <c r="K90" i="1"/>
  <c r="K102" i="1"/>
  <c r="L69" i="1"/>
  <c r="L70" i="1" s="1"/>
  <c r="L71" i="1" l="1"/>
  <c r="L93" i="1" s="1"/>
  <c r="L90" i="1"/>
  <c r="L102" i="1"/>
  <c r="K106" i="1"/>
  <c r="K72" i="1"/>
  <c r="K73" i="1" l="1"/>
  <c r="K74" i="1" s="1"/>
  <c r="K89" i="1" s="1"/>
  <c r="L106" i="1"/>
  <c r="L72" i="1"/>
  <c r="K75" i="1" l="1"/>
  <c r="L73" i="1"/>
  <c r="L74" i="1" s="1"/>
  <c r="D66" i="1"/>
  <c r="D56" i="1"/>
  <c r="D65" i="1"/>
  <c r="D60" i="1"/>
  <c r="D58" i="1"/>
  <c r="D63" i="1"/>
  <c r="D55" i="1"/>
  <c r="E80" i="1"/>
  <c r="C80" i="1" s="1"/>
  <c r="C79" i="1" s="1"/>
  <c r="D103" i="1" l="1"/>
  <c r="D108" i="1" s="1"/>
  <c r="D91" i="1"/>
  <c r="D95" i="1" s="1"/>
  <c r="L89" i="1"/>
  <c r="L75" i="1"/>
  <c r="K92" i="1"/>
  <c r="K94" i="1" s="1"/>
  <c r="K96" i="1" s="1"/>
  <c r="K101" i="1"/>
  <c r="K105" i="1" s="1"/>
  <c r="K107" i="1" s="1"/>
  <c r="K111" i="1" s="1"/>
  <c r="C118" i="1" s="1"/>
  <c r="F82" i="1"/>
  <c r="E84" i="1"/>
  <c r="E82" i="1" s="1"/>
  <c r="C82" i="1"/>
  <c r="L101" i="1" l="1"/>
  <c r="L105" i="1" s="1"/>
  <c r="L107" i="1" s="1"/>
  <c r="L92" i="1"/>
  <c r="L94" i="1" s="1"/>
  <c r="L96" i="1" s="1"/>
  <c r="F79" i="1"/>
  <c r="F80" i="1"/>
  <c r="D57" i="1" s="1"/>
  <c r="D67" i="1" s="1"/>
  <c r="D109" i="1"/>
  <c r="D59" i="1"/>
  <c r="D61" i="1" s="1"/>
  <c r="D104" i="1"/>
  <c r="C57" i="1" l="1"/>
  <c r="C67" i="1" s="1"/>
  <c r="C61" i="1"/>
  <c r="D68" i="1"/>
  <c r="D64" i="1"/>
  <c r="D113" i="1"/>
  <c r="F109" i="1"/>
  <c r="C64" i="1" l="1"/>
  <c r="C68" i="1"/>
  <c r="D123" i="1"/>
  <c r="H109" i="1"/>
  <c r="F111" i="1"/>
  <c r="D115" i="1" s="1"/>
  <c r="D69" i="1"/>
  <c r="D70" i="1" s="1"/>
  <c r="D90" i="1" s="1"/>
  <c r="D71" i="1" l="1"/>
  <c r="D93" i="1" s="1"/>
  <c r="C69" i="1"/>
  <c r="C70" i="1" s="1"/>
  <c r="C90" i="1" s="1"/>
  <c r="C145" i="1" s="1"/>
  <c r="C146" i="1" s="1"/>
  <c r="D102" i="1"/>
  <c r="D72" i="1"/>
  <c r="D73" i="1" s="1"/>
  <c r="H111" i="1"/>
  <c r="D116" i="1" s="1"/>
  <c r="J109" i="1"/>
  <c r="C71" i="1" l="1"/>
  <c r="C93" i="1" s="1"/>
  <c r="C102" i="1"/>
  <c r="D74" i="1"/>
  <c r="D89" i="1" s="1"/>
  <c r="D92" i="1" s="1"/>
  <c r="J111" i="1"/>
  <c r="D117" i="1" s="1"/>
  <c r="L109" i="1"/>
  <c r="L111" i="1" s="1"/>
  <c r="D118" i="1" s="1"/>
  <c r="D106" i="1"/>
  <c r="D94" i="1" l="1"/>
  <c r="D96" i="1" s="1"/>
  <c r="C106" i="1"/>
  <c r="C72" i="1"/>
  <c r="D75" i="1"/>
  <c r="C73" i="1" l="1"/>
  <c r="C74" i="1" s="1"/>
  <c r="D101" i="1"/>
  <c r="C89" i="1" l="1"/>
  <c r="D105" i="1"/>
  <c r="D107" i="1" s="1"/>
  <c r="D111" i="1" s="1"/>
  <c r="C75" i="1"/>
  <c r="C101" i="1"/>
  <c r="C105" i="1" s="1"/>
  <c r="C107" i="1" s="1"/>
  <c r="C111" i="1" s="1"/>
  <c r="C114" i="1" s="1"/>
  <c r="D114" i="1" l="1"/>
  <c r="D124" i="1"/>
  <c r="D125" i="1" s="1"/>
  <c r="D126" i="1" s="1"/>
  <c r="D127" i="1" s="1"/>
  <c r="C92" i="1"/>
  <c r="C94" i="1" s="1"/>
  <c r="C96" i="1" s="1"/>
  <c r="C144" i="1"/>
  <c r="C147" i="1" s="1"/>
  <c r="C121" i="1"/>
  <c r="C120" i="1"/>
  <c r="C124" i="1"/>
  <c r="C125" i="1" s="1"/>
  <c r="C126" i="1" s="1"/>
  <c r="C127" i="1" s="1"/>
  <c r="D120" i="1"/>
  <c r="D121" i="1"/>
</calcChain>
</file>

<file path=xl/sharedStrings.xml><?xml version="1.0" encoding="utf-8"?>
<sst xmlns="http://schemas.openxmlformats.org/spreadsheetml/2006/main" count="300" uniqueCount="131">
  <si>
    <t>Año</t>
  </si>
  <si>
    <t>Capacidad</t>
  </si>
  <si>
    <t>Demanda Insatisfecha</t>
  </si>
  <si>
    <t>Herramientas</t>
  </si>
  <si>
    <t>Horas Asesoría y Mantenimiento</t>
  </si>
  <si>
    <t>Producción</t>
  </si>
  <si>
    <t>IPC</t>
  </si>
  <si>
    <t>Año 1</t>
  </si>
  <si>
    <t>Año 2</t>
  </si>
  <si>
    <t>Año 3</t>
  </si>
  <si>
    <t>Año 4</t>
  </si>
  <si>
    <t>Año 5</t>
  </si>
  <si>
    <t>Descripción Costo – Proporción de Distribución</t>
  </si>
  <si>
    <t>Tipo Costo</t>
  </si>
  <si>
    <t>Herramienta</t>
  </si>
  <si>
    <t>Global</t>
  </si>
  <si>
    <t>Materia Prima</t>
  </si>
  <si>
    <t>CD</t>
  </si>
  <si>
    <t xml:space="preserve">Depreciación </t>
  </si>
  <si>
    <t>CI</t>
  </si>
  <si>
    <t xml:space="preserve">Electricidad Planta de Producción </t>
  </si>
  <si>
    <t xml:space="preserve">Mantenimiento </t>
  </si>
  <si>
    <t>15% de los costos directos</t>
  </si>
  <si>
    <t xml:space="preserve">Agua Planta de Producción </t>
  </si>
  <si>
    <t xml:space="preserve">Seguros   </t>
  </si>
  <si>
    <t>Mano de Obra Directa</t>
  </si>
  <si>
    <t xml:space="preserve">Otros Costos Directos de Producción </t>
  </si>
  <si>
    <t>Amortización Créditos</t>
  </si>
  <si>
    <t>De acuerdo a la liquidación del crédito, tomar la decisión con base al método más económico, soportar la decisión</t>
  </si>
  <si>
    <t xml:space="preserve">Mano de Obra Indirecta </t>
  </si>
  <si>
    <t xml:space="preserve">Otros Materiales de Producción  </t>
  </si>
  <si>
    <t>Otros costos indirectos</t>
  </si>
  <si>
    <t>Impuestos</t>
  </si>
  <si>
    <t>Descripción</t>
  </si>
  <si>
    <t>Variación Precios IPC</t>
  </si>
  <si>
    <t>Horas</t>
  </si>
  <si>
    <t xml:space="preserve">Materia Prima </t>
  </si>
  <si>
    <t>Depreciación</t>
  </si>
  <si>
    <t>Seguros</t>
  </si>
  <si>
    <t>Otros Costos Directos de Producción</t>
  </si>
  <si>
    <t>Costos Directos</t>
  </si>
  <si>
    <t>Total CD</t>
  </si>
  <si>
    <t>Costos Indirectos</t>
  </si>
  <si>
    <t>Mantenimiento</t>
  </si>
  <si>
    <t xml:space="preserve">Seguros </t>
  </si>
  <si>
    <t xml:space="preserve">Otros costos indirectos </t>
  </si>
  <si>
    <t>Total CI</t>
  </si>
  <si>
    <t>Total Costos antes de impuestos</t>
  </si>
  <si>
    <t>Total Costos más impuestos</t>
  </si>
  <si>
    <t>Utilidad Esperada</t>
  </si>
  <si>
    <t>Total Costos más impuestos y tasa esperada - Ingresos</t>
  </si>
  <si>
    <t>Precio Venta por Unidad</t>
  </si>
  <si>
    <t>Cantidad de Horas Año 1</t>
  </si>
  <si>
    <t>Cantidad de Horas Año 2</t>
  </si>
  <si>
    <t>Total del año</t>
  </si>
  <si>
    <t>Distribución</t>
  </si>
  <si>
    <t>Cantidad de Ingenieros</t>
  </si>
  <si>
    <t>Horas Herramienta</t>
  </si>
  <si>
    <t>Horas año / Ingeniero</t>
  </si>
  <si>
    <t>Faltante o Sobra</t>
  </si>
  <si>
    <t>Hora Ingeniero</t>
  </si>
  <si>
    <t>Valor Ingeniero</t>
  </si>
  <si>
    <t>Valor Ingenieros Año</t>
  </si>
  <si>
    <t>FC del Proyecto</t>
  </si>
  <si>
    <t>(+) ingresos afectados a impuestos</t>
  </si>
  <si>
    <t>(-) Egresos afectados a impuestos</t>
  </si>
  <si>
    <t>(-) Gastos no desembolsables</t>
  </si>
  <si>
    <t>Utilidad antes de impuestos (EBIT)</t>
  </si>
  <si>
    <t>(-) Impuestos</t>
  </si>
  <si>
    <t>Utlidades después de impuestos</t>
  </si>
  <si>
    <t>(+) Ajustes por gastos no desembolsables</t>
  </si>
  <si>
    <t>Flujo de caja</t>
  </si>
  <si>
    <t xml:space="preserve">FC del Inversionista </t>
  </si>
  <si>
    <t>(-) Intereses del préstamo</t>
  </si>
  <si>
    <t>(+) Préstamo</t>
  </si>
  <si>
    <t>(-) Amortización de la deuda- Capital</t>
  </si>
  <si>
    <t>Tasa Requerida</t>
  </si>
  <si>
    <t>VPN</t>
  </si>
  <si>
    <t>TIR</t>
  </si>
  <si>
    <t>Tiempo de Recuperación</t>
  </si>
  <si>
    <t>Años</t>
  </si>
  <si>
    <t>Meses</t>
  </si>
  <si>
    <t>Días</t>
  </si>
  <si>
    <t>Cantidad de Horas Año 3</t>
  </si>
  <si>
    <t>Cantidad de Horas Año 4</t>
  </si>
  <si>
    <t>Cantidad de Horas Año 5</t>
  </si>
  <si>
    <t>Prestamo</t>
  </si>
  <si>
    <t>anual</t>
  </si>
  <si>
    <t>mensual</t>
  </si>
  <si>
    <t>Periodo</t>
  </si>
  <si>
    <t>meses</t>
  </si>
  <si>
    <t>años</t>
  </si>
  <si>
    <t>Cuota</t>
  </si>
  <si>
    <t>Capital</t>
  </si>
  <si>
    <t>Interes</t>
  </si>
  <si>
    <t>Saldo</t>
  </si>
  <si>
    <t>i</t>
  </si>
  <si>
    <t>n</t>
  </si>
  <si>
    <t>Aleman</t>
  </si>
  <si>
    <t>AÑO 1</t>
  </si>
  <si>
    <t>AÑO 5</t>
  </si>
  <si>
    <t>AÑO 3</t>
  </si>
  <si>
    <t>AÑO 2</t>
  </si>
  <si>
    <t>AÑO 4</t>
  </si>
  <si>
    <t>Valor Total por Cada Herramienta u Hora</t>
  </si>
  <si>
    <t>Hora Asesoría y Mantenimiento</t>
  </si>
  <si>
    <t>22% de los costos directos</t>
  </si>
  <si>
    <t xml:space="preserve">La mano de obra esta tasada en 105 horas promedio para el desarrollo de cada herramienta, además de las horas para asesoría y mantenimiento, con un salario de $4.250.000 mensuales y una contribución del 62% del salario para prestaciones sociales, seguridad social y transferencias (ICBF, Sena y Caja de Compensación). </t>
  </si>
  <si>
    <t>12% de la mano de obra directa</t>
  </si>
  <si>
    <t>24% de los costos (Indirectos y directos)</t>
  </si>
  <si>
    <t>Total Interes</t>
  </si>
  <si>
    <t>Sumatoria Total</t>
  </si>
  <si>
    <t>Amortización Créditos (Cuota:Capital+Intereses)</t>
  </si>
  <si>
    <t>1 mes 25 días</t>
  </si>
  <si>
    <t>Relación costo / beneficio</t>
  </si>
  <si>
    <t xml:space="preserve">Frances </t>
  </si>
  <si>
    <t>Total Intereses</t>
  </si>
  <si>
    <t xml:space="preserve">Cuota </t>
  </si>
  <si>
    <t>Directo</t>
  </si>
  <si>
    <t>Total intereses</t>
  </si>
  <si>
    <t xml:space="preserve">R// El metodo seleccionado es el metodo Aleman ya que tiene un menor costo </t>
  </si>
  <si>
    <t>18 dias</t>
  </si>
  <si>
    <t>Invercion</t>
  </si>
  <si>
    <t>I descuento</t>
  </si>
  <si>
    <t>ingreso</t>
  </si>
  <si>
    <t>Egresos</t>
  </si>
  <si>
    <t>VNA INGRESOS</t>
  </si>
  <si>
    <t>VNA EGRESOS</t>
  </si>
  <si>
    <t>VNA EGRESOS MAS INVERCION</t>
  </si>
  <si>
    <t>COSTO - BENEFICIO</t>
  </si>
  <si>
    <t>Como la relacion costo - beneficio es mayor a 1, esto quiere decir que el proyecto es viable ya que van a ser mas los ingresos que los egresos. De acuerdo con lo anterior es conveniente invertir en el proyecto del cual se esta hablando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</si>
</sst>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$&quot;\ #,##0;[Red]\-&quot;$&quot;\ #,##0"/>
    <numFmt numFmtId="8" formatCode="&quot;$&quot;\ #,##0.00;[Red]\-&quot;$&quot;\ #,##0.0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_-;_-@"/>
    <numFmt numFmtId="165" formatCode="_-&quot;$&quot;\ * #,##0.00_-;\-&quot;$&quot;\ * #,##0.00_-;_-&quot;$&quot;\ * &quot;-&quot;_-;_-@"/>
    <numFmt numFmtId="166" formatCode="_-&quot;$&quot;\ * #,##0_-;\-&quot;$&quot;\ * #,##0_-;_-&quot;$&quot;\ * &quot;-&quot;??_-;_-@"/>
    <numFmt numFmtId="167" formatCode="[$$-240A]\ #,##0"/>
    <numFmt numFmtId="168" formatCode="&quot;$&quot;\ #,##0"/>
    <numFmt numFmtId="169" formatCode="0.0"/>
    <numFmt numFmtId="170" formatCode="0.0%"/>
    <numFmt numFmtId="171" formatCode="0.000%"/>
    <numFmt numFmtId="172" formatCode="_-&quot;$&quot;\ * #,##0.000_-;\-&quot;$&quot;\ * #,##0.000_-;_-&quot;$&quot;\ * &quot;-&quot;???_-;_-@_-"/>
    <numFmt numFmtId="173" formatCode="_-&quot;$&quot;\ * #,##0.00_-;\-&quot;$&quot;\ * #,##0.00_-;_-&quot;$&quot;\ * &quot;-&quot;???_-;_-@_-"/>
  </numFmts>
  <fonts count="11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02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3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3" fontId="0" fillId="0" borderId="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10" fontId="0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6" fontId="4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6" fontId="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6" fontId="0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3" fontId="0" fillId="0" borderId="5" xfId="0" applyNumberFormat="1" applyFont="1" applyBorder="1" applyAlignment="1">
      <alignment vertical="center"/>
    </xf>
    <xf numFmtId="165" fontId="0" fillId="0" borderId="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166" fontId="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168" fontId="0" fillId="0" borderId="5" xfId="0" applyNumberFormat="1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6" fontId="0" fillId="0" borderId="8" xfId="0" applyNumberFormat="1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8" xfId="0" applyFont="1" applyBorder="1" applyAlignment="1">
      <alignment vertical="center"/>
    </xf>
    <xf numFmtId="0" fontId="2" fillId="0" borderId="8" xfId="0" applyFont="1" applyBorder="1" applyAlignment="1"/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66" fontId="0" fillId="0" borderId="8" xfId="0" applyNumberFormat="1" applyFont="1" applyBorder="1" applyAlignment="1">
      <alignment vertical="center"/>
    </xf>
    <xf numFmtId="6" fontId="1" fillId="0" borderId="8" xfId="0" applyNumberFormat="1" applyFont="1" applyBorder="1" applyAlignment="1">
      <alignment vertical="center"/>
    </xf>
    <xf numFmtId="6" fontId="0" fillId="0" borderId="8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42" fontId="7" fillId="0" borderId="0" xfId="1" applyFont="1" applyAlignment="1">
      <alignment horizontal="center"/>
    </xf>
    <xf numFmtId="0" fontId="7" fillId="0" borderId="9" xfId="0" applyFont="1" applyBorder="1" applyAlignment="1">
      <alignment horizontal="center"/>
    </xf>
    <xf numFmtId="42" fontId="7" fillId="0" borderId="9" xfId="1" applyFont="1" applyBorder="1" applyAlignment="1">
      <alignment horizontal="center"/>
    </xf>
    <xf numFmtId="10" fontId="7" fillId="0" borderId="9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2" fontId="7" fillId="0" borderId="9" xfId="0" applyNumberFormat="1" applyFont="1" applyBorder="1" applyAlignment="1">
      <alignment horizontal="center"/>
    </xf>
    <xf numFmtId="42" fontId="7" fillId="0" borderId="0" xfId="0" applyNumberFormat="1" applyFont="1" applyAlignment="1">
      <alignment horizontal="center"/>
    </xf>
    <xf numFmtId="172" fontId="7" fillId="0" borderId="9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42" fontId="7" fillId="0" borderId="8" xfId="0" applyNumberFormat="1" applyFont="1" applyBorder="1" applyAlignment="1">
      <alignment horizontal="center"/>
    </xf>
    <xf numFmtId="172" fontId="7" fillId="0" borderId="8" xfId="0" applyNumberFormat="1" applyFont="1" applyBorder="1" applyAlignment="1">
      <alignment horizontal="center"/>
    </xf>
    <xf numFmtId="173" fontId="7" fillId="0" borderId="9" xfId="0" applyNumberFormat="1" applyFont="1" applyBorder="1" applyAlignment="1">
      <alignment horizontal="center"/>
    </xf>
    <xf numFmtId="6" fontId="0" fillId="0" borderId="5" xfId="0" applyNumberFormat="1" applyFont="1" applyFill="1" applyBorder="1" applyAlignment="1">
      <alignment vertical="center"/>
    </xf>
    <xf numFmtId="6" fontId="0" fillId="0" borderId="2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166" fontId="0" fillId="0" borderId="5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6" fontId="0" fillId="0" borderId="0" xfId="0" applyNumberFormat="1" applyFont="1" applyAlignment="1">
      <alignment vertical="center" wrapText="1"/>
    </xf>
    <xf numFmtId="9" fontId="0" fillId="2" borderId="5" xfId="0" applyNumberFormat="1" applyFont="1" applyFill="1" applyBorder="1" applyAlignment="1">
      <alignment horizontal="center" vertical="center" wrapText="1"/>
    </xf>
    <xf numFmtId="9" fontId="0" fillId="2" borderId="5" xfId="0" applyNumberFormat="1" applyFont="1" applyFill="1" applyBorder="1" applyAlignment="1">
      <alignment horizontal="center" vertical="center"/>
    </xf>
    <xf numFmtId="10" fontId="0" fillId="2" borderId="5" xfId="0" applyNumberFormat="1" applyFont="1" applyFill="1" applyBorder="1" applyAlignment="1">
      <alignment horizontal="center" vertical="center" wrapText="1"/>
    </xf>
    <xf numFmtId="6" fontId="4" fillId="2" borderId="5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44" fontId="7" fillId="0" borderId="9" xfId="3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10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6" fontId="0" fillId="0" borderId="9" xfId="0" applyNumberFormat="1" applyFont="1" applyBorder="1" applyAlignment="1">
      <alignment horizontal="center" vertical="center"/>
    </xf>
    <xf numFmtId="8" fontId="0" fillId="0" borderId="9" xfId="0" applyNumberFormat="1" applyFont="1" applyBorder="1" applyAlignment="1">
      <alignment horizontal="center" vertical="center"/>
    </xf>
    <xf numFmtId="6" fontId="4" fillId="0" borderId="5" xfId="0" applyNumberFormat="1" applyFont="1" applyFill="1" applyBorder="1" applyAlignment="1">
      <alignment vertical="center" wrapText="1"/>
    </xf>
    <xf numFmtId="2" fontId="0" fillId="0" borderId="5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vertical="center"/>
    </xf>
    <xf numFmtId="3" fontId="0" fillId="0" borderId="5" xfId="0" applyNumberFormat="1" applyFont="1" applyFill="1" applyBorder="1" applyAlignment="1">
      <alignment horizontal="center" vertical="center"/>
    </xf>
    <xf numFmtId="3" fontId="0" fillId="0" borderId="5" xfId="0" applyNumberFormat="1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165" fontId="0" fillId="0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4" fontId="0" fillId="0" borderId="5" xfId="3" applyFont="1" applyFill="1" applyBorder="1" applyAlignment="1">
      <alignment horizontal="center" vertical="center"/>
    </xf>
    <xf numFmtId="168" fontId="0" fillId="0" borderId="5" xfId="0" applyNumberFormat="1" applyFont="1" applyFill="1" applyBorder="1" applyAlignment="1">
      <alignment vertical="center"/>
    </xf>
    <xf numFmtId="164" fontId="0" fillId="0" borderId="2" xfId="0" applyNumberFormat="1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vertical="center"/>
    </xf>
    <xf numFmtId="166" fontId="1" fillId="0" borderId="5" xfId="0" applyNumberFormat="1" applyFont="1" applyFill="1" applyBorder="1" applyAlignment="1">
      <alignment vertical="center"/>
    </xf>
    <xf numFmtId="6" fontId="0" fillId="4" borderId="0" xfId="0" applyNumberFormat="1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0" fontId="6" fillId="0" borderId="9" xfId="2" applyNumberFormat="1" applyFont="1" applyBorder="1" applyAlignment="1">
      <alignment horizontal="center" wrapText="1"/>
    </xf>
    <xf numFmtId="0" fontId="1" fillId="3" borderId="9" xfId="0" applyFont="1" applyFill="1" applyBorder="1" applyAlignment="1">
      <alignment horizontal="center"/>
    </xf>
    <xf numFmtId="44" fontId="7" fillId="0" borderId="9" xfId="0" applyNumberFormat="1" applyFont="1" applyBorder="1" applyAlignment="1">
      <alignment horizontal="center"/>
    </xf>
    <xf numFmtId="42" fontId="1" fillId="3" borderId="9" xfId="0" applyNumberFormat="1" applyFont="1" applyFill="1" applyBorder="1" applyAlignment="1">
      <alignment horizontal="center"/>
    </xf>
    <xf numFmtId="0" fontId="7" fillId="0" borderId="9" xfId="3" applyNumberFormat="1" applyFont="1" applyBorder="1" applyAlignment="1">
      <alignment horizontal="center"/>
    </xf>
    <xf numFmtId="44" fontId="7" fillId="0" borderId="11" xfId="3" applyFont="1" applyBorder="1" applyAlignment="1">
      <alignment horizontal="center"/>
    </xf>
    <xf numFmtId="42" fontId="7" fillId="0" borderId="15" xfId="0" applyNumberFormat="1" applyFont="1" applyBorder="1" applyAlignment="1">
      <alignment horizontal="center"/>
    </xf>
    <xf numFmtId="6" fontId="4" fillId="5" borderId="5" xfId="0" applyNumberFormat="1" applyFont="1" applyFill="1" applyBorder="1" applyAlignment="1">
      <alignment vertical="center" wrapText="1"/>
    </xf>
    <xf numFmtId="6" fontId="0" fillId="5" borderId="5" xfId="0" applyNumberFormat="1" applyFont="1" applyFill="1" applyBorder="1" applyAlignment="1">
      <alignment horizontal="right" vertical="center"/>
    </xf>
    <xf numFmtId="6" fontId="0" fillId="5" borderId="5" xfId="0" applyNumberFormat="1" applyFont="1" applyFill="1" applyBorder="1" applyAlignment="1">
      <alignment vertical="center"/>
    </xf>
    <xf numFmtId="168" fontId="0" fillId="5" borderId="5" xfId="0" applyNumberFormat="1" applyFont="1" applyFill="1" applyBorder="1" applyAlignment="1">
      <alignment horizontal="right" vertical="center"/>
    </xf>
    <xf numFmtId="168" fontId="0" fillId="5" borderId="5" xfId="0" applyNumberFormat="1" applyFont="1" applyFill="1" applyBorder="1" applyAlignment="1">
      <alignment vertical="center"/>
    </xf>
    <xf numFmtId="3" fontId="0" fillId="5" borderId="6" xfId="0" applyNumberFormat="1" applyFont="1" applyFill="1" applyBorder="1" applyAlignment="1">
      <alignment vertical="center"/>
    </xf>
    <xf numFmtId="44" fontId="0" fillId="5" borderId="9" xfId="3" applyFont="1" applyFill="1" applyBorder="1" applyAlignment="1">
      <alignment horizontal="center" vertical="center"/>
    </xf>
    <xf numFmtId="42" fontId="0" fillId="5" borderId="9" xfId="1" applyFont="1" applyFill="1" applyBorder="1" applyAlignment="1">
      <alignment vertical="center"/>
    </xf>
    <xf numFmtId="169" fontId="0" fillId="5" borderId="9" xfId="0" applyNumberFormat="1" applyFont="1" applyFill="1" applyBorder="1" applyAlignment="1">
      <alignment horizontal="center" vertical="center"/>
    </xf>
    <xf numFmtId="42" fontId="0" fillId="5" borderId="9" xfId="1" applyFont="1" applyFill="1" applyBorder="1" applyAlignment="1">
      <alignment horizontal="center" vertical="center"/>
    </xf>
    <xf numFmtId="169" fontId="0" fillId="5" borderId="9" xfId="0" applyNumberFormat="1" applyFont="1" applyFill="1" applyBorder="1" applyAlignment="1">
      <alignment vertical="center"/>
    </xf>
    <xf numFmtId="44" fontId="0" fillId="5" borderId="9" xfId="3" applyFont="1" applyFill="1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0" fillId="5" borderId="9" xfId="0" applyNumberFormat="1" applyFont="1" applyFill="1" applyBorder="1" applyAlignment="1">
      <alignment horizontal="center" vertical="center"/>
    </xf>
    <xf numFmtId="3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right" vertical="center"/>
    </xf>
    <xf numFmtId="8" fontId="0" fillId="5" borderId="11" xfId="0" applyNumberFormat="1" applyFont="1" applyFill="1" applyBorder="1" applyAlignment="1">
      <alignment vertical="center"/>
    </xf>
    <xf numFmtId="8" fontId="0" fillId="5" borderId="9" xfId="0" applyNumberFormat="1" applyFont="1" applyFill="1" applyBorder="1" applyAlignment="1">
      <alignment horizontal="center" vertical="center"/>
    </xf>
    <xf numFmtId="0" fontId="0" fillId="5" borderId="9" xfId="0" applyFont="1" applyFill="1" applyBorder="1" applyAlignment="1">
      <alignment vertical="center"/>
    </xf>
    <xf numFmtId="6" fontId="0" fillId="5" borderId="12" xfId="0" applyNumberFormat="1" applyFont="1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3" fontId="0" fillId="5" borderId="9" xfId="0" applyNumberFormat="1" applyFont="1" applyFill="1" applyBorder="1" applyAlignment="1">
      <alignment vertical="center"/>
    </xf>
    <xf numFmtId="1" fontId="0" fillId="5" borderId="9" xfId="0" applyNumberFormat="1" applyFont="1" applyFill="1" applyBorder="1" applyAlignment="1">
      <alignment vertical="center"/>
    </xf>
    <xf numFmtId="8" fontId="0" fillId="5" borderId="9" xfId="0" applyNumberFormat="1" applyFont="1" applyFill="1" applyBorder="1" applyAlignment="1">
      <alignment vertical="center"/>
    </xf>
    <xf numFmtId="6" fontId="0" fillId="5" borderId="9" xfId="0" applyNumberFormat="1" applyFont="1" applyFill="1" applyBorder="1" applyAlignment="1">
      <alignment horizontal="center" vertical="center"/>
    </xf>
    <xf numFmtId="6" fontId="0" fillId="5" borderId="9" xfId="0" applyNumberFormat="1" applyFont="1" applyFill="1" applyBorder="1" applyAlignment="1">
      <alignment vertical="center"/>
    </xf>
    <xf numFmtId="42" fontId="0" fillId="5" borderId="5" xfId="0" applyNumberFormat="1" applyFont="1" applyFill="1" applyBorder="1" applyAlignment="1">
      <alignment vertical="center"/>
    </xf>
    <xf numFmtId="168" fontId="0" fillId="5" borderId="5" xfId="1" applyNumberFormat="1" applyFont="1" applyFill="1" applyBorder="1" applyAlignment="1">
      <alignment horizontal="right" vertical="center"/>
    </xf>
    <xf numFmtId="172" fontId="7" fillId="0" borderId="11" xfId="0" applyNumberFormat="1" applyFont="1" applyBorder="1" applyAlignment="1">
      <alignment horizontal="center"/>
    </xf>
    <xf numFmtId="168" fontId="0" fillId="5" borderId="5" xfId="1" applyNumberFormat="1" applyFont="1" applyFill="1" applyBorder="1" applyAlignment="1">
      <alignment vertical="center"/>
    </xf>
    <xf numFmtId="166" fontId="0" fillId="5" borderId="5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6" fontId="1" fillId="5" borderId="5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right" vertical="center" wrapText="1"/>
    </xf>
    <xf numFmtId="6" fontId="9" fillId="5" borderId="5" xfId="0" applyNumberFormat="1" applyFont="1" applyFill="1" applyBorder="1" applyAlignment="1">
      <alignment horizontal="right" vertical="center"/>
    </xf>
    <xf numFmtId="6" fontId="9" fillId="5" borderId="5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vertical="center"/>
    </xf>
    <xf numFmtId="8" fontId="0" fillId="5" borderId="5" xfId="0" applyNumberFormat="1" applyFont="1" applyFill="1" applyBorder="1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6" fontId="1" fillId="5" borderId="5" xfId="0" applyNumberFormat="1" applyFont="1" applyFill="1" applyBorder="1" applyAlignment="1">
      <alignment horizontal="right" vertical="center"/>
    </xf>
    <xf numFmtId="166" fontId="1" fillId="5" borderId="5" xfId="0" applyNumberFormat="1" applyFont="1" applyFill="1" applyBorder="1" applyAlignment="1">
      <alignment vertical="center"/>
    </xf>
    <xf numFmtId="167" fontId="0" fillId="5" borderId="5" xfId="0" applyNumberFormat="1" applyFont="1" applyFill="1" applyBorder="1" applyAlignment="1">
      <alignment vertical="center"/>
    </xf>
    <xf numFmtId="6" fontId="0" fillId="5" borderId="2" xfId="0" applyNumberFormat="1" applyFont="1" applyFill="1" applyBorder="1" applyAlignment="1">
      <alignment vertical="center"/>
    </xf>
    <xf numFmtId="10" fontId="0" fillId="6" borderId="5" xfId="0" applyNumberFormat="1" applyFont="1" applyFill="1" applyBorder="1" applyAlignment="1">
      <alignment horizontal="center" vertical="center"/>
    </xf>
    <xf numFmtId="10" fontId="0" fillId="6" borderId="2" xfId="2" applyNumberFormat="1" applyFont="1" applyFill="1" applyBorder="1" applyAlignment="1">
      <alignment horizontal="center" vertical="center"/>
    </xf>
    <xf numFmtId="170" fontId="0" fillId="6" borderId="9" xfId="2" applyNumberFormat="1" applyFont="1" applyFill="1" applyBorder="1" applyAlignment="1">
      <alignment vertical="center"/>
    </xf>
    <xf numFmtId="9" fontId="0" fillId="6" borderId="9" xfId="2" applyFont="1" applyFill="1" applyBorder="1" applyAlignment="1">
      <alignment vertical="center"/>
    </xf>
    <xf numFmtId="9" fontId="0" fillId="6" borderId="9" xfId="2" applyFont="1" applyFill="1" applyBorder="1" applyAlignment="1">
      <alignment horizontal="center" vertical="center"/>
    </xf>
    <xf numFmtId="10" fontId="0" fillId="5" borderId="9" xfId="0" applyNumberFormat="1" applyFont="1" applyFill="1" applyBorder="1" applyAlignment="1">
      <alignment horizontal="center" vertical="center"/>
    </xf>
    <xf numFmtId="171" fontId="0" fillId="5" borderId="9" xfId="0" applyNumberFormat="1" applyFont="1" applyFill="1" applyBorder="1" applyAlignment="1">
      <alignment horizontal="center" vertical="center"/>
    </xf>
    <xf numFmtId="42" fontId="0" fillId="5" borderId="2" xfId="0" applyNumberFormat="1" applyFont="1" applyFill="1" applyBorder="1" applyAlignment="1">
      <alignment vertical="center"/>
    </xf>
    <xf numFmtId="42" fontId="0" fillId="5" borderId="9" xfId="0" applyNumberFormat="1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44" fontId="0" fillId="0" borderId="9" xfId="3" applyFont="1" applyBorder="1" applyAlignment="1">
      <alignment vertical="center"/>
    </xf>
    <xf numFmtId="10" fontId="0" fillId="0" borderId="9" xfId="0" applyNumberFormat="1" applyFont="1" applyBorder="1" applyAlignment="1">
      <alignment vertical="center"/>
    </xf>
    <xf numFmtId="44" fontId="0" fillId="0" borderId="9" xfId="0" applyNumberFormat="1" applyFont="1" applyBorder="1" applyAlignment="1">
      <alignment vertical="center"/>
    </xf>
    <xf numFmtId="166" fontId="0" fillId="0" borderId="9" xfId="0" applyNumberFormat="1" applyFont="1" applyBorder="1" applyAlignment="1">
      <alignment vertical="center"/>
    </xf>
    <xf numFmtId="8" fontId="0" fillId="0" borderId="9" xfId="0" applyNumberFormat="1" applyFont="1" applyBorder="1" applyAlignment="1">
      <alignment vertical="center"/>
    </xf>
    <xf numFmtId="0" fontId="0" fillId="3" borderId="9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6" xfId="0" applyFont="1" applyFill="1" applyBorder="1"/>
    <xf numFmtId="0" fontId="1" fillId="5" borderId="9" xfId="0" applyFont="1" applyFill="1" applyBorder="1" applyAlignment="1">
      <alignment horizontal="center" vertical="center"/>
    </xf>
    <xf numFmtId="0" fontId="2" fillId="5" borderId="9" xfId="0" applyFont="1" applyFill="1" applyBorder="1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</cellXfs>
  <cellStyles count="4">
    <cellStyle name="Moneda" xfId="3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tabSelected="1" topLeftCell="A140" zoomScale="110" zoomScaleNormal="110" workbookViewId="0">
      <selection activeCell="D144" sqref="D144:E146"/>
    </sheetView>
  </sheetViews>
  <sheetFormatPr baseColWidth="10" defaultColWidth="12.625" defaultRowHeight="15" customHeight="1" x14ac:dyDescent="0.2"/>
  <cols>
    <col min="1" max="1" width="10.125" customWidth="1"/>
    <col min="2" max="2" width="40.25" customWidth="1"/>
    <col min="3" max="4" width="37.75" customWidth="1"/>
    <col min="5" max="5" width="38.625" customWidth="1"/>
    <col min="6" max="6" width="23.5" customWidth="1"/>
    <col min="7" max="7" width="29.875" customWidth="1"/>
    <col min="8" max="8" width="27.375" customWidth="1"/>
    <col min="9" max="9" width="19.125" customWidth="1"/>
    <col min="10" max="10" width="21.625" customWidth="1"/>
    <col min="11" max="11" width="19.375" customWidth="1"/>
    <col min="12" max="12" width="22.375" customWidth="1"/>
    <col min="13" max="13" width="18" customWidth="1"/>
    <col min="14" max="14" width="18.625" customWidth="1"/>
    <col min="15" max="15" width="23.625" customWidth="1"/>
    <col min="16" max="16" width="27.375" customWidth="1"/>
    <col min="17" max="17" width="23.125" customWidth="1"/>
    <col min="18" max="18" width="24.25" customWidth="1"/>
    <col min="19" max="19" width="27.75" customWidth="1"/>
    <col min="20" max="20" width="27" customWidth="1"/>
    <col min="21" max="21" width="23.125" customWidth="1"/>
    <col min="22" max="22" width="32.25" customWidth="1"/>
    <col min="23" max="29" width="10" customWidth="1"/>
  </cols>
  <sheetData>
    <row r="1" spans="1:29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25" customHeight="1" x14ac:dyDescent="0.2">
      <c r="A4" s="174" t="s">
        <v>0</v>
      </c>
      <c r="B4" s="176" t="s">
        <v>1</v>
      </c>
      <c r="C4" s="177"/>
      <c r="D4" s="176" t="s">
        <v>2</v>
      </c>
      <c r="E4" s="177"/>
      <c r="F4" s="178"/>
      <c r="G4" s="17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25" customHeight="1" x14ac:dyDescent="0.2">
      <c r="A5" s="175"/>
      <c r="B5" s="2" t="s">
        <v>3</v>
      </c>
      <c r="C5" s="2" t="s">
        <v>4</v>
      </c>
      <c r="D5" s="4" t="s">
        <v>3</v>
      </c>
      <c r="E5" s="4" t="s">
        <v>4</v>
      </c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25" customHeight="1" x14ac:dyDescent="0.2">
      <c r="A6" s="5">
        <v>1</v>
      </c>
      <c r="B6" s="6">
        <v>854</v>
      </c>
      <c r="C6" s="6">
        <v>85250</v>
      </c>
      <c r="D6" s="7">
        <v>567</v>
      </c>
      <c r="E6" s="8">
        <v>136734</v>
      </c>
      <c r="F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25" customHeight="1" x14ac:dyDescent="0.2">
      <c r="A7" s="5">
        <v>2</v>
      </c>
      <c r="B7" s="66">
        <v>0.1</v>
      </c>
      <c r="C7" s="66">
        <v>0.05</v>
      </c>
      <c r="D7" s="66">
        <v>0.2</v>
      </c>
      <c r="E7" s="67">
        <v>-0.15</v>
      </c>
      <c r="F7" s="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25" customHeight="1" x14ac:dyDescent="0.2">
      <c r="A8" s="5">
        <v>3</v>
      </c>
      <c r="B8" s="66">
        <v>0.1</v>
      </c>
      <c r="C8" s="66">
        <v>0.08</v>
      </c>
      <c r="D8" s="66">
        <v>0.2</v>
      </c>
      <c r="E8" s="67">
        <v>-0.15</v>
      </c>
      <c r="F8" s="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25" customHeight="1" x14ac:dyDescent="0.2">
      <c r="A9" s="5">
        <v>4</v>
      </c>
      <c r="B9" s="66">
        <v>0.15</v>
      </c>
      <c r="C9" s="66">
        <v>0.11</v>
      </c>
      <c r="D9" s="66">
        <v>0.2</v>
      </c>
      <c r="E9" s="67">
        <v>-0.15</v>
      </c>
      <c r="F9" s="9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4.25" customHeight="1" x14ac:dyDescent="0.2">
      <c r="A10" s="5">
        <v>5</v>
      </c>
      <c r="B10" s="66">
        <v>0.2</v>
      </c>
      <c r="C10" s="66">
        <v>0.13</v>
      </c>
      <c r="D10" s="66">
        <v>0.2</v>
      </c>
      <c r="E10" s="67">
        <v>-0.15</v>
      </c>
      <c r="F10" s="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4.25" customHeight="1" x14ac:dyDescent="0.2">
      <c r="A12" s="1"/>
      <c r="B12" s="10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4.25" customHeight="1" x14ac:dyDescent="0.2">
      <c r="A14" s="174" t="s">
        <v>0</v>
      </c>
      <c r="B14" s="176" t="s">
        <v>1</v>
      </c>
      <c r="C14" s="177"/>
      <c r="D14" s="176" t="s">
        <v>2</v>
      </c>
      <c r="E14" s="177"/>
      <c r="F14" s="176" t="s">
        <v>5</v>
      </c>
      <c r="G14" s="17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 customHeight="1" x14ac:dyDescent="0.2">
      <c r="A15" s="175"/>
      <c r="B15" s="2" t="s">
        <v>3</v>
      </c>
      <c r="C15" s="2" t="s">
        <v>4</v>
      </c>
      <c r="D15" s="4" t="s">
        <v>3</v>
      </c>
      <c r="E15" s="4" t="s">
        <v>4</v>
      </c>
      <c r="F15" s="4" t="s">
        <v>3</v>
      </c>
      <c r="G15" s="4" t="s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25" customHeight="1" x14ac:dyDescent="0.2">
      <c r="A16" s="5">
        <v>1</v>
      </c>
      <c r="B16" s="8">
        <f t="shared" ref="B16:E16" si="0">B6</f>
        <v>854</v>
      </c>
      <c r="C16" s="6">
        <f t="shared" si="0"/>
        <v>85250</v>
      </c>
      <c r="D16" s="8">
        <f t="shared" si="0"/>
        <v>567</v>
      </c>
      <c r="E16" s="8">
        <f t="shared" si="0"/>
        <v>136734</v>
      </c>
      <c r="F16" s="8">
        <f>D16</f>
        <v>567</v>
      </c>
      <c r="G16" s="8">
        <f>C16-17</f>
        <v>85233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25" customHeight="1" x14ac:dyDescent="0.2">
      <c r="A17" s="5">
        <v>2</v>
      </c>
      <c r="B17" s="8">
        <f t="shared" ref="B17:E17" si="1">ROUND((B16*(100%+B7)),0)</f>
        <v>939</v>
      </c>
      <c r="C17" s="6">
        <f t="shared" si="1"/>
        <v>89513</v>
      </c>
      <c r="D17" s="8">
        <f t="shared" si="1"/>
        <v>680</v>
      </c>
      <c r="E17" s="8">
        <f t="shared" si="1"/>
        <v>116224</v>
      </c>
      <c r="F17" s="8">
        <f t="shared" ref="F17:F18" si="2">D17</f>
        <v>680</v>
      </c>
      <c r="G17" s="8">
        <f>C17+79</f>
        <v>89592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25" customHeight="1" x14ac:dyDescent="0.2">
      <c r="A18" s="5">
        <v>3</v>
      </c>
      <c r="B18" s="8">
        <f t="shared" ref="B18:E18" si="3">ROUND((B17*(100%+B8)),0)</f>
        <v>1033</v>
      </c>
      <c r="C18" s="6">
        <f t="shared" si="3"/>
        <v>96674</v>
      </c>
      <c r="D18" s="8">
        <f t="shared" si="3"/>
        <v>816</v>
      </c>
      <c r="E18" s="8">
        <f t="shared" si="3"/>
        <v>98790</v>
      </c>
      <c r="F18" s="8">
        <f t="shared" si="2"/>
        <v>816</v>
      </c>
      <c r="G18" s="8">
        <f>C18+1102</f>
        <v>97776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25" customHeight="1" x14ac:dyDescent="0.2">
      <c r="A19" s="5">
        <v>4</v>
      </c>
      <c r="B19" s="8">
        <f t="shared" ref="B19:E19" si="4">ROUND((B18*(100%+B9)),0)</f>
        <v>1188</v>
      </c>
      <c r="C19" s="6">
        <f t="shared" si="4"/>
        <v>107308</v>
      </c>
      <c r="D19" s="8">
        <f t="shared" si="4"/>
        <v>979</v>
      </c>
      <c r="E19" s="8">
        <f t="shared" si="4"/>
        <v>83972</v>
      </c>
      <c r="F19" s="8">
        <f>D19</f>
        <v>979</v>
      </c>
      <c r="G19" s="8">
        <f>E19-2063</f>
        <v>81909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25" customHeight="1" x14ac:dyDescent="0.2">
      <c r="A20" s="5">
        <v>5</v>
      </c>
      <c r="B20" s="8">
        <f t="shared" ref="B20:E20" si="5">ROUND((B19*(100%+B10)),0)</f>
        <v>1426</v>
      </c>
      <c r="C20" s="6">
        <f t="shared" si="5"/>
        <v>121258</v>
      </c>
      <c r="D20" s="8">
        <f t="shared" si="5"/>
        <v>1175</v>
      </c>
      <c r="E20" s="8">
        <f t="shared" si="5"/>
        <v>71376</v>
      </c>
      <c r="F20" s="8">
        <f>D20</f>
        <v>1175</v>
      </c>
      <c r="G20" s="8">
        <f>E20-63</f>
        <v>71313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25" customHeight="1" x14ac:dyDescent="0.2">
      <c r="A21" s="1" t="s">
        <v>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4.25" customHeight="1" x14ac:dyDescent="0.2">
      <c r="A22" s="2" t="s">
        <v>7</v>
      </c>
      <c r="B22" s="2" t="s">
        <v>8</v>
      </c>
      <c r="C22" s="2" t="s">
        <v>9</v>
      </c>
      <c r="D22" s="2" t="s">
        <v>10</v>
      </c>
      <c r="E22" s="2" t="s">
        <v>11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4.25" customHeight="1" x14ac:dyDescent="0.2">
      <c r="A23" s="11">
        <v>2.4500000000000001E-2</v>
      </c>
      <c r="B23" s="68">
        <v>3.0200000000000001E-2</v>
      </c>
      <c r="C23" s="68">
        <v>2.75E-2</v>
      </c>
      <c r="D23" s="68">
        <v>3.15E-2</v>
      </c>
      <c r="E23" s="68">
        <v>3.0200000000000001E-2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4.25" customHeight="1" x14ac:dyDescent="0.2">
      <c r="A26" s="1"/>
      <c r="B26" s="180" t="s">
        <v>12</v>
      </c>
      <c r="C26" s="181" t="s">
        <v>104</v>
      </c>
      <c r="D26" s="182"/>
      <c r="E26" s="177"/>
      <c r="F26" s="183" t="s">
        <v>13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4.25" customHeight="1" x14ac:dyDescent="0.2">
      <c r="A27" s="1"/>
      <c r="B27" s="175"/>
      <c r="C27" s="12" t="s">
        <v>14</v>
      </c>
      <c r="D27" s="12" t="s">
        <v>105</v>
      </c>
      <c r="E27" s="12" t="s">
        <v>15</v>
      </c>
      <c r="F27" s="17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4.25" customHeight="1" x14ac:dyDescent="0.2">
      <c r="A28" s="1"/>
      <c r="B28" s="13" t="s">
        <v>16</v>
      </c>
      <c r="C28" s="69">
        <v>1236365</v>
      </c>
      <c r="D28" s="69">
        <v>85856</v>
      </c>
      <c r="E28" s="13"/>
      <c r="F28" s="14" t="s">
        <v>17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4.25" customHeight="1" x14ac:dyDescent="0.2">
      <c r="A29" s="1"/>
      <c r="B29" s="13" t="s">
        <v>18</v>
      </c>
      <c r="C29" s="69">
        <v>235574</v>
      </c>
      <c r="D29" s="69">
        <v>8365</v>
      </c>
      <c r="E29" s="71"/>
      <c r="F29" s="14" t="s">
        <v>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4.25" customHeight="1" x14ac:dyDescent="0.2">
      <c r="A30" s="1"/>
      <c r="B30" s="13" t="s">
        <v>20</v>
      </c>
      <c r="C30" s="69">
        <v>318426</v>
      </c>
      <c r="D30" s="69">
        <v>82345</v>
      </c>
      <c r="E30" s="71"/>
      <c r="F30" s="14" t="s">
        <v>17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4.25" customHeight="1" x14ac:dyDescent="0.2">
      <c r="A31" s="1"/>
      <c r="B31" s="13" t="s">
        <v>21</v>
      </c>
      <c r="C31" s="70"/>
      <c r="D31" s="70"/>
      <c r="E31" s="71" t="s">
        <v>106</v>
      </c>
      <c r="F31" s="14" t="s">
        <v>19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4.25" customHeight="1" x14ac:dyDescent="0.2">
      <c r="A32" s="1"/>
      <c r="B32" s="13" t="s">
        <v>23</v>
      </c>
      <c r="C32" s="69">
        <v>48986</v>
      </c>
      <c r="D32" s="69">
        <v>3726</v>
      </c>
      <c r="E32" s="71"/>
      <c r="F32" s="14" t="s">
        <v>19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4.25" customHeight="1" x14ac:dyDescent="0.2">
      <c r="A33" s="1"/>
      <c r="B33" s="13" t="s">
        <v>24</v>
      </c>
      <c r="C33" s="69">
        <v>190383</v>
      </c>
      <c r="D33" s="69">
        <v>3245</v>
      </c>
      <c r="E33" s="71"/>
      <c r="F33" s="14" t="s">
        <v>19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02" x14ac:dyDescent="0.2">
      <c r="A34" s="1"/>
      <c r="B34" s="13" t="s">
        <v>25</v>
      </c>
      <c r="C34" s="71"/>
      <c r="D34" s="71"/>
      <c r="E34" s="71" t="s">
        <v>107</v>
      </c>
      <c r="F34" s="14" t="s">
        <v>17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4.25" customHeight="1" x14ac:dyDescent="0.2">
      <c r="A35" s="1"/>
      <c r="B35" s="13" t="s">
        <v>26</v>
      </c>
      <c r="C35" s="69">
        <v>245998</v>
      </c>
      <c r="D35" s="69">
        <v>5102</v>
      </c>
      <c r="E35" s="71"/>
      <c r="F35" s="14" t="s">
        <v>17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38.25" x14ac:dyDescent="0.2">
      <c r="A36" s="1"/>
      <c r="B36" s="13" t="s">
        <v>27</v>
      </c>
      <c r="C36" s="70"/>
      <c r="D36" s="70"/>
      <c r="E36" s="71" t="s">
        <v>28</v>
      </c>
      <c r="F36" s="14" t="s">
        <v>17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4.25" customHeight="1" x14ac:dyDescent="0.2">
      <c r="A37" s="1"/>
      <c r="B37" s="13" t="s">
        <v>29</v>
      </c>
      <c r="C37" s="70"/>
      <c r="D37" s="70"/>
      <c r="E37" s="71" t="s">
        <v>108</v>
      </c>
      <c r="F37" s="14" t="s">
        <v>19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4.25" customHeight="1" x14ac:dyDescent="0.2">
      <c r="A38" s="1"/>
      <c r="B38" s="13" t="s">
        <v>30</v>
      </c>
      <c r="C38" s="69">
        <v>85250</v>
      </c>
      <c r="D38" s="69">
        <v>2845</v>
      </c>
      <c r="E38" s="71"/>
      <c r="F38" s="14" t="s">
        <v>17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4.25" customHeight="1" x14ac:dyDescent="0.2">
      <c r="A39" s="1"/>
      <c r="B39" s="13" t="s">
        <v>31</v>
      </c>
      <c r="C39" s="70"/>
      <c r="D39" s="70"/>
      <c r="E39" s="71" t="s">
        <v>22</v>
      </c>
      <c r="F39" s="14" t="s">
        <v>19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4.25" customHeight="1" x14ac:dyDescent="0.2">
      <c r="A40" s="1"/>
      <c r="B40" s="13" t="s">
        <v>32</v>
      </c>
      <c r="C40" s="70"/>
      <c r="D40" s="70"/>
      <c r="E40" s="71" t="s">
        <v>109</v>
      </c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customHeight="1" x14ac:dyDescent="0.2">
      <c r="A42" s="1"/>
      <c r="B42" s="180" t="s">
        <v>33</v>
      </c>
      <c r="C42" s="185" t="s">
        <v>34</v>
      </c>
      <c r="D42" s="182"/>
      <c r="E42" s="182"/>
      <c r="F42" s="182"/>
      <c r="G42" s="182"/>
      <c r="H42" s="182"/>
      <c r="I42" s="182"/>
      <c r="J42" s="182"/>
      <c r="K42" s="182"/>
      <c r="L42" s="17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customHeight="1" x14ac:dyDescent="0.2">
      <c r="A43" s="1"/>
      <c r="B43" s="184"/>
      <c r="C43" s="185" t="s">
        <v>7</v>
      </c>
      <c r="D43" s="177"/>
      <c r="E43" s="185" t="s">
        <v>8</v>
      </c>
      <c r="F43" s="177"/>
      <c r="G43" s="185" t="s">
        <v>9</v>
      </c>
      <c r="H43" s="177"/>
      <c r="I43" s="185" t="s">
        <v>10</v>
      </c>
      <c r="J43" s="177"/>
      <c r="K43" s="185" t="s">
        <v>11</v>
      </c>
      <c r="L43" s="17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4.25" customHeight="1" x14ac:dyDescent="0.2">
      <c r="A44" s="1"/>
      <c r="B44" s="175"/>
      <c r="C44" s="15" t="s">
        <v>3</v>
      </c>
      <c r="D44" s="16" t="s">
        <v>35</v>
      </c>
      <c r="E44" s="15" t="s">
        <v>3</v>
      </c>
      <c r="F44" s="16" t="s">
        <v>35</v>
      </c>
      <c r="G44" s="15" t="s">
        <v>3</v>
      </c>
      <c r="H44" s="16" t="s">
        <v>35</v>
      </c>
      <c r="I44" s="15" t="s">
        <v>3</v>
      </c>
      <c r="J44" s="16" t="s">
        <v>35</v>
      </c>
      <c r="K44" s="15" t="s">
        <v>3</v>
      </c>
      <c r="L44" s="16" t="s">
        <v>35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4.25" customHeight="1" x14ac:dyDescent="0.2">
      <c r="A45" s="1"/>
      <c r="B45" s="17" t="s">
        <v>36</v>
      </c>
      <c r="C45" s="18">
        <f>C28</f>
        <v>1236365</v>
      </c>
      <c r="D45" s="18">
        <f>D28</f>
        <v>85856</v>
      </c>
      <c r="E45" s="81">
        <f>ROUND(C45*(100%+$A$23),0)</f>
        <v>1266656</v>
      </c>
      <c r="F45" s="107">
        <f>D45*(100%+$A$23)</f>
        <v>87959.471999999994</v>
      </c>
      <c r="G45" s="107">
        <f>ROUND(E45*(100%+$B$23),0)</f>
        <v>1304909</v>
      </c>
      <c r="H45" s="107">
        <f>F45*(100%+$B$23)</f>
        <v>90615.84805439999</v>
      </c>
      <c r="I45" s="107">
        <f>G45*(100%+$C$23)</f>
        <v>1340793.9975000001</v>
      </c>
      <c r="J45" s="107">
        <f>H45*(100%+$C$23)</f>
        <v>93107.783875895999</v>
      </c>
      <c r="K45" s="107">
        <f>I45*(100%+$D$23)</f>
        <v>1383029.0084212502</v>
      </c>
      <c r="L45" s="107">
        <f>J45*(100%+$D$23)</f>
        <v>96040.679067986726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4.25" customHeight="1" x14ac:dyDescent="0.2">
      <c r="A46" s="1"/>
      <c r="B46" s="17" t="s">
        <v>37</v>
      </c>
      <c r="C46" s="18">
        <f t="shared" ref="C46" si="6">C29</f>
        <v>235574</v>
      </c>
      <c r="D46" s="18">
        <f>D29</f>
        <v>8365</v>
      </c>
      <c r="E46" s="81">
        <f t="shared" ref="E46:E51" si="7">ROUND(C46*(100%+$A$23),0)</f>
        <v>241346</v>
      </c>
      <c r="F46" s="107">
        <f t="shared" ref="F46:F51" si="8">D46*(100%+$A$23)</f>
        <v>8569.9424999999992</v>
      </c>
      <c r="G46" s="107">
        <f t="shared" ref="G46:G51" si="9">ROUND(E46*(100%+$B$23),0)</f>
        <v>248635</v>
      </c>
      <c r="H46" s="107">
        <f t="shared" ref="H46:H51" si="10">F46*(100%+$B$23)</f>
        <v>8828.7547634999992</v>
      </c>
      <c r="I46" s="107">
        <f t="shared" ref="I46:I51" si="11">G46*(100%+$C$23)</f>
        <v>255472.46250000002</v>
      </c>
      <c r="J46" s="107">
        <f t="shared" ref="J46:J51" si="12">H46*(100%+$C$23)</f>
        <v>9071.5455194962506</v>
      </c>
      <c r="K46" s="107">
        <f t="shared" ref="K46:K51" si="13">I46*(100%+$D$23)</f>
        <v>263519.84506875003</v>
      </c>
      <c r="L46" s="107">
        <f t="shared" ref="L46:L51" si="14">J46*(100%+$D$23)</f>
        <v>9357.2992033603823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4.25" customHeight="1" x14ac:dyDescent="0.2">
      <c r="A47" s="1"/>
      <c r="B47" s="17" t="s">
        <v>20</v>
      </c>
      <c r="C47" s="18">
        <f t="shared" ref="C47" si="15">C30</f>
        <v>318426</v>
      </c>
      <c r="D47" s="18">
        <f>D30</f>
        <v>82345</v>
      </c>
      <c r="E47" s="81">
        <f t="shared" si="7"/>
        <v>326227</v>
      </c>
      <c r="F47" s="107">
        <f t="shared" si="8"/>
        <v>84362.452499999999</v>
      </c>
      <c r="G47" s="107">
        <f t="shared" si="9"/>
        <v>336079</v>
      </c>
      <c r="H47" s="107">
        <f t="shared" si="10"/>
        <v>86910.198565500003</v>
      </c>
      <c r="I47" s="107">
        <f t="shared" si="11"/>
        <v>345321.17250000004</v>
      </c>
      <c r="J47" s="107">
        <f t="shared" si="12"/>
        <v>89300.229026051253</v>
      </c>
      <c r="K47" s="107">
        <f t="shared" si="13"/>
        <v>356198.78943375009</v>
      </c>
      <c r="L47" s="107">
        <f t="shared" si="14"/>
        <v>92113.18624037187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4.25" customHeight="1" x14ac:dyDescent="0.2">
      <c r="A48" s="1"/>
      <c r="B48" s="17" t="s">
        <v>23</v>
      </c>
      <c r="C48" s="18">
        <f t="shared" ref="C48" si="16">C32</f>
        <v>48986</v>
      </c>
      <c r="D48" s="18">
        <f>D32</f>
        <v>3726</v>
      </c>
      <c r="E48" s="81">
        <f t="shared" si="7"/>
        <v>50186</v>
      </c>
      <c r="F48" s="107">
        <f t="shared" si="8"/>
        <v>3817.2869999999998</v>
      </c>
      <c r="G48" s="107">
        <f t="shared" si="9"/>
        <v>51702</v>
      </c>
      <c r="H48" s="107">
        <f t="shared" si="10"/>
        <v>3932.5690673999998</v>
      </c>
      <c r="I48" s="107">
        <f t="shared" si="11"/>
        <v>53123.805000000008</v>
      </c>
      <c r="J48" s="107">
        <f t="shared" si="12"/>
        <v>4040.7147167534999</v>
      </c>
      <c r="K48" s="107">
        <f t="shared" si="13"/>
        <v>54797.204857500015</v>
      </c>
      <c r="L48" s="107">
        <f t="shared" si="14"/>
        <v>4167.9972303312352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4.25" customHeight="1" x14ac:dyDescent="0.2">
      <c r="A49" s="1"/>
      <c r="B49" s="17" t="s">
        <v>38</v>
      </c>
      <c r="C49" s="18">
        <f t="shared" ref="C49" si="17">C33</f>
        <v>190383</v>
      </c>
      <c r="D49" s="18">
        <f>D33</f>
        <v>3245</v>
      </c>
      <c r="E49" s="81">
        <f t="shared" si="7"/>
        <v>195047</v>
      </c>
      <c r="F49" s="107">
        <f t="shared" si="8"/>
        <v>3324.5025000000001</v>
      </c>
      <c r="G49" s="107">
        <f t="shared" si="9"/>
        <v>200937</v>
      </c>
      <c r="H49" s="107">
        <f t="shared" si="10"/>
        <v>3424.9024755</v>
      </c>
      <c r="I49" s="107">
        <f t="shared" si="11"/>
        <v>206462.76750000002</v>
      </c>
      <c r="J49" s="107">
        <f t="shared" si="12"/>
        <v>3519.0872935762504</v>
      </c>
      <c r="K49" s="107">
        <f t="shared" si="13"/>
        <v>212966.34467625004</v>
      </c>
      <c r="L49" s="107">
        <f t="shared" si="14"/>
        <v>3629.9385433239026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4.25" customHeight="1" x14ac:dyDescent="0.2">
      <c r="A50" s="1"/>
      <c r="B50" s="17" t="s">
        <v>39</v>
      </c>
      <c r="C50" s="18">
        <f t="shared" ref="C50" si="18">C35</f>
        <v>245998</v>
      </c>
      <c r="D50" s="18">
        <f>D35</f>
        <v>5102</v>
      </c>
      <c r="E50" s="81">
        <f t="shared" si="7"/>
        <v>252025</v>
      </c>
      <c r="F50" s="107">
        <f t="shared" si="8"/>
        <v>5226.9989999999998</v>
      </c>
      <c r="G50" s="107">
        <f t="shared" si="9"/>
        <v>259636</v>
      </c>
      <c r="H50" s="107">
        <f t="shared" si="10"/>
        <v>5384.8543697999994</v>
      </c>
      <c r="I50" s="107">
        <f t="shared" si="11"/>
        <v>266775.99000000005</v>
      </c>
      <c r="J50" s="107">
        <f t="shared" si="12"/>
        <v>5532.9378649695</v>
      </c>
      <c r="K50" s="107">
        <f t="shared" si="13"/>
        <v>275179.43368500005</v>
      </c>
      <c r="L50" s="107">
        <f t="shared" si="14"/>
        <v>5707.2254077160396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4.25" customHeight="1" x14ac:dyDescent="0.2">
      <c r="A51" s="1"/>
      <c r="B51" s="17" t="s">
        <v>30</v>
      </c>
      <c r="C51" s="18">
        <f t="shared" ref="C51" si="19">C38</f>
        <v>85250</v>
      </c>
      <c r="D51" s="18">
        <f>D38</f>
        <v>2845</v>
      </c>
      <c r="E51" s="81">
        <f t="shared" si="7"/>
        <v>87339</v>
      </c>
      <c r="F51" s="107">
        <f t="shared" si="8"/>
        <v>2914.7024999999999</v>
      </c>
      <c r="G51" s="107">
        <f t="shared" si="9"/>
        <v>89977</v>
      </c>
      <c r="H51" s="107">
        <f t="shared" si="10"/>
        <v>3002.7265155</v>
      </c>
      <c r="I51" s="107">
        <f t="shared" si="11"/>
        <v>92451.367500000008</v>
      </c>
      <c r="J51" s="107">
        <f t="shared" si="12"/>
        <v>3085.3014946762501</v>
      </c>
      <c r="K51" s="107">
        <f t="shared" si="13"/>
        <v>95363.585576250014</v>
      </c>
      <c r="L51" s="107">
        <f t="shared" si="14"/>
        <v>3182.4884917585523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4.25" customHeight="1" x14ac:dyDescent="0.2">
      <c r="A53" s="1"/>
      <c r="B53" s="180" t="s">
        <v>40</v>
      </c>
      <c r="C53" s="185" t="s">
        <v>7</v>
      </c>
      <c r="D53" s="177"/>
      <c r="E53" s="185" t="s">
        <v>8</v>
      </c>
      <c r="F53" s="177"/>
      <c r="G53" s="185" t="s">
        <v>9</v>
      </c>
      <c r="H53" s="177"/>
      <c r="I53" s="185" t="s">
        <v>10</v>
      </c>
      <c r="J53" s="177"/>
      <c r="K53" s="185" t="s">
        <v>11</v>
      </c>
      <c r="L53" s="17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4.25" customHeight="1" x14ac:dyDescent="0.2">
      <c r="A54" s="1"/>
      <c r="B54" s="175"/>
      <c r="C54" s="16" t="s">
        <v>3</v>
      </c>
      <c r="D54" s="16" t="s">
        <v>35</v>
      </c>
      <c r="E54" s="16" t="s">
        <v>3</v>
      </c>
      <c r="F54" s="16" t="s">
        <v>35</v>
      </c>
      <c r="G54" s="16" t="s">
        <v>3</v>
      </c>
      <c r="H54" s="16" t="s">
        <v>35</v>
      </c>
      <c r="I54" s="16" t="s">
        <v>3</v>
      </c>
      <c r="J54" s="16" t="s">
        <v>35</v>
      </c>
      <c r="K54" s="16" t="s">
        <v>3</v>
      </c>
      <c r="L54" s="16" t="s">
        <v>35</v>
      </c>
      <c r="M54" s="19"/>
      <c r="N54" s="19"/>
      <c r="O54" s="19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4.25" customHeight="1" x14ac:dyDescent="0.2">
      <c r="A55" s="1"/>
      <c r="B55" s="13" t="s">
        <v>16</v>
      </c>
      <c r="C55" s="20">
        <f>C45*F16</f>
        <v>701018955</v>
      </c>
      <c r="D55" s="20">
        <f>D45*G16</f>
        <v>7317764448</v>
      </c>
      <c r="E55" s="108">
        <f t="shared" ref="E55:F55" si="20">E45*F17</f>
        <v>861326080</v>
      </c>
      <c r="F55" s="108">
        <f t="shared" si="20"/>
        <v>7880465015.4239998</v>
      </c>
      <c r="G55" s="108">
        <f>G45*F18</f>
        <v>1064805744</v>
      </c>
      <c r="H55" s="109">
        <f>H45*G18</f>
        <v>8860055159.3670139</v>
      </c>
      <c r="I55" s="109">
        <f>I45*F19</f>
        <v>1312637323.5525</v>
      </c>
      <c r="J55" s="109">
        <f>J45*G19</f>
        <v>7626365469.4907656</v>
      </c>
      <c r="K55" s="109">
        <f>K45*F20</f>
        <v>1625059084.894969</v>
      </c>
      <c r="L55" s="109">
        <f>L45*G20</f>
        <v>6848948946.3753376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4.25" customHeight="1" x14ac:dyDescent="0.2">
      <c r="A56" s="1"/>
      <c r="B56" s="13" t="s">
        <v>20</v>
      </c>
      <c r="C56" s="20">
        <f>C47*F16</f>
        <v>180547542</v>
      </c>
      <c r="D56" s="20">
        <f t="shared" ref="D56" si="21">D47*G16</f>
        <v>7018511385</v>
      </c>
      <c r="E56" s="138">
        <f>E47*F17</f>
        <v>221834360</v>
      </c>
      <c r="F56" s="108">
        <f>F47*G17</f>
        <v>7558200844.3800001</v>
      </c>
      <c r="G56" s="108">
        <f>G47*F18</f>
        <v>274240464</v>
      </c>
      <c r="H56" s="109">
        <f>H47*G18</f>
        <v>8497731574.9403286</v>
      </c>
      <c r="I56" s="109">
        <f>I47*F19</f>
        <v>338069427.87750006</v>
      </c>
      <c r="J56" s="109">
        <f>J47*G19</f>
        <v>7314492459.2948322</v>
      </c>
      <c r="K56" s="109">
        <f>K47*F20</f>
        <v>418533577.58465636</v>
      </c>
      <c r="L56" s="109">
        <f>L47*G20</f>
        <v>6568867650.3596392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4.25" customHeight="1" x14ac:dyDescent="0.2">
      <c r="A57" s="1"/>
      <c r="B57" s="13" t="s">
        <v>25</v>
      </c>
      <c r="C57" s="32">
        <f>F79</f>
        <v>1970665745.1923077</v>
      </c>
      <c r="D57" s="92">
        <f>F80</f>
        <v>2821294254.8076925</v>
      </c>
      <c r="E57" s="110">
        <f>J79</f>
        <v>2421312165.8653846</v>
      </c>
      <c r="F57" s="110">
        <f>J80</f>
        <v>3038238089.1346154</v>
      </c>
      <c r="G57" s="110">
        <f>N79</f>
        <v>2993322951.9294238</v>
      </c>
      <c r="H57" s="137">
        <f>N80</f>
        <v>3415909721.6135778</v>
      </c>
      <c r="I57" s="137">
        <f>R79</f>
        <v>3690013366.5590997</v>
      </c>
      <c r="J57" s="137">
        <f>R80</f>
        <v>2940272433.8877306</v>
      </c>
      <c r="K57" s="137">
        <f>V79</f>
        <v>4568276124.041584</v>
      </c>
      <c r="L57" s="111">
        <f>V80</f>
        <v>2640546911.7226138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4.25" customHeight="1" x14ac:dyDescent="0.2">
      <c r="A58" s="1"/>
      <c r="B58" s="13" t="s">
        <v>39</v>
      </c>
      <c r="C58" s="20">
        <f>C50*F16</f>
        <v>139480866</v>
      </c>
      <c r="D58" s="20">
        <f>D50*G16</f>
        <v>434858766</v>
      </c>
      <c r="E58" s="108">
        <f>E50*F17</f>
        <v>171377000</v>
      </c>
      <c r="F58" s="108">
        <f>F50*G17</f>
        <v>468297294.40799999</v>
      </c>
      <c r="G58" s="108">
        <f>G50*F18</f>
        <v>211862976</v>
      </c>
      <c r="H58" s="109">
        <f>H50*G18</f>
        <v>526509520.86156476</v>
      </c>
      <c r="I58" s="109">
        <f>I50*F19</f>
        <v>261173694.21000004</v>
      </c>
      <c r="J58" s="109">
        <f>J50*G19</f>
        <v>453197407.58178675</v>
      </c>
      <c r="K58" s="109">
        <f>K50*F20</f>
        <v>323335834.57987505</v>
      </c>
      <c r="L58" s="109">
        <f>L50*G20</f>
        <v>406999365.50045395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s="35" customFormat="1" ht="14.25" customHeight="1" x14ac:dyDescent="0.2">
      <c r="A59" s="1"/>
      <c r="B59" s="13" t="s">
        <v>112</v>
      </c>
      <c r="C59" s="109">
        <f>SUM(Hoja3!D12:D23)*F81</f>
        <v>63112298.059973754</v>
      </c>
      <c r="D59" s="109">
        <f>SUM(Hoja3!D12:D23)*F82</f>
        <v>90354421.777874231</v>
      </c>
      <c r="E59" s="138">
        <f>SUM(Hoja3!D24:D35)*J81</f>
        <v>63388281.79825788</v>
      </c>
      <c r="F59" s="110">
        <f>SUM(Hoja3!D24:D35)*J82</f>
        <v>79538976.790889621</v>
      </c>
      <c r="G59" s="138">
        <f>SUM(Hoja3!D36:D47)*N81</f>
        <v>61829465.790868126</v>
      </c>
      <c r="H59" s="111">
        <f>SUM(Hoja3!D36:D47)*N82</f>
        <v>70558331.54957892</v>
      </c>
      <c r="I59" s="111">
        <f>SUM(Hoja3!D48:D59)*R81</f>
        <v>67813364.672942057</v>
      </c>
      <c r="J59" s="109">
        <f>SUM(Hoja3!D48:D59)*R82</f>
        <v>54034971.418804519</v>
      </c>
      <c r="K59" s="111">
        <f>SUM(Hoja3!D60:D71)*V81</f>
        <v>70537128.296355233</v>
      </c>
      <c r="L59" s="140">
        <f>SUM(Hoja3!D60:D71)*V82</f>
        <v>40771746.546690829</v>
      </c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29" ht="14.25" customHeight="1" x14ac:dyDescent="0.2">
      <c r="A60" s="1"/>
      <c r="B60" s="144" t="s">
        <v>30</v>
      </c>
      <c r="C60" s="109">
        <f>C51*F16</f>
        <v>48336750</v>
      </c>
      <c r="D60" s="109">
        <f>D51*G16</f>
        <v>242487885</v>
      </c>
      <c r="E60" s="108">
        <f>E51*F17</f>
        <v>59390520</v>
      </c>
      <c r="F60" s="108">
        <f>F51*G17</f>
        <v>261134026.38</v>
      </c>
      <c r="G60" s="108">
        <f>G51*F18</f>
        <v>73421232</v>
      </c>
      <c r="H60" s="109">
        <f>H51*G18</f>
        <v>293594587.77952802</v>
      </c>
      <c r="I60" s="109">
        <f>I51*F19</f>
        <v>90509888.782500014</v>
      </c>
      <c r="J60" s="109">
        <f>J50*G19</f>
        <v>453197407.58178675</v>
      </c>
      <c r="K60" s="109">
        <f>K50*F20</f>
        <v>323335834.57987505</v>
      </c>
      <c r="L60" s="109">
        <f>L50*G20</f>
        <v>406999365.50045395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4.25" customHeight="1" x14ac:dyDescent="0.2">
      <c r="A61" s="1"/>
      <c r="B61" s="145" t="s">
        <v>41</v>
      </c>
      <c r="C61" s="143">
        <f>SUM(C55:C60)</f>
        <v>3103162156.2522812</v>
      </c>
      <c r="D61" s="143">
        <f t="shared" ref="D61" si="22">SUM(D55:D60)</f>
        <v>17925271160.585567</v>
      </c>
      <c r="E61" s="146">
        <f>SUM(E55:E60)</f>
        <v>3798628407.6636424</v>
      </c>
      <c r="F61" s="146">
        <f>SUM(F55:F60)</f>
        <v>19285874246.517509</v>
      </c>
      <c r="G61" s="146">
        <f>SUM(G55:G60)</f>
        <v>4679482833.7202921</v>
      </c>
      <c r="H61" s="147">
        <f>SUM(H55:H60)</f>
        <v>21664358896.111595</v>
      </c>
      <c r="I61" s="147">
        <f>SUM(I55:I60)</f>
        <v>5760217065.654542</v>
      </c>
      <c r="J61" s="147">
        <f t="shared" ref="J61:L61" si="23">SUM(J55:J60)</f>
        <v>18841560149.255707</v>
      </c>
      <c r="K61" s="147">
        <f t="shared" si="23"/>
        <v>7329077583.9773149</v>
      </c>
      <c r="L61" s="147">
        <f t="shared" si="23"/>
        <v>16913133986.00519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4.25" customHeight="1" x14ac:dyDescent="0.2">
      <c r="A62" s="1"/>
      <c r="B62" s="148" t="s">
        <v>42</v>
      </c>
      <c r="C62" s="149"/>
      <c r="D62" s="149"/>
      <c r="E62" s="150"/>
      <c r="F62" s="150"/>
      <c r="G62" s="150"/>
      <c r="H62" s="149"/>
      <c r="I62" s="149"/>
      <c r="J62" s="149"/>
      <c r="K62" s="151"/>
      <c r="L62" s="149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4.25" customHeight="1" x14ac:dyDescent="0.2">
      <c r="A63" s="1"/>
      <c r="B63" s="144" t="s">
        <v>18</v>
      </c>
      <c r="C63" s="109">
        <f>C46*F16</f>
        <v>133570458</v>
      </c>
      <c r="D63" s="109">
        <f>D46*(G16*5%)</f>
        <v>35648702.250000007</v>
      </c>
      <c r="E63" s="108">
        <f>E46*F17</f>
        <v>164115280</v>
      </c>
      <c r="F63" s="108">
        <f>F46*G17*5%</f>
        <v>38389914.423</v>
      </c>
      <c r="G63" s="108">
        <f>G46*F18</f>
        <v>202886160</v>
      </c>
      <c r="H63" s="109">
        <f>H46*G18*5%</f>
        <v>43162016.2877988</v>
      </c>
      <c r="I63" s="109">
        <f>I46*F19</f>
        <v>250107540.78750002</v>
      </c>
      <c r="J63" s="109">
        <f>J46*G19*5%</f>
        <v>37152061.097820923</v>
      </c>
      <c r="K63" s="109">
        <f>K46*F20</f>
        <v>309635817.95578128</v>
      </c>
      <c r="L63" s="109">
        <f>L46*G20*5%</f>
        <v>33364853.90446195</v>
      </c>
      <c r="M63" s="43"/>
      <c r="N63" s="43"/>
      <c r="O63" s="4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4.25" customHeight="1" x14ac:dyDescent="0.2">
      <c r="A64" s="1"/>
      <c r="B64" s="144" t="s">
        <v>43</v>
      </c>
      <c r="C64" s="109">
        <f t="shared" ref="C64:L64" si="24">C61*22%</f>
        <v>682695674.37550187</v>
      </c>
      <c r="D64" s="109">
        <f t="shared" si="24"/>
        <v>3943559655.328825</v>
      </c>
      <c r="E64" s="108">
        <f t="shared" si="24"/>
        <v>835698249.6860013</v>
      </c>
      <c r="F64" s="108">
        <f t="shared" si="24"/>
        <v>4242892334.2338519</v>
      </c>
      <c r="G64" s="108">
        <f t="shared" si="24"/>
        <v>1029486223.4184643</v>
      </c>
      <c r="H64" s="109">
        <f t="shared" si="24"/>
        <v>4766158957.1445513</v>
      </c>
      <c r="I64" s="109">
        <f t="shared" si="24"/>
        <v>1267247754.4439993</v>
      </c>
      <c r="J64" s="109">
        <f t="shared" si="24"/>
        <v>4145143232.8362556</v>
      </c>
      <c r="K64" s="109">
        <f t="shared" si="24"/>
        <v>1612397068.4750092</v>
      </c>
      <c r="L64" s="109">
        <f t="shared" si="24"/>
        <v>3720889476.9211416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4.25" customHeight="1" x14ac:dyDescent="0.2">
      <c r="A65" s="1"/>
      <c r="B65" s="144" t="s">
        <v>23</v>
      </c>
      <c r="C65" s="109">
        <f>C48*F16</f>
        <v>27775062</v>
      </c>
      <c r="D65" s="109">
        <f>D48*G16</f>
        <v>317578158</v>
      </c>
      <c r="E65" s="108">
        <f>E48*F17</f>
        <v>34126480</v>
      </c>
      <c r="F65" s="108">
        <f>F48*G17</f>
        <v>341998376.90399998</v>
      </c>
      <c r="G65" s="108">
        <f>G48*F18</f>
        <v>42188832</v>
      </c>
      <c r="H65" s="109">
        <f>H48*G18</f>
        <v>384510873.1341024</v>
      </c>
      <c r="I65" s="109">
        <f>I48*F19</f>
        <v>52008205.095000006</v>
      </c>
      <c r="J65" s="109">
        <f>J48*G19</f>
        <v>330970901.7345624</v>
      </c>
      <c r="K65" s="109">
        <f>K48*F20</f>
        <v>64386715.707562521</v>
      </c>
      <c r="L65" s="109">
        <f>L48*G20</f>
        <v>297232386.48661137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4.25" customHeight="1" x14ac:dyDescent="0.2">
      <c r="A66" s="1"/>
      <c r="B66" s="144" t="s">
        <v>44</v>
      </c>
      <c r="C66" s="109">
        <f>C49*F16</f>
        <v>107947161</v>
      </c>
      <c r="D66" s="109">
        <f>D49*G16</f>
        <v>276581085</v>
      </c>
      <c r="E66" s="108">
        <f>E49*F17</f>
        <v>132631960</v>
      </c>
      <c r="F66" s="108">
        <f>F49*G17</f>
        <v>297848827.98000002</v>
      </c>
      <c r="G66" s="108">
        <f>G49*F18</f>
        <v>163964592</v>
      </c>
      <c r="H66" s="109">
        <f>H49*G18</f>
        <v>334873264.44448799</v>
      </c>
      <c r="I66" s="109">
        <f>I49*F19</f>
        <v>202127049.38250002</v>
      </c>
      <c r="J66" s="109">
        <f>J49*G19</f>
        <v>288244921.12953711</v>
      </c>
      <c r="K66" s="109">
        <f>K49*F20</f>
        <v>250235454.9945938</v>
      </c>
      <c r="L66" s="109">
        <f>L49*G20</f>
        <v>258861807.34005746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4.25" customHeight="1" x14ac:dyDescent="0.2">
      <c r="A67" s="1"/>
      <c r="B67" s="144" t="s">
        <v>29</v>
      </c>
      <c r="C67" s="109">
        <f t="shared" ref="C67:L67" si="25">C57*12%</f>
        <v>236479889.42307693</v>
      </c>
      <c r="D67" s="152">
        <f t="shared" si="25"/>
        <v>338555310.57692307</v>
      </c>
      <c r="E67" s="110">
        <f t="shared" si="25"/>
        <v>290557459.90384614</v>
      </c>
      <c r="F67" s="110">
        <f t="shared" si="25"/>
        <v>364588570.69615382</v>
      </c>
      <c r="G67" s="110">
        <f t="shared" si="25"/>
        <v>359198754.23153085</v>
      </c>
      <c r="H67" s="111">
        <f t="shared" si="25"/>
        <v>409909166.5936293</v>
      </c>
      <c r="I67" s="111">
        <f t="shared" si="25"/>
        <v>442801603.98709196</v>
      </c>
      <c r="J67" s="111">
        <f t="shared" si="25"/>
        <v>352832692.06652766</v>
      </c>
      <c r="K67" s="111">
        <f t="shared" si="25"/>
        <v>548193134.8849901</v>
      </c>
      <c r="L67" s="111">
        <f t="shared" si="25"/>
        <v>316865629.40671366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4.25" customHeight="1" x14ac:dyDescent="0.2">
      <c r="A68" s="1"/>
      <c r="B68" s="144" t="s">
        <v>45</v>
      </c>
      <c r="C68" s="109">
        <f t="shared" ref="C68:L68" si="26">C61*15%</f>
        <v>465474323.43784219</v>
      </c>
      <c r="D68" s="109">
        <f t="shared" si="26"/>
        <v>2688790674.0878348</v>
      </c>
      <c r="E68" s="108">
        <f t="shared" si="26"/>
        <v>569794261.14954638</v>
      </c>
      <c r="F68" s="108">
        <f t="shared" si="26"/>
        <v>2892881136.9776263</v>
      </c>
      <c r="G68" s="108">
        <f t="shared" si="26"/>
        <v>701922425.05804384</v>
      </c>
      <c r="H68" s="109">
        <f t="shared" si="26"/>
        <v>3249653834.416739</v>
      </c>
      <c r="I68" s="109">
        <f t="shared" si="26"/>
        <v>864032559.84818125</v>
      </c>
      <c r="J68" s="109">
        <f t="shared" si="26"/>
        <v>2826234022.3883557</v>
      </c>
      <c r="K68" s="109">
        <f t="shared" si="26"/>
        <v>1099361637.5965972</v>
      </c>
      <c r="L68" s="109">
        <f t="shared" si="26"/>
        <v>2536970097.9007783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4.25" customHeight="1" x14ac:dyDescent="0.2">
      <c r="A69" s="1"/>
      <c r="B69" s="153" t="s">
        <v>46</v>
      </c>
      <c r="C69" s="143">
        <f t="shared" ref="C69:D69" si="27">SUM(C63:C68)</f>
        <v>1653942568.2364209</v>
      </c>
      <c r="D69" s="143">
        <f t="shared" si="27"/>
        <v>7600713585.2435837</v>
      </c>
      <c r="E69" s="146">
        <f>SUM(E63:E68)</f>
        <v>2026923690.7393939</v>
      </c>
      <c r="F69" s="146">
        <f t="shared" ref="F69:L69" si="28">SUM(F63:F68)</f>
        <v>8178599161.214632</v>
      </c>
      <c r="G69" s="146">
        <f t="shared" si="28"/>
        <v>2499646986.7080388</v>
      </c>
      <c r="H69" s="146">
        <f t="shared" si="28"/>
        <v>9188268112.0213089</v>
      </c>
      <c r="I69" s="146">
        <f t="shared" si="28"/>
        <v>3078324713.5442724</v>
      </c>
      <c r="J69" s="146">
        <f t="shared" si="28"/>
        <v>7980577831.2530594</v>
      </c>
      <c r="K69" s="146">
        <f t="shared" si="28"/>
        <v>3884209829.6145339</v>
      </c>
      <c r="L69" s="146">
        <f t="shared" si="28"/>
        <v>7164184251.9597645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4.25" customHeight="1" x14ac:dyDescent="0.2">
      <c r="A70" s="1"/>
      <c r="B70" s="144" t="s">
        <v>47</v>
      </c>
      <c r="C70" s="109">
        <f>C61+C69</f>
        <v>4757104724.4887018</v>
      </c>
      <c r="D70" s="109">
        <f t="shared" ref="D70:L70" si="29">D61+D69</f>
        <v>25525984745.829151</v>
      </c>
      <c r="E70" s="108">
        <f t="shared" si="29"/>
        <v>5825552098.4030361</v>
      </c>
      <c r="F70" s="108">
        <f t="shared" si="29"/>
        <v>27464473407.73214</v>
      </c>
      <c r="G70" s="108">
        <f t="shared" si="29"/>
        <v>7179129820.4283314</v>
      </c>
      <c r="H70" s="108">
        <f t="shared" si="29"/>
        <v>30852627008.132904</v>
      </c>
      <c r="I70" s="108">
        <f t="shared" si="29"/>
        <v>8838541779.1988144</v>
      </c>
      <c r="J70" s="108">
        <f t="shared" si="29"/>
        <v>26822137980.508766</v>
      </c>
      <c r="K70" s="108">
        <f t="shared" si="29"/>
        <v>11213287413.591848</v>
      </c>
      <c r="L70" s="108">
        <f t="shared" si="29"/>
        <v>24077318237.964954</v>
      </c>
      <c r="M70" s="4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4.25" customHeight="1" x14ac:dyDescent="0.2">
      <c r="A71" s="1"/>
      <c r="B71" s="144" t="s">
        <v>32</v>
      </c>
      <c r="C71" s="109">
        <f t="shared" ref="C71:L71" si="30">C70*24%</f>
        <v>1141705133.8772883</v>
      </c>
      <c r="D71" s="109">
        <f t="shared" si="30"/>
        <v>6126236338.9989958</v>
      </c>
      <c r="E71" s="108">
        <f t="shared" si="30"/>
        <v>1398132503.6167285</v>
      </c>
      <c r="F71" s="108">
        <f t="shared" si="30"/>
        <v>6591473617.8557129</v>
      </c>
      <c r="G71" s="108">
        <f t="shared" si="30"/>
        <v>1722991156.9027994</v>
      </c>
      <c r="H71" s="108">
        <f t="shared" si="30"/>
        <v>7404630481.9518967</v>
      </c>
      <c r="I71" s="108">
        <f t="shared" si="30"/>
        <v>2121250027.0077155</v>
      </c>
      <c r="J71" s="108">
        <f t="shared" si="30"/>
        <v>6437313115.3221035</v>
      </c>
      <c r="K71" s="108">
        <f t="shared" si="30"/>
        <v>2691188979.2620435</v>
      </c>
      <c r="L71" s="108">
        <f t="shared" si="30"/>
        <v>5778556377.1115885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4.25" customHeight="1" x14ac:dyDescent="0.2">
      <c r="A72" s="1"/>
      <c r="B72" s="144" t="s">
        <v>48</v>
      </c>
      <c r="C72" s="109">
        <f t="shared" ref="C72:L72" si="31">C70+C71</f>
        <v>5898809858.3659897</v>
      </c>
      <c r="D72" s="109">
        <f t="shared" si="31"/>
        <v>31652221084.828148</v>
      </c>
      <c r="E72" s="108">
        <f t="shared" si="31"/>
        <v>7223684602.0197649</v>
      </c>
      <c r="F72" s="108">
        <f t="shared" si="31"/>
        <v>34055947025.587852</v>
      </c>
      <c r="G72" s="108">
        <f t="shared" si="31"/>
        <v>8902120977.331131</v>
      </c>
      <c r="H72" s="108">
        <f t="shared" si="31"/>
        <v>38257257490.084801</v>
      </c>
      <c r="I72" s="108">
        <f t="shared" si="31"/>
        <v>10959791806.20653</v>
      </c>
      <c r="J72" s="108">
        <f t="shared" si="31"/>
        <v>33259451095.830872</v>
      </c>
      <c r="K72" s="108">
        <f t="shared" si="31"/>
        <v>13904476392.853891</v>
      </c>
      <c r="L72" s="108">
        <f t="shared" si="31"/>
        <v>29855874615.076542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4.25" customHeight="1" x14ac:dyDescent="0.2">
      <c r="A73" s="1"/>
      <c r="B73" s="144" t="s">
        <v>49</v>
      </c>
      <c r="C73" s="109">
        <f t="shared" ref="C73:L73" si="32">C72*18.5%</f>
        <v>1091279823.797708</v>
      </c>
      <c r="D73" s="108">
        <f t="shared" si="32"/>
        <v>5855660900.6932077</v>
      </c>
      <c r="E73" s="108">
        <f t="shared" si="32"/>
        <v>1336381651.3736565</v>
      </c>
      <c r="F73" s="108">
        <f t="shared" si="32"/>
        <v>6300350199.7337523</v>
      </c>
      <c r="G73" s="108">
        <f t="shared" si="32"/>
        <v>1646892380.8062592</v>
      </c>
      <c r="H73" s="108">
        <f t="shared" si="32"/>
        <v>7077592635.6656885</v>
      </c>
      <c r="I73" s="108">
        <f t="shared" si="32"/>
        <v>2027561484.1482079</v>
      </c>
      <c r="J73" s="108">
        <f t="shared" si="32"/>
        <v>6152998452.7287111</v>
      </c>
      <c r="K73" s="108">
        <f t="shared" si="32"/>
        <v>2572328132.6779699</v>
      </c>
      <c r="L73" s="108">
        <f t="shared" si="32"/>
        <v>5523336803.7891598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26.25" customHeight="1" x14ac:dyDescent="0.2">
      <c r="A74" s="1"/>
      <c r="B74" s="153" t="s">
        <v>50</v>
      </c>
      <c r="C74" s="154">
        <f t="shared" ref="C74:L74" si="33">C72+C73</f>
        <v>6990089682.1636982</v>
      </c>
      <c r="D74" s="154">
        <f t="shared" si="33"/>
        <v>37507881985.521355</v>
      </c>
      <c r="E74" s="154">
        <f t="shared" si="33"/>
        <v>8560066253.3934212</v>
      </c>
      <c r="F74" s="154">
        <f t="shared" si="33"/>
        <v>40356297225.321602</v>
      </c>
      <c r="G74" s="154">
        <f t="shared" si="33"/>
        <v>10549013358.13739</v>
      </c>
      <c r="H74" s="154">
        <f t="shared" si="33"/>
        <v>45334850125.750488</v>
      </c>
      <c r="I74" s="154">
        <f t="shared" si="33"/>
        <v>12987353290.354738</v>
      </c>
      <c r="J74" s="154">
        <f t="shared" si="33"/>
        <v>39412449548.559586</v>
      </c>
      <c r="K74" s="154">
        <f t="shared" si="33"/>
        <v>16476804525.53186</v>
      </c>
      <c r="L74" s="154">
        <f t="shared" si="33"/>
        <v>35379211418.8657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 x14ac:dyDescent="0.2">
      <c r="A75" s="1"/>
      <c r="B75" s="153" t="s">
        <v>51</v>
      </c>
      <c r="C75" s="154">
        <f t="shared" ref="C75:D75" si="34">C74/F16</f>
        <v>12328200.497643206</v>
      </c>
      <c r="D75" s="154">
        <f t="shared" si="34"/>
        <v>440062.9097359163</v>
      </c>
      <c r="E75" s="154">
        <f>E74/F17</f>
        <v>12588332.725578561</v>
      </c>
      <c r="F75" s="154">
        <f>F74/G17</f>
        <v>450445.32129343692</v>
      </c>
      <c r="G75" s="154">
        <f>G74/F18</f>
        <v>12927712.448697781</v>
      </c>
      <c r="H75" s="154">
        <f>H74/G18</f>
        <v>463660.30647347495</v>
      </c>
      <c r="I75" s="154">
        <f>I74/F19</f>
        <v>13265937.988104941</v>
      </c>
      <c r="J75" s="154">
        <f>J74/G19</f>
        <v>481173.61399308481</v>
      </c>
      <c r="K75" s="154">
        <f>K74/F20</f>
        <v>14022812.362154774</v>
      </c>
      <c r="L75" s="154">
        <f>L74/G20</f>
        <v>496111.6685438237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4.25" customHeight="1" x14ac:dyDescent="0.2">
      <c r="A76" s="1"/>
      <c r="B76" s="22"/>
      <c r="C76" s="2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 x14ac:dyDescent="0.2">
      <c r="A77" s="1"/>
      <c r="B77" s="21"/>
      <c r="C77" s="185" t="s">
        <v>52</v>
      </c>
      <c r="D77" s="182"/>
      <c r="E77" s="182"/>
      <c r="F77" s="177"/>
      <c r="G77" s="185" t="s">
        <v>53</v>
      </c>
      <c r="H77" s="182"/>
      <c r="I77" s="182"/>
      <c r="J77" s="177"/>
      <c r="K77" s="185" t="s">
        <v>83</v>
      </c>
      <c r="L77" s="182"/>
      <c r="M77" s="182"/>
      <c r="N77" s="177"/>
      <c r="O77" s="185" t="s">
        <v>84</v>
      </c>
      <c r="P77" s="182"/>
      <c r="Q77" s="182"/>
      <c r="R77" s="177"/>
      <c r="S77" s="185" t="s">
        <v>85</v>
      </c>
      <c r="T77" s="182"/>
      <c r="U77" s="182"/>
      <c r="V77" s="177"/>
      <c r="W77" s="1"/>
      <c r="X77" s="1"/>
      <c r="Y77" s="1"/>
      <c r="Z77" s="1"/>
      <c r="AA77" s="1"/>
      <c r="AB77" s="1"/>
      <c r="AC77" s="1"/>
    </row>
    <row r="78" spans="1:29" ht="14.25" customHeight="1" x14ac:dyDescent="0.2">
      <c r="A78" s="1"/>
      <c r="B78" s="21"/>
      <c r="C78" s="24" t="s">
        <v>3</v>
      </c>
      <c r="D78" s="24" t="s">
        <v>35</v>
      </c>
      <c r="E78" s="24" t="s">
        <v>54</v>
      </c>
      <c r="F78" s="24" t="s">
        <v>55</v>
      </c>
      <c r="G78" s="24" t="s">
        <v>3</v>
      </c>
      <c r="H78" s="24" t="s">
        <v>35</v>
      </c>
      <c r="I78" s="24" t="s">
        <v>54</v>
      </c>
      <c r="J78" s="24" t="s">
        <v>55</v>
      </c>
      <c r="K78" s="119" t="s">
        <v>3</v>
      </c>
      <c r="L78" s="120" t="s">
        <v>35</v>
      </c>
      <c r="M78" s="119" t="s">
        <v>54</v>
      </c>
      <c r="N78" s="119" t="s">
        <v>55</v>
      </c>
      <c r="O78" s="119" t="s">
        <v>3</v>
      </c>
      <c r="P78" s="119" t="s">
        <v>35</v>
      </c>
      <c r="Q78" s="119" t="s">
        <v>54</v>
      </c>
      <c r="R78" s="119" t="s">
        <v>55</v>
      </c>
      <c r="S78" s="119" t="s">
        <v>3</v>
      </c>
      <c r="T78" s="119" t="s">
        <v>35</v>
      </c>
      <c r="U78" s="119" t="s">
        <v>54</v>
      </c>
      <c r="V78" s="119" t="s">
        <v>55</v>
      </c>
      <c r="W78" s="131"/>
      <c r="X78" s="1"/>
      <c r="Y78" s="1"/>
      <c r="Z78" s="1"/>
      <c r="AA78" s="1"/>
      <c r="AB78" s="1"/>
      <c r="AC78" s="1"/>
    </row>
    <row r="79" spans="1:29" ht="14.25" customHeight="1" x14ac:dyDescent="0.2">
      <c r="A79" s="1"/>
      <c r="B79" s="21" t="s">
        <v>56</v>
      </c>
      <c r="C79" s="82">
        <f>C80/C81</f>
        <v>58</v>
      </c>
      <c r="D79" s="25" t="s">
        <v>57</v>
      </c>
      <c r="E79" s="8">
        <f>(105*F16)</f>
        <v>59535</v>
      </c>
      <c r="F79" s="26">
        <f>E79*E82</f>
        <v>1970665745.1923077</v>
      </c>
      <c r="G79" s="82">
        <f>G80/G81</f>
        <v>64.5</v>
      </c>
      <c r="H79" s="83" t="s">
        <v>57</v>
      </c>
      <c r="I79" s="84">
        <f>(105*F17)</f>
        <v>71400</v>
      </c>
      <c r="J79" s="93">
        <f>I79*I82</f>
        <v>2421312165.8653846</v>
      </c>
      <c r="K79" s="115">
        <f>K80/K81</f>
        <v>73.5</v>
      </c>
      <c r="L79" s="112" t="s">
        <v>57</v>
      </c>
      <c r="M79" s="113">
        <f>(105*F18)</f>
        <v>85680</v>
      </c>
      <c r="N79" s="114">
        <f>M79*M82</f>
        <v>2993322951.9294238</v>
      </c>
      <c r="O79" s="115">
        <f>O80/O81</f>
        <v>74</v>
      </c>
      <c r="P79" s="112" t="s">
        <v>57</v>
      </c>
      <c r="Q79" s="113">
        <f>(105*F19)</f>
        <v>102795</v>
      </c>
      <c r="R79" s="116">
        <f>Q79*Q82</f>
        <v>3690013366.5590997</v>
      </c>
      <c r="S79" s="117">
        <f>S80/S81</f>
        <v>78</v>
      </c>
      <c r="T79" s="112" t="s">
        <v>57</v>
      </c>
      <c r="U79" s="118">
        <f>(105*F20)</f>
        <v>123375</v>
      </c>
      <c r="V79" s="114">
        <f>U79*U82</f>
        <v>4568276124.041584</v>
      </c>
      <c r="W79" s="131"/>
      <c r="X79" s="1"/>
      <c r="Y79" s="1"/>
      <c r="Z79" s="1"/>
      <c r="AA79" s="1"/>
      <c r="AB79" s="1"/>
      <c r="AC79" s="1"/>
    </row>
    <row r="80" spans="1:29" ht="14.25" customHeight="1" x14ac:dyDescent="0.2">
      <c r="A80" s="1"/>
      <c r="B80" s="13" t="s">
        <v>25</v>
      </c>
      <c r="C80" s="84">
        <f>E79+E80</f>
        <v>144768</v>
      </c>
      <c r="D80" s="83" t="s">
        <v>4</v>
      </c>
      <c r="E80" s="84">
        <f>+G16</f>
        <v>85233</v>
      </c>
      <c r="F80" s="87">
        <f>E80*E82</f>
        <v>2821294254.8076925</v>
      </c>
      <c r="G80" s="84">
        <f>I79+I80</f>
        <v>160992</v>
      </c>
      <c r="H80" s="83" t="s">
        <v>4</v>
      </c>
      <c r="I80" s="84">
        <f>+G17</f>
        <v>89592</v>
      </c>
      <c r="J80" s="93">
        <f>I80*I82</f>
        <v>3038238089.1346154</v>
      </c>
      <c r="K80" s="121">
        <f>M79+M80</f>
        <v>183456</v>
      </c>
      <c r="L80" s="112" t="s">
        <v>4</v>
      </c>
      <c r="M80" s="122">
        <f>+G18</f>
        <v>97776</v>
      </c>
      <c r="N80" s="114">
        <f>M80*M82</f>
        <v>3415909721.6135778</v>
      </c>
      <c r="O80" s="122">
        <f>Q79+Q80</f>
        <v>184704</v>
      </c>
      <c r="P80" s="112" t="s">
        <v>4</v>
      </c>
      <c r="Q80" s="122">
        <f>G19</f>
        <v>81909</v>
      </c>
      <c r="R80" s="116">
        <f>Q80*Q82</f>
        <v>2940272433.8877306</v>
      </c>
      <c r="S80" s="132">
        <f>U79+U80</f>
        <v>194688</v>
      </c>
      <c r="T80" s="112" t="s">
        <v>4</v>
      </c>
      <c r="U80" s="132">
        <f>G20</f>
        <v>71313</v>
      </c>
      <c r="V80" s="114">
        <f>U80*U82</f>
        <v>2640546911.7226138</v>
      </c>
      <c r="W80" s="131"/>
      <c r="X80" s="1"/>
      <c r="Y80" s="1"/>
      <c r="Z80" s="1"/>
      <c r="AA80" s="1"/>
      <c r="AB80" s="1"/>
      <c r="AC80" s="1"/>
    </row>
    <row r="81" spans="1:29" ht="14.25" customHeight="1" x14ac:dyDescent="0.2">
      <c r="A81" s="1"/>
      <c r="B81" s="21" t="s">
        <v>56</v>
      </c>
      <c r="C81" s="85">
        <f>48*52</f>
        <v>2496</v>
      </c>
      <c r="D81" s="86" t="s">
        <v>58</v>
      </c>
      <c r="E81" s="84">
        <f>C81*58</f>
        <v>144768</v>
      </c>
      <c r="F81" s="158">
        <f>E79/E81</f>
        <v>0.41124419761273212</v>
      </c>
      <c r="G81" s="85">
        <f>48*52</f>
        <v>2496</v>
      </c>
      <c r="H81" s="86" t="s">
        <v>58</v>
      </c>
      <c r="I81" s="84">
        <f>G81*64.5</f>
        <v>160992</v>
      </c>
      <c r="J81" s="159">
        <f>I79/I81</f>
        <v>0.44350029815146097</v>
      </c>
      <c r="K81" s="123">
        <f>48*52</f>
        <v>2496</v>
      </c>
      <c r="L81" s="124" t="s">
        <v>58</v>
      </c>
      <c r="M81" s="121">
        <f>K81*73.5</f>
        <v>183456</v>
      </c>
      <c r="N81" s="160">
        <f>M79/M81</f>
        <v>0.46703296703296704</v>
      </c>
      <c r="O81" s="123">
        <f>48*52</f>
        <v>2496</v>
      </c>
      <c r="P81" s="124" t="s">
        <v>58</v>
      </c>
      <c r="Q81" s="123">
        <f>O81*74</f>
        <v>184704</v>
      </c>
      <c r="R81" s="162">
        <f>Q79/Q81</f>
        <v>0.55653911122661126</v>
      </c>
      <c r="S81" s="129">
        <f>48*52</f>
        <v>2496</v>
      </c>
      <c r="T81" s="124" t="s">
        <v>58</v>
      </c>
      <c r="U81" s="129">
        <f>S81*78</f>
        <v>194688</v>
      </c>
      <c r="V81" s="160">
        <f>U79/U81</f>
        <v>0.63370623767258383</v>
      </c>
      <c r="W81" s="131"/>
      <c r="X81" s="1"/>
      <c r="Y81" s="1"/>
      <c r="Z81" s="1"/>
      <c r="AA81" s="1"/>
      <c r="AB81" s="1"/>
      <c r="AC81" s="1"/>
    </row>
    <row r="82" spans="1:29" ht="14.25" customHeight="1" x14ac:dyDescent="0.2">
      <c r="A82" s="1"/>
      <c r="B82" s="21" t="s">
        <v>59</v>
      </c>
      <c r="C82" s="84">
        <f>E81-C80</f>
        <v>0</v>
      </c>
      <c r="D82" s="86" t="s">
        <v>60</v>
      </c>
      <c r="E82" s="88">
        <f>E84/E81</f>
        <v>33100.961538461539</v>
      </c>
      <c r="F82" s="158">
        <f>E80/E81</f>
        <v>0.58875580238726788</v>
      </c>
      <c r="G82" s="84">
        <f>I81-G80</f>
        <v>0</v>
      </c>
      <c r="H82" s="86" t="s">
        <v>60</v>
      </c>
      <c r="I82" s="91">
        <f>I84/I81</f>
        <v>33911.935096153844</v>
      </c>
      <c r="J82" s="159">
        <f>I80/I81</f>
        <v>0.55649970184853903</v>
      </c>
      <c r="K82" s="121">
        <f>M81-K80</f>
        <v>0</v>
      </c>
      <c r="L82" s="125" t="s">
        <v>60</v>
      </c>
      <c r="M82" s="121">
        <f>M84/M81</f>
        <v>34936.075536057702</v>
      </c>
      <c r="N82" s="161">
        <f>M80/M81</f>
        <v>0.53296703296703296</v>
      </c>
      <c r="O82" s="122">
        <f>O80-Q81</f>
        <v>0</v>
      </c>
      <c r="P82" s="125" t="s">
        <v>60</v>
      </c>
      <c r="Q82" s="121">
        <f>Q84/Q81</f>
        <v>35896.817613299281</v>
      </c>
      <c r="R82" s="162">
        <f>Q80/Q81</f>
        <v>0.44346088877338879</v>
      </c>
      <c r="S82" s="132">
        <f>S80-U81</f>
        <v>0</v>
      </c>
      <c r="T82" s="125" t="s">
        <v>60</v>
      </c>
      <c r="U82" s="133">
        <f>U84/U81</f>
        <v>37027.567368118209</v>
      </c>
      <c r="V82" s="160">
        <f>U80/U81</f>
        <v>0.36629376232741617</v>
      </c>
      <c r="W82" s="131"/>
      <c r="X82" s="1"/>
      <c r="Y82" s="1"/>
      <c r="Z82" s="1"/>
      <c r="AA82" s="1"/>
      <c r="AB82" s="1"/>
      <c r="AC82" s="1"/>
    </row>
    <row r="83" spans="1:29" ht="14.25" customHeight="1" x14ac:dyDescent="0.2">
      <c r="A83" s="1"/>
      <c r="B83" s="21"/>
      <c r="C83" s="27" t="s">
        <v>61</v>
      </c>
      <c r="D83" s="60">
        <v>4250000</v>
      </c>
      <c r="E83" s="60">
        <f>D83*1.62</f>
        <v>6885000</v>
      </c>
      <c r="F83" s="60"/>
      <c r="G83" s="90" t="s">
        <v>61</v>
      </c>
      <c r="H83" s="60">
        <f>ROUND((D83*(100%+A23)),0)</f>
        <v>4354125</v>
      </c>
      <c r="I83" s="60">
        <f>H83*1.62</f>
        <v>7053682.5</v>
      </c>
      <c r="J83" s="61"/>
      <c r="K83" s="126" t="s">
        <v>61</v>
      </c>
      <c r="L83" s="127">
        <f>H83*(100%+B23)</f>
        <v>4485619.5750000002</v>
      </c>
      <c r="M83" s="128">
        <f>L83*1.62</f>
        <v>7266703.7115000011</v>
      </c>
      <c r="N83" s="129"/>
      <c r="O83" s="126" t="s">
        <v>61</v>
      </c>
      <c r="P83" s="134">
        <f>L83*(100%+C23)</f>
        <v>4608974.1133125005</v>
      </c>
      <c r="Q83" s="128">
        <f>P83*1.62</f>
        <v>7466538.0635662517</v>
      </c>
      <c r="R83" s="123"/>
      <c r="S83" s="126" t="s">
        <v>61</v>
      </c>
      <c r="T83" s="134">
        <f>P83*(100%+D23)</f>
        <v>4754156.7978818445</v>
      </c>
      <c r="U83" s="134">
        <f>T83*1.62</f>
        <v>7701734.0125685884</v>
      </c>
      <c r="V83" s="129"/>
      <c r="W83" s="131"/>
      <c r="X83" s="1"/>
      <c r="Y83" s="1"/>
      <c r="Z83" s="1"/>
      <c r="AA83" s="1"/>
      <c r="AB83" s="1"/>
      <c r="AC83" s="1"/>
    </row>
    <row r="84" spans="1:29" ht="14.25" customHeight="1" x14ac:dyDescent="0.2">
      <c r="A84" s="1"/>
      <c r="B84" s="21"/>
      <c r="C84" s="21"/>
      <c r="D84" s="89" t="s">
        <v>62</v>
      </c>
      <c r="E84" s="60">
        <f>C79*E83*12</f>
        <v>4791960000</v>
      </c>
      <c r="F84" s="60"/>
      <c r="G84" s="86"/>
      <c r="H84" s="86"/>
      <c r="I84" s="60">
        <f>G79*I83*12</f>
        <v>5459550255</v>
      </c>
      <c r="J84" s="61"/>
      <c r="K84" s="129"/>
      <c r="L84" s="129"/>
      <c r="M84" s="130">
        <f>M83*K79*12</f>
        <v>6409232673.5430012</v>
      </c>
      <c r="N84" s="129"/>
      <c r="O84" s="123"/>
      <c r="P84" s="129"/>
      <c r="Q84" s="135">
        <f>Q83*O79*12</f>
        <v>6630285800.4468307</v>
      </c>
      <c r="R84" s="123"/>
      <c r="S84" s="129"/>
      <c r="T84" s="129"/>
      <c r="U84" s="136">
        <f>U83*S79*12</f>
        <v>7208823035.7641983</v>
      </c>
      <c r="V84" s="129"/>
      <c r="W84" s="131"/>
      <c r="X84" s="1"/>
      <c r="Y84" s="1"/>
      <c r="Z84" s="1"/>
      <c r="AA84" s="1"/>
      <c r="AB84" s="1"/>
      <c r="AC84" s="1"/>
    </row>
    <row r="85" spans="1:29" ht="14.25" customHeight="1" x14ac:dyDescent="0.2">
      <c r="A85" s="1"/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s="35" customFormat="1" ht="14.25" customHeight="1" x14ac:dyDescent="0.2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spans="1:29" ht="15" customHeight="1" x14ac:dyDescent="0.2">
      <c r="A87" s="1"/>
      <c r="B87" s="183" t="s">
        <v>63</v>
      </c>
      <c r="C87" s="185" t="s">
        <v>7</v>
      </c>
      <c r="D87" s="177"/>
      <c r="E87" s="186" t="s">
        <v>8</v>
      </c>
      <c r="F87" s="187"/>
      <c r="G87" s="186" t="s">
        <v>9</v>
      </c>
      <c r="H87" s="187"/>
      <c r="I87" s="186" t="s">
        <v>10</v>
      </c>
      <c r="J87" s="188"/>
      <c r="K87" s="189" t="s">
        <v>11</v>
      </c>
      <c r="L87" s="190"/>
      <c r="M87" s="37"/>
      <c r="N87" s="38"/>
      <c r="O87" s="37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4.25" customHeight="1" x14ac:dyDescent="0.2">
      <c r="A88" s="1"/>
      <c r="B88" s="175"/>
      <c r="C88" s="16" t="s">
        <v>3</v>
      </c>
      <c r="D88" s="62" t="s">
        <v>35</v>
      </c>
      <c r="E88" s="142" t="s">
        <v>3</v>
      </c>
      <c r="F88" s="142" t="s">
        <v>35</v>
      </c>
      <c r="G88" s="142" t="s">
        <v>3</v>
      </c>
      <c r="H88" s="142" t="s">
        <v>35</v>
      </c>
      <c r="I88" s="142" t="s">
        <v>3</v>
      </c>
      <c r="J88" s="142" t="s">
        <v>35</v>
      </c>
      <c r="K88" s="142" t="s">
        <v>3</v>
      </c>
      <c r="L88" s="142" t="s">
        <v>35</v>
      </c>
      <c r="M88" s="39"/>
      <c r="N88" s="39"/>
      <c r="O88" s="3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4.25" customHeight="1" x14ac:dyDescent="0.2">
      <c r="A89" s="1"/>
      <c r="B89" s="21" t="s">
        <v>64</v>
      </c>
      <c r="C89" s="28">
        <f>C74</f>
        <v>6990089682.1636982</v>
      </c>
      <c r="D89" s="63">
        <f>D74</f>
        <v>37507881985.521355</v>
      </c>
      <c r="E89" s="141">
        <f>E74</f>
        <v>8560066253.3934212</v>
      </c>
      <c r="F89" s="141">
        <f>F74</f>
        <v>40356297225.321602</v>
      </c>
      <c r="G89" s="141">
        <f>G74</f>
        <v>10549013358.13739</v>
      </c>
      <c r="H89" s="141">
        <f t="shared" ref="H89:L89" si="35">H74</f>
        <v>45334850125.750488</v>
      </c>
      <c r="I89" s="141">
        <f>I74</f>
        <v>12987353290.354738</v>
      </c>
      <c r="J89" s="141">
        <f t="shared" si="35"/>
        <v>39412449548.559586</v>
      </c>
      <c r="K89" s="141">
        <f>K74</f>
        <v>16476804525.53186</v>
      </c>
      <c r="L89" s="141">
        <f t="shared" si="35"/>
        <v>35379211418.8657</v>
      </c>
      <c r="M89" s="40"/>
      <c r="N89" s="40"/>
      <c r="O89" s="4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4.25" customHeight="1" x14ac:dyDescent="0.2">
      <c r="A90" s="1"/>
      <c r="B90" s="21" t="s">
        <v>65</v>
      </c>
      <c r="C90" s="28">
        <f t="shared" ref="C90:L90" si="36">C70-C63</f>
        <v>4623534266.4887018</v>
      </c>
      <c r="D90" s="63">
        <f t="shared" si="36"/>
        <v>25490336043.579151</v>
      </c>
      <c r="E90" s="141">
        <f t="shared" si="36"/>
        <v>5661436818.4030361</v>
      </c>
      <c r="F90" s="141">
        <f t="shared" si="36"/>
        <v>27426083493.309139</v>
      </c>
      <c r="G90" s="141">
        <f t="shared" si="36"/>
        <v>6976243660.4283314</v>
      </c>
      <c r="H90" s="141">
        <f t="shared" si="36"/>
        <v>30809464991.845104</v>
      </c>
      <c r="I90" s="141">
        <f t="shared" si="36"/>
        <v>8588434238.411314</v>
      </c>
      <c r="J90" s="141">
        <f t="shared" si="36"/>
        <v>26784985919.410946</v>
      </c>
      <c r="K90" s="141">
        <f t="shared" si="36"/>
        <v>10903651595.636066</v>
      </c>
      <c r="L90" s="141">
        <f t="shared" si="36"/>
        <v>24043953384.060493</v>
      </c>
      <c r="M90" s="40"/>
      <c r="N90" s="40"/>
      <c r="O90" s="40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4.25" customHeight="1" x14ac:dyDescent="0.2">
      <c r="A91" s="1"/>
      <c r="B91" s="21" t="s">
        <v>66</v>
      </c>
      <c r="C91" s="28">
        <f t="shared" ref="C91:L91" si="37">C63</f>
        <v>133570458</v>
      </c>
      <c r="D91" s="63">
        <f t="shared" si="37"/>
        <v>35648702.250000007</v>
      </c>
      <c r="E91" s="141">
        <f t="shared" si="37"/>
        <v>164115280</v>
      </c>
      <c r="F91" s="141">
        <f t="shared" si="37"/>
        <v>38389914.423</v>
      </c>
      <c r="G91" s="141">
        <f t="shared" si="37"/>
        <v>202886160</v>
      </c>
      <c r="H91" s="141">
        <f t="shared" si="37"/>
        <v>43162016.2877988</v>
      </c>
      <c r="I91" s="141">
        <f t="shared" si="37"/>
        <v>250107540.78750002</v>
      </c>
      <c r="J91" s="141">
        <f t="shared" si="37"/>
        <v>37152061.097820923</v>
      </c>
      <c r="K91" s="141">
        <f t="shared" si="37"/>
        <v>309635817.95578128</v>
      </c>
      <c r="L91" s="141">
        <f t="shared" si="37"/>
        <v>33364853.90446195</v>
      </c>
      <c r="M91" s="40"/>
      <c r="N91" s="40"/>
      <c r="O91" s="4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4.25" customHeight="1" x14ac:dyDescent="0.2">
      <c r="A92" s="1"/>
      <c r="B92" s="29" t="s">
        <v>67</v>
      </c>
      <c r="C92" s="94">
        <f>C89-C90-C91</f>
        <v>2232984957.6749964</v>
      </c>
      <c r="D92" s="95">
        <f>D89-D90-D91</f>
        <v>11981897239.692204</v>
      </c>
      <c r="E92" s="155">
        <f>E89-E90-E91</f>
        <v>2734514154.9903851</v>
      </c>
      <c r="F92" s="155">
        <f>F89-F90-F91</f>
        <v>12891823817.589462</v>
      </c>
      <c r="G92" s="155">
        <f>G89-G90-G91</f>
        <v>3369883537.7090588</v>
      </c>
      <c r="H92" s="143">
        <f t="shared" ref="H92" si="38">H89-H90-H91</f>
        <v>14482223117.617586</v>
      </c>
      <c r="I92" s="143">
        <f t="shared" ref="I92:L92" si="39">I89-I90-I91</f>
        <v>4148811511.1559243</v>
      </c>
      <c r="J92" s="143">
        <f t="shared" si="39"/>
        <v>12590311568.050819</v>
      </c>
      <c r="K92" s="143">
        <f t="shared" si="39"/>
        <v>5263517111.9400129</v>
      </c>
      <c r="L92" s="143">
        <f t="shared" si="39"/>
        <v>11301893180.900743</v>
      </c>
      <c r="M92" s="41"/>
      <c r="N92" s="41"/>
      <c r="O92" s="4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4.25" customHeight="1" x14ac:dyDescent="0.2">
      <c r="A93" s="1"/>
      <c r="B93" s="21" t="s">
        <v>68</v>
      </c>
      <c r="C93" s="28">
        <f t="shared" ref="C93:L93" si="40">C71</f>
        <v>1141705133.8772883</v>
      </c>
      <c r="D93" s="63">
        <f t="shared" si="40"/>
        <v>6126236338.9989958</v>
      </c>
      <c r="E93" s="141">
        <f t="shared" si="40"/>
        <v>1398132503.6167285</v>
      </c>
      <c r="F93" s="141">
        <f t="shared" si="40"/>
        <v>6591473617.8557129</v>
      </c>
      <c r="G93" s="141">
        <f t="shared" si="40"/>
        <v>1722991156.9027994</v>
      </c>
      <c r="H93" s="141">
        <f t="shared" si="40"/>
        <v>7404630481.9518967</v>
      </c>
      <c r="I93" s="141">
        <f t="shared" si="40"/>
        <v>2121250027.0077155</v>
      </c>
      <c r="J93" s="141">
        <f t="shared" si="40"/>
        <v>6437313115.3221035</v>
      </c>
      <c r="K93" s="141">
        <f t="shared" si="40"/>
        <v>2691188979.2620435</v>
      </c>
      <c r="L93" s="141">
        <f t="shared" si="40"/>
        <v>5778556377.1115885</v>
      </c>
      <c r="M93" s="40"/>
      <c r="N93" s="40"/>
      <c r="O93" s="4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4.25" customHeight="1" x14ac:dyDescent="0.2">
      <c r="A94" s="1"/>
      <c r="B94" s="29" t="s">
        <v>69</v>
      </c>
      <c r="C94" s="94">
        <f>C92-C93</f>
        <v>1091279823.797708</v>
      </c>
      <c r="D94" s="95">
        <f>D92-D93</f>
        <v>5855660900.6932077</v>
      </c>
      <c r="E94" s="143">
        <f t="shared" ref="E94:H94" si="41">E92-E93</f>
        <v>1336381651.3736565</v>
      </c>
      <c r="F94" s="143">
        <f t="shared" si="41"/>
        <v>6300350199.7337494</v>
      </c>
      <c r="G94" s="143">
        <f t="shared" si="41"/>
        <v>1646892380.8062594</v>
      </c>
      <c r="H94" s="143">
        <f t="shared" si="41"/>
        <v>7077592635.6656895</v>
      </c>
      <c r="I94" s="143">
        <f t="shared" ref="I94:L94" si="42">I92-I93</f>
        <v>2027561484.1482089</v>
      </c>
      <c r="J94" s="143">
        <f t="shared" si="42"/>
        <v>6152998452.7287159</v>
      </c>
      <c r="K94" s="143">
        <f t="shared" si="42"/>
        <v>2572328132.6779695</v>
      </c>
      <c r="L94" s="143">
        <f t="shared" si="42"/>
        <v>5523336803.789155</v>
      </c>
      <c r="M94" s="41"/>
      <c r="N94" s="41"/>
      <c r="O94" s="4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4.25" customHeight="1" x14ac:dyDescent="0.2">
      <c r="A95" s="1"/>
      <c r="B95" s="21" t="s">
        <v>70</v>
      </c>
      <c r="C95" s="28">
        <f>C91</f>
        <v>133570458</v>
      </c>
      <c r="D95" s="63">
        <f>D91</f>
        <v>35648702.250000007</v>
      </c>
      <c r="E95" s="141">
        <f t="shared" ref="E95:H95" si="43">E91</f>
        <v>164115280</v>
      </c>
      <c r="F95" s="141">
        <f t="shared" si="43"/>
        <v>38389914.423</v>
      </c>
      <c r="G95" s="141">
        <f t="shared" si="43"/>
        <v>202886160</v>
      </c>
      <c r="H95" s="141">
        <f t="shared" si="43"/>
        <v>43162016.2877988</v>
      </c>
      <c r="I95" s="141">
        <f t="shared" ref="I95:L95" si="44">I91</f>
        <v>250107540.78750002</v>
      </c>
      <c r="J95" s="141">
        <f t="shared" si="44"/>
        <v>37152061.097820923</v>
      </c>
      <c r="K95" s="141">
        <f t="shared" si="44"/>
        <v>309635817.95578128</v>
      </c>
      <c r="L95" s="141">
        <f t="shared" si="44"/>
        <v>33364853.90446195</v>
      </c>
      <c r="M95" s="40"/>
      <c r="N95" s="40"/>
      <c r="O95" s="40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4.25" customHeight="1" x14ac:dyDescent="0.2">
      <c r="A96" s="1"/>
      <c r="B96" s="29" t="s">
        <v>71</v>
      </c>
      <c r="C96" s="94">
        <f>C94+C95</f>
        <v>1224850281.797708</v>
      </c>
      <c r="D96" s="95">
        <f>D94+D95</f>
        <v>5891309602.9432077</v>
      </c>
      <c r="E96" s="143">
        <f t="shared" ref="E96:H96" si="45">E94+E95</f>
        <v>1500496931.3736565</v>
      </c>
      <c r="F96" s="143">
        <f t="shared" si="45"/>
        <v>6338740114.1567497</v>
      </c>
      <c r="G96" s="143">
        <f t="shared" si="45"/>
        <v>1849778540.8062594</v>
      </c>
      <c r="H96" s="143">
        <f t="shared" si="45"/>
        <v>7120754651.9534883</v>
      </c>
      <c r="I96" s="143">
        <f t="shared" ref="I96:L96" si="46">I94+I95</f>
        <v>2277669024.935709</v>
      </c>
      <c r="J96" s="143">
        <f t="shared" si="46"/>
        <v>6190150513.8265371</v>
      </c>
      <c r="K96" s="143">
        <f t="shared" si="46"/>
        <v>2881963950.6337509</v>
      </c>
      <c r="L96" s="143">
        <f t="shared" si="46"/>
        <v>5556701657.6936169</v>
      </c>
      <c r="M96" s="41"/>
      <c r="N96" s="41"/>
      <c r="O96" s="4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36"/>
      <c r="M97" s="36"/>
      <c r="N97" s="36"/>
      <c r="O97" s="3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36"/>
      <c r="M98" s="36"/>
      <c r="N98" s="36"/>
      <c r="O98" s="3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customHeight="1" x14ac:dyDescent="0.2">
      <c r="A99" s="1"/>
      <c r="B99" s="183" t="s">
        <v>72</v>
      </c>
      <c r="C99" s="186" t="s">
        <v>7</v>
      </c>
      <c r="D99" s="187"/>
      <c r="E99" s="186" t="s">
        <v>8</v>
      </c>
      <c r="F99" s="187"/>
      <c r="G99" s="186" t="s">
        <v>9</v>
      </c>
      <c r="H99" s="187"/>
      <c r="I99" s="186" t="s">
        <v>10</v>
      </c>
      <c r="J99" s="188"/>
      <c r="K99" s="189" t="s">
        <v>11</v>
      </c>
      <c r="L99" s="190"/>
      <c r="M99" s="37"/>
      <c r="N99" s="38"/>
      <c r="O99" s="37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4.25" customHeight="1" x14ac:dyDescent="0.2">
      <c r="A100" s="1"/>
      <c r="B100" s="175"/>
      <c r="C100" s="142" t="s">
        <v>3</v>
      </c>
      <c r="D100" s="142" t="s">
        <v>35</v>
      </c>
      <c r="E100" s="142" t="s">
        <v>3</v>
      </c>
      <c r="F100" s="142" t="s">
        <v>35</v>
      </c>
      <c r="G100" s="142" t="s">
        <v>3</v>
      </c>
      <c r="H100" s="142" t="s">
        <v>35</v>
      </c>
      <c r="I100" s="142" t="s">
        <v>3</v>
      </c>
      <c r="J100" s="142" t="s">
        <v>35</v>
      </c>
      <c r="K100" s="142" t="s">
        <v>3</v>
      </c>
      <c r="L100" s="142" t="s">
        <v>35</v>
      </c>
      <c r="M100" s="39"/>
      <c r="N100" s="39"/>
      <c r="O100" s="3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4.25" customHeight="1" x14ac:dyDescent="0.2">
      <c r="A101" s="1"/>
      <c r="B101" s="21" t="s">
        <v>64</v>
      </c>
      <c r="C101" s="141">
        <f>C74</f>
        <v>6990089682.1636982</v>
      </c>
      <c r="D101" s="141">
        <f t="shared" ref="D101:L101" si="47">D89</f>
        <v>37507881985.521355</v>
      </c>
      <c r="E101" s="141">
        <f t="shared" si="47"/>
        <v>8560066253.3934212</v>
      </c>
      <c r="F101" s="141">
        <f t="shared" si="47"/>
        <v>40356297225.321602</v>
      </c>
      <c r="G101" s="141">
        <f t="shared" si="47"/>
        <v>10549013358.13739</v>
      </c>
      <c r="H101" s="141">
        <f t="shared" si="47"/>
        <v>45334850125.750488</v>
      </c>
      <c r="I101" s="141">
        <f t="shared" si="47"/>
        <v>12987353290.354738</v>
      </c>
      <c r="J101" s="141">
        <f t="shared" si="47"/>
        <v>39412449548.559586</v>
      </c>
      <c r="K101" s="141">
        <f t="shared" si="47"/>
        <v>16476804525.53186</v>
      </c>
      <c r="L101" s="141">
        <f t="shared" si="47"/>
        <v>35379211418.8657</v>
      </c>
      <c r="M101" s="40"/>
      <c r="N101" s="40"/>
      <c r="O101" s="40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4.25" customHeight="1" x14ac:dyDescent="0.2">
      <c r="A102" s="1"/>
      <c r="B102" s="21" t="s">
        <v>65</v>
      </c>
      <c r="C102" s="156">
        <f>C70-C63-(SUM(Hoja3!F12:F23)*F81)</f>
        <v>4603849355.6966324</v>
      </c>
      <c r="D102" s="156">
        <f>D70-D63-(SUM(Hoja3!F12:F23)*F82)</f>
        <v>25462154234.533371</v>
      </c>
      <c r="E102" s="109">
        <f>E70-E63-(SUM(Hoja3!F24:F35))*J81</f>
        <v>5644882168.0895729</v>
      </c>
      <c r="F102" s="109">
        <f>F70-F63-(SUM(Hoja3!F24:F35))*J82</f>
        <v>27405310885.033455</v>
      </c>
      <c r="G102" s="109">
        <f>G70-G63-(SUM(Hoja3!F36:F47))*N81</f>
        <v>6963732875.9561443</v>
      </c>
      <c r="H102" s="109">
        <f>H70-H63-(SUM(Hoja3!F36:F47))*N82</f>
        <v>30795187978.976845</v>
      </c>
      <c r="I102" s="109">
        <f>I70-I63-(SUM(Hoja3!F48:F59))*R81</f>
        <v>8579391403.8839025</v>
      </c>
      <c r="J102" s="157">
        <f>J70-J63-(SUM(Hoja1!E48:F59))*R82</f>
        <v>16689785932.171787</v>
      </c>
      <c r="K102" s="136">
        <f>K70-K63-(SUM(Hoja3!F60:F71))*V81</f>
        <v>10900033846.037935</v>
      </c>
      <c r="L102" s="136">
        <f>L70-L63-(SUM(Hoja1!F60:F71))*V82</f>
        <v>-1582014498.748333</v>
      </c>
      <c r="M102" s="42"/>
      <c r="N102" s="42"/>
      <c r="O102" s="4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 x14ac:dyDescent="0.2">
      <c r="A103" s="1"/>
      <c r="B103" s="21" t="s">
        <v>66</v>
      </c>
      <c r="C103" s="141">
        <f t="shared" ref="C103:L103" si="48">C63</f>
        <v>133570458</v>
      </c>
      <c r="D103" s="141">
        <f t="shared" si="48"/>
        <v>35648702.250000007</v>
      </c>
      <c r="E103" s="141">
        <f t="shared" si="48"/>
        <v>164115280</v>
      </c>
      <c r="F103" s="141">
        <f t="shared" si="48"/>
        <v>38389914.423</v>
      </c>
      <c r="G103" s="141">
        <f t="shared" si="48"/>
        <v>202886160</v>
      </c>
      <c r="H103" s="141">
        <f t="shared" si="48"/>
        <v>43162016.2877988</v>
      </c>
      <c r="I103" s="141">
        <f t="shared" si="48"/>
        <v>250107540.78750002</v>
      </c>
      <c r="J103" s="141">
        <f t="shared" si="48"/>
        <v>37152061.097820923</v>
      </c>
      <c r="K103" s="141">
        <f t="shared" si="48"/>
        <v>309635817.95578128</v>
      </c>
      <c r="L103" s="141">
        <f t="shared" si="48"/>
        <v>33364853.90446195</v>
      </c>
      <c r="M103" s="40"/>
      <c r="N103" s="40"/>
      <c r="O103" s="40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4.25" customHeight="1" x14ac:dyDescent="0.2">
      <c r="A104" s="1"/>
      <c r="B104" s="21" t="s">
        <v>73</v>
      </c>
      <c r="C104" s="109">
        <f>(SUM(Hoja3!F12:F23)*F81)</f>
        <v>19684910.792069249</v>
      </c>
      <c r="D104" s="109">
        <f>(SUM(Hoja3!F12:F23)*F82)</f>
        <v>28181809.045778751</v>
      </c>
      <c r="E104" s="109">
        <f>(SUM(Hoja3!F24:F35))*J81</f>
        <v>16554650.313463606</v>
      </c>
      <c r="F104" s="109">
        <f>(SUM(Hoja3!G24:G35))*J82</f>
        <v>2438804293.3810372</v>
      </c>
      <c r="G104" s="109">
        <f>(SUM(Hoja1!C36:L47))*N81</f>
        <v>4894248.9377633324</v>
      </c>
      <c r="H104" s="109">
        <f>(SUM(Hoja1!D36:M47))*N82</f>
        <v>4585560.7674385188</v>
      </c>
      <c r="I104" s="109">
        <f>(SUM(Hoja3!F48:F59))*R81</f>
        <v>9042834.5274119023</v>
      </c>
      <c r="J104" s="109">
        <f>(SUM(Hoja3!G48:G59))*R82</f>
        <v>819515722.45322251</v>
      </c>
      <c r="K104" s="136">
        <f>(SUM(Hoja3!F60:F71))*V81</f>
        <v>3617749.5981304008</v>
      </c>
      <c r="L104" s="136">
        <f>(SUM(Hoja3!F60:F71))*V82</f>
        <v>2091125.24491569</v>
      </c>
      <c r="M104" s="42"/>
      <c r="N104" s="42"/>
      <c r="O104" s="4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 x14ac:dyDescent="0.2">
      <c r="A105" s="1"/>
      <c r="B105" s="29" t="s">
        <v>67</v>
      </c>
      <c r="C105" s="143">
        <f t="shared" ref="C105:L105" si="49">C101-C102-C103-C104</f>
        <v>2232984957.6749964</v>
      </c>
      <c r="D105" s="155">
        <f>D101-D102-D103-D104</f>
        <v>11981897239.692205</v>
      </c>
      <c r="E105" s="155">
        <f>E101-E102-E103-E104</f>
        <v>2734514154.9903846</v>
      </c>
      <c r="F105" s="143">
        <f t="shared" si="49"/>
        <v>10473792132.48411</v>
      </c>
      <c r="G105" s="143">
        <f t="shared" si="49"/>
        <v>3377500073.2434826</v>
      </c>
      <c r="H105" s="143">
        <f t="shared" si="49"/>
        <v>14491914569.718407</v>
      </c>
      <c r="I105" s="143">
        <f t="shared" si="49"/>
        <v>4148811511.1559238</v>
      </c>
      <c r="J105" s="143">
        <f t="shared" si="49"/>
        <v>21865995832.836754</v>
      </c>
      <c r="K105" s="143">
        <f t="shared" si="49"/>
        <v>5263517111.9400139</v>
      </c>
      <c r="L105" s="143">
        <f t="shared" si="49"/>
        <v>36925769938.464645</v>
      </c>
      <c r="M105" s="41"/>
      <c r="N105" s="41"/>
      <c r="O105" s="4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25" customHeight="1" x14ac:dyDescent="0.2">
      <c r="A106" s="1"/>
      <c r="B106" s="21" t="s">
        <v>68</v>
      </c>
      <c r="C106" s="141">
        <f>C71</f>
        <v>1141705133.8772883</v>
      </c>
      <c r="D106" s="141">
        <f>D71</f>
        <v>6126236338.9989958</v>
      </c>
      <c r="E106" s="141">
        <f t="shared" ref="E106:L106" si="50">E93</f>
        <v>1398132503.6167285</v>
      </c>
      <c r="F106" s="141">
        <f t="shared" si="50"/>
        <v>6591473617.8557129</v>
      </c>
      <c r="G106" s="141">
        <f t="shared" si="50"/>
        <v>1722991156.9027994</v>
      </c>
      <c r="H106" s="141">
        <f t="shared" si="50"/>
        <v>7404630481.9518967</v>
      </c>
      <c r="I106" s="141">
        <f t="shared" si="50"/>
        <v>2121250027.0077155</v>
      </c>
      <c r="J106" s="141">
        <f t="shared" si="50"/>
        <v>6437313115.3221035</v>
      </c>
      <c r="K106" s="141">
        <f t="shared" si="50"/>
        <v>2691188979.2620435</v>
      </c>
      <c r="L106" s="141">
        <f t="shared" si="50"/>
        <v>5778556377.1115885</v>
      </c>
      <c r="M106" s="40"/>
      <c r="N106" s="40"/>
      <c r="O106" s="40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4.25" customHeight="1" x14ac:dyDescent="0.2">
      <c r="A107" s="1"/>
      <c r="B107" s="29" t="s">
        <v>69</v>
      </c>
      <c r="C107" s="143">
        <f t="shared" ref="C107:L107" si="51">C105-C106</f>
        <v>1091279823.797708</v>
      </c>
      <c r="D107" s="143">
        <f t="shared" si="51"/>
        <v>5855660900.6932096</v>
      </c>
      <c r="E107" s="143">
        <f t="shared" si="51"/>
        <v>1336381651.373656</v>
      </c>
      <c r="F107" s="143">
        <f t="shared" si="51"/>
        <v>3882318514.628397</v>
      </c>
      <c r="G107" s="143">
        <f t="shared" si="51"/>
        <v>1654508916.3406832</v>
      </c>
      <c r="H107" s="143">
        <f t="shared" si="51"/>
        <v>7087284087.76651</v>
      </c>
      <c r="I107" s="143">
        <f t="shared" si="51"/>
        <v>2027561484.1482084</v>
      </c>
      <c r="J107" s="143">
        <f t="shared" si="51"/>
        <v>15428682717.51465</v>
      </c>
      <c r="K107" s="143">
        <f t="shared" si="51"/>
        <v>2572328132.6779704</v>
      </c>
      <c r="L107" s="143">
        <f t="shared" si="51"/>
        <v>31147213561.353058</v>
      </c>
      <c r="M107" s="41"/>
      <c r="N107" s="41"/>
      <c r="O107" s="4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4.25" customHeight="1" x14ac:dyDescent="0.2">
      <c r="A108" s="1"/>
      <c r="B108" s="21" t="s">
        <v>70</v>
      </c>
      <c r="C108" s="141">
        <f t="shared" ref="C108:G108" si="52">C103</f>
        <v>133570458</v>
      </c>
      <c r="D108" s="141">
        <f t="shared" si="52"/>
        <v>35648702.250000007</v>
      </c>
      <c r="E108" s="141">
        <f t="shared" si="52"/>
        <v>164115280</v>
      </c>
      <c r="F108" s="141">
        <f t="shared" si="52"/>
        <v>38389914.423</v>
      </c>
      <c r="G108" s="141">
        <f t="shared" si="52"/>
        <v>202886160</v>
      </c>
      <c r="H108" s="141">
        <f>H103</f>
        <v>43162016.2877988</v>
      </c>
      <c r="I108" s="141">
        <f>I103</f>
        <v>250107540.78750002</v>
      </c>
      <c r="J108" s="141">
        <f>J103</f>
        <v>37152061.097820923</v>
      </c>
      <c r="K108" s="141">
        <f>K103</f>
        <v>309635817.95578128</v>
      </c>
      <c r="L108" s="141">
        <f>L103</f>
        <v>33364853.90446195</v>
      </c>
      <c r="M108" s="40"/>
      <c r="N108" s="40"/>
      <c r="O108" s="40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4.25" customHeight="1" x14ac:dyDescent="0.2">
      <c r="A109" s="1"/>
      <c r="B109" s="21" t="s">
        <v>74</v>
      </c>
      <c r="C109" s="137">
        <f>Hoja3!G11*F81</f>
        <v>217136936.33952257</v>
      </c>
      <c r="D109" s="137">
        <f>Hoja3!G11*F82</f>
        <v>310863063.66047746</v>
      </c>
      <c r="E109" s="137">
        <f t="shared" ref="E109:L109" si="53">C109-C110</f>
        <v>173709549.07161805</v>
      </c>
      <c r="F109" s="137">
        <f t="shared" si="53"/>
        <v>252096695.14527175</v>
      </c>
      <c r="G109" s="137">
        <f t="shared" si="53"/>
        <v>126875917.58682376</v>
      </c>
      <c r="H109" s="137">
        <f t="shared" si="53"/>
        <v>193330326.63006604</v>
      </c>
      <c r="I109" s="137">
        <f t="shared" si="53"/>
        <v>77557236.268142432</v>
      </c>
      <c r="J109" s="165">
        <f t="shared" si="53"/>
        <v>137049007.94874737</v>
      </c>
      <c r="K109" s="166">
        <f t="shared" si="53"/>
        <v>18786706.122612283</v>
      </c>
      <c r="L109" s="166">
        <f t="shared" si="53"/>
        <v>90219538.094277501</v>
      </c>
      <c r="M109" s="42"/>
      <c r="N109" s="42"/>
      <c r="O109" s="4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4.25" customHeight="1" x14ac:dyDescent="0.2">
      <c r="A110" s="1"/>
      <c r="B110" s="149" t="s">
        <v>75</v>
      </c>
      <c r="C110" s="137">
        <f>SUM(Hoja3!$E$12:$E$23)*$F$81</f>
        <v>43427387.267904513</v>
      </c>
      <c r="D110" s="109">
        <f>SUM(Hoja3!$E$12:$E$23)*$J$82</f>
        <v>58766368.515205719</v>
      </c>
      <c r="E110" s="137">
        <f>SUM(Hoja3!$E$12:$E$23)*$J$81</f>
        <v>46833631.484794281</v>
      </c>
      <c r="F110" s="109">
        <f>SUM(Hoja3!$E$12:$E$23)*$J$82</f>
        <v>58766368.515205719</v>
      </c>
      <c r="G110" s="137">
        <f>SUM(Hoja3!$E$12:$E$23)*$N$81</f>
        <v>49318681.318681322</v>
      </c>
      <c r="H110" s="109">
        <f>SUM(Hoja3!$E$12:$E$23)*$N$82</f>
        <v>56281318.681318678</v>
      </c>
      <c r="I110" s="137">
        <f>SUM(Hoja3!$E$12:$E$23)*$R$81</f>
        <v>58770530.145530149</v>
      </c>
      <c r="J110" s="109">
        <f>SUM(Hoja3!$E$12:$E$23)*$R$82</f>
        <v>46829469.854469858</v>
      </c>
      <c r="K110" s="137">
        <f>SUM(Hoja3!$E$12:$E$23)*$V$81</f>
        <v>66919378.69822485</v>
      </c>
      <c r="L110" s="109">
        <f>SUM(Hoja3!$E$12:$E$23)*$V$82</f>
        <v>38680621.30177515</v>
      </c>
      <c r="M110" s="42"/>
      <c r="N110" s="42"/>
      <c r="O110" s="4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4.25" customHeight="1" x14ac:dyDescent="0.2">
      <c r="A111" s="30"/>
      <c r="B111" s="29" t="s">
        <v>71</v>
      </c>
      <c r="C111" s="143">
        <f t="shared" ref="C111:G111" si="54">C107+C108+C109-C110</f>
        <v>1398559830.8693261</v>
      </c>
      <c r="D111" s="143">
        <f t="shared" si="54"/>
        <v>6143406298.0884819</v>
      </c>
      <c r="E111" s="143">
        <f t="shared" si="54"/>
        <v>1627372848.9604797</v>
      </c>
      <c r="F111" s="143">
        <f t="shared" si="54"/>
        <v>4114038755.6814628</v>
      </c>
      <c r="G111" s="143">
        <f t="shared" si="54"/>
        <v>1934952312.6088257</v>
      </c>
      <c r="H111" s="143">
        <f>H107+H108+H109-H110</f>
        <v>7267495112.0030565</v>
      </c>
      <c r="I111" s="143">
        <f>I107+I108+I109-I110</f>
        <v>2296455731.0583205</v>
      </c>
      <c r="J111" s="143">
        <f>J107+J108+J109-J110</f>
        <v>15556054316.706749</v>
      </c>
      <c r="K111" s="143">
        <f>K107+K108+K109-K110</f>
        <v>2833831278.0581393</v>
      </c>
      <c r="L111" s="143">
        <f>L107+L108+L109-L110</f>
        <v>31232117332.050018</v>
      </c>
      <c r="M111" s="41"/>
      <c r="N111" s="41"/>
      <c r="O111" s="4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31"/>
      <c r="R112" s="1"/>
      <c r="S112" s="1"/>
      <c r="T112" s="1"/>
      <c r="U112" s="1"/>
      <c r="V112" s="1"/>
      <c r="W112" s="31"/>
      <c r="X112" s="1"/>
      <c r="Y112" s="1"/>
      <c r="Z112" s="1"/>
      <c r="AA112" s="1"/>
      <c r="AB112" s="1"/>
      <c r="AC112" s="31"/>
    </row>
    <row r="113" spans="1:29" ht="14.25" customHeight="1" x14ac:dyDescent="0.2">
      <c r="A113" s="1"/>
      <c r="B113" s="72"/>
      <c r="C113" s="79">
        <f t="shared" ref="C113:D113" si="55">-C109</f>
        <v>-217136936.33952257</v>
      </c>
      <c r="D113" s="135">
        <f t="shared" si="55"/>
        <v>-310863063.66047746</v>
      </c>
      <c r="E113" s="23"/>
      <c r="F113" s="23"/>
      <c r="G113" s="23"/>
      <c r="H113" s="23"/>
      <c r="I113" s="23"/>
      <c r="J113" s="23"/>
      <c r="K113" s="23"/>
      <c r="L113" s="23"/>
      <c r="M113" s="1"/>
      <c r="N113" s="1"/>
      <c r="O113" s="1"/>
      <c r="P113" s="1"/>
      <c r="Q113" s="31"/>
      <c r="R113" s="1"/>
      <c r="S113" s="1"/>
      <c r="T113" s="1"/>
      <c r="U113" s="1"/>
      <c r="V113" s="1"/>
      <c r="W113" s="31"/>
      <c r="X113" s="1"/>
      <c r="Y113" s="1"/>
      <c r="Z113" s="1"/>
      <c r="AA113" s="1"/>
      <c r="AB113" s="1"/>
      <c r="AC113" s="31"/>
    </row>
    <row r="114" spans="1:29" ht="14.25" customHeight="1" x14ac:dyDescent="0.2">
      <c r="A114" s="1"/>
      <c r="B114" s="72" t="s">
        <v>7</v>
      </c>
      <c r="C114" s="79">
        <f>C111</f>
        <v>1398559830.8693261</v>
      </c>
      <c r="D114" s="135">
        <f>D111</f>
        <v>6143406298.0884819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31"/>
      <c r="R114" s="1"/>
      <c r="S114" s="1"/>
      <c r="T114" s="1"/>
      <c r="U114" s="1"/>
      <c r="V114" s="1"/>
      <c r="W114" s="31"/>
      <c r="X114" s="1"/>
      <c r="Y114" s="1"/>
      <c r="Z114" s="1"/>
      <c r="AA114" s="1"/>
      <c r="AB114" s="1"/>
      <c r="AC114" s="31"/>
    </row>
    <row r="115" spans="1:29" ht="14.25" customHeight="1" x14ac:dyDescent="0.2">
      <c r="A115" s="1"/>
      <c r="B115" s="72" t="s">
        <v>8</v>
      </c>
      <c r="C115" s="79">
        <f>E111</f>
        <v>1627372848.9604797</v>
      </c>
      <c r="D115" s="135">
        <f>F111</f>
        <v>4114038755.6814628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31"/>
      <c r="R115" s="1"/>
      <c r="S115" s="1"/>
      <c r="T115" s="1"/>
      <c r="U115" s="1"/>
      <c r="V115" s="1"/>
      <c r="W115" s="31"/>
      <c r="X115" s="1"/>
      <c r="Y115" s="1"/>
      <c r="Z115" s="1"/>
      <c r="AA115" s="1"/>
      <c r="AB115" s="1"/>
      <c r="AC115" s="31"/>
    </row>
    <row r="116" spans="1:29" ht="14.25" customHeight="1" x14ac:dyDescent="0.2">
      <c r="A116" s="1"/>
      <c r="B116" s="72" t="s">
        <v>9</v>
      </c>
      <c r="C116" s="79">
        <f>G111</f>
        <v>1934952312.6088257</v>
      </c>
      <c r="D116" s="135">
        <f>H111</f>
        <v>7267495112.0030565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31"/>
      <c r="R116" s="1"/>
      <c r="S116" s="1"/>
      <c r="T116" s="1"/>
      <c r="U116" s="1"/>
      <c r="V116" s="1"/>
      <c r="W116" s="31"/>
      <c r="X116" s="1"/>
      <c r="Y116" s="1"/>
      <c r="Z116" s="1"/>
      <c r="AA116" s="1"/>
      <c r="AB116" s="1"/>
      <c r="AC116" s="31"/>
    </row>
    <row r="117" spans="1:29" ht="14.25" customHeight="1" x14ac:dyDescent="0.2">
      <c r="A117" s="1"/>
      <c r="B117" s="72" t="s">
        <v>10</v>
      </c>
      <c r="C117" s="79">
        <f>I111</f>
        <v>2296455731.0583205</v>
      </c>
      <c r="D117" s="135">
        <f>J111</f>
        <v>15556054316.706749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31"/>
      <c r="R117" s="1"/>
      <c r="S117" s="1"/>
      <c r="T117" s="1"/>
      <c r="U117" s="1"/>
      <c r="V117" s="1"/>
      <c r="W117" s="31"/>
      <c r="X117" s="1"/>
      <c r="Y117" s="1"/>
      <c r="Z117" s="1"/>
      <c r="AA117" s="1"/>
      <c r="AB117" s="1"/>
      <c r="AC117" s="31"/>
    </row>
    <row r="118" spans="1:29" ht="14.25" customHeight="1" x14ac:dyDescent="0.2">
      <c r="A118" s="1"/>
      <c r="B118" s="72" t="s">
        <v>11</v>
      </c>
      <c r="C118" s="79">
        <f>K111</f>
        <v>2833831278.0581393</v>
      </c>
      <c r="D118" s="135">
        <f>L111</f>
        <v>31232117332.050018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31"/>
      <c r="R118" s="1"/>
      <c r="S118" s="1"/>
      <c r="T118" s="1"/>
      <c r="U118" s="1"/>
      <c r="V118" s="1"/>
      <c r="W118" s="31"/>
      <c r="X118" s="1"/>
      <c r="Y118" s="1"/>
      <c r="Z118" s="1"/>
      <c r="AA118" s="1"/>
      <c r="AB118" s="1"/>
      <c r="AC118" s="31"/>
    </row>
    <row r="119" spans="1:29" ht="14.25" customHeight="1" x14ac:dyDescent="0.2">
      <c r="A119" s="1"/>
      <c r="B119" s="72" t="s">
        <v>76</v>
      </c>
      <c r="C119" s="77">
        <v>0.185</v>
      </c>
      <c r="D119" s="163">
        <v>0.185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31"/>
      <c r="R119" s="1"/>
      <c r="S119" s="1"/>
      <c r="T119" s="1"/>
      <c r="U119" s="1"/>
      <c r="V119" s="1"/>
      <c r="W119" s="31"/>
      <c r="X119" s="1"/>
      <c r="Y119" s="1"/>
      <c r="Z119" s="1"/>
      <c r="AA119" s="1"/>
      <c r="AB119" s="1"/>
      <c r="AC119" s="31"/>
    </row>
    <row r="120" spans="1:29" ht="14.25" customHeight="1" x14ac:dyDescent="0.2">
      <c r="A120" s="1"/>
      <c r="B120" s="72" t="s">
        <v>77</v>
      </c>
      <c r="C120" s="80">
        <f>NPV(C119,C113:C118)</f>
        <v>4778247356.1942291</v>
      </c>
      <c r="D120" s="128">
        <f>NPV(D119,D113:D118)</f>
        <v>28207593702.095058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31"/>
      <c r="R120" s="1"/>
      <c r="S120" s="1"/>
      <c r="T120" s="1"/>
      <c r="U120" s="1"/>
      <c r="V120" s="1"/>
      <c r="W120" s="31"/>
      <c r="X120" s="1"/>
      <c r="Y120" s="1"/>
      <c r="Z120" s="1"/>
      <c r="AA120" s="1"/>
      <c r="AB120" s="1"/>
      <c r="AC120" s="31"/>
    </row>
    <row r="121" spans="1:29" ht="14.25" customHeight="1" x14ac:dyDescent="0.2">
      <c r="A121" s="1"/>
      <c r="B121" s="72" t="s">
        <v>78</v>
      </c>
      <c r="C121" s="77">
        <f>IRR(C113:C118,C119)</f>
        <v>6.6079028273099354</v>
      </c>
      <c r="D121" s="164">
        <f>IRR(D113:D118,D119)</f>
        <v>19.471096485979658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31"/>
      <c r="R121" s="1"/>
      <c r="S121" s="1"/>
      <c r="T121" s="1"/>
      <c r="U121" s="1"/>
      <c r="V121" s="1"/>
      <c r="W121" s="31"/>
      <c r="X121" s="1"/>
      <c r="Y121" s="1"/>
      <c r="Z121" s="1"/>
      <c r="AA121" s="1"/>
      <c r="AB121" s="1"/>
      <c r="AC121" s="31"/>
    </row>
    <row r="122" spans="1:29" ht="14.25" customHeight="1" x14ac:dyDescent="0.2">
      <c r="A122" s="1"/>
      <c r="B122" s="72" t="s">
        <v>79</v>
      </c>
      <c r="C122" s="78"/>
      <c r="D122" s="12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31"/>
      <c r="R122" s="1"/>
      <c r="S122" s="1"/>
      <c r="T122" s="1"/>
      <c r="U122" s="1"/>
      <c r="V122" s="1"/>
      <c r="W122" s="31"/>
      <c r="X122" s="1"/>
      <c r="Y122" s="1"/>
      <c r="Z122" s="1"/>
      <c r="AA122" s="1"/>
      <c r="AB122" s="1"/>
      <c r="AC122" s="31"/>
    </row>
    <row r="123" spans="1:29" ht="14.25" customHeight="1" x14ac:dyDescent="0.2">
      <c r="A123" s="1"/>
      <c r="B123" s="72"/>
      <c r="C123" s="79">
        <f>-C113</f>
        <v>217136936.33952257</v>
      </c>
      <c r="D123" s="135">
        <f>-D113</f>
        <v>310863063.66047746</v>
      </c>
      <c r="E123" s="23"/>
      <c r="F123" s="23"/>
      <c r="G123" s="23"/>
      <c r="H123" s="23"/>
      <c r="I123" s="23"/>
      <c r="J123" s="23"/>
      <c r="K123" s="23"/>
      <c r="L123" s="23"/>
      <c r="M123" s="1"/>
      <c r="N123" s="1"/>
      <c r="O123" s="1"/>
      <c r="P123" s="1"/>
      <c r="Q123" s="31"/>
      <c r="R123" s="1"/>
      <c r="S123" s="1"/>
      <c r="T123" s="1"/>
      <c r="U123" s="1"/>
      <c r="V123" s="1"/>
      <c r="W123" s="31"/>
      <c r="X123" s="1"/>
      <c r="Y123" s="1"/>
      <c r="Z123" s="1"/>
      <c r="AA123" s="1"/>
      <c r="AB123" s="1"/>
      <c r="AC123" s="31"/>
    </row>
    <row r="124" spans="1:29" ht="14.25" customHeight="1" x14ac:dyDescent="0.2">
      <c r="A124" s="1"/>
      <c r="B124" s="72"/>
      <c r="C124" s="79">
        <f>C111</f>
        <v>1398559830.8693261</v>
      </c>
      <c r="D124" s="135">
        <f>D111</f>
        <v>6143406298.0884819</v>
      </c>
      <c r="E124" s="23"/>
      <c r="F124" s="23"/>
      <c r="G124" s="23"/>
      <c r="H124" s="23"/>
      <c r="I124" s="23"/>
      <c r="J124" s="23"/>
      <c r="K124" s="23"/>
      <c r="L124" s="23"/>
      <c r="M124" s="1"/>
      <c r="N124" s="1"/>
      <c r="O124" s="1"/>
      <c r="P124" s="1"/>
      <c r="Q124" s="31"/>
      <c r="R124" s="1"/>
      <c r="S124" s="1"/>
      <c r="T124" s="1"/>
      <c r="U124" s="1"/>
      <c r="V124" s="1"/>
      <c r="W124" s="31"/>
      <c r="X124" s="1"/>
      <c r="Y124" s="1"/>
      <c r="Z124" s="1"/>
      <c r="AA124" s="1"/>
      <c r="AB124" s="1"/>
      <c r="AC124" s="31"/>
    </row>
    <row r="125" spans="1:29" ht="14.25" customHeight="1" x14ac:dyDescent="0.2">
      <c r="A125" s="1"/>
      <c r="B125" s="72" t="s">
        <v>80</v>
      </c>
      <c r="C125" s="78">
        <f>C123/C124</f>
        <v>0.15525752388051439</v>
      </c>
      <c r="D125" s="123">
        <f>D123/D124</f>
        <v>5.0601091410347118E-2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31"/>
      <c r="R125" s="1"/>
      <c r="S125" s="1"/>
      <c r="T125" s="1"/>
      <c r="U125" s="1"/>
      <c r="V125" s="1"/>
      <c r="W125" s="31"/>
      <c r="X125" s="1"/>
      <c r="Y125" s="1"/>
      <c r="Z125" s="1"/>
      <c r="AA125" s="1"/>
      <c r="AB125" s="1"/>
      <c r="AC125" s="31"/>
    </row>
    <row r="126" spans="1:29" ht="14.25" customHeight="1" x14ac:dyDescent="0.2">
      <c r="A126" s="1"/>
      <c r="B126" s="72" t="s">
        <v>81</v>
      </c>
      <c r="C126" s="78">
        <f t="shared" ref="C126:D126" si="56">C125*12</f>
        <v>1.8630902865661727</v>
      </c>
      <c r="D126" s="123">
        <f t="shared" si="56"/>
        <v>0.60721309692416536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31"/>
      <c r="R126" s="1"/>
      <c r="S126" s="1"/>
      <c r="T126" s="1"/>
      <c r="U126" s="1"/>
      <c r="V126" s="1"/>
      <c r="W126" s="31"/>
      <c r="X126" s="1"/>
      <c r="Y126" s="1"/>
      <c r="Z126" s="1"/>
      <c r="AA126" s="1"/>
      <c r="AB126" s="1"/>
      <c r="AC126" s="31"/>
    </row>
    <row r="127" spans="1:29" ht="14.25" customHeight="1" x14ac:dyDescent="0.2">
      <c r="A127" s="1"/>
      <c r="B127" s="72" t="s">
        <v>82</v>
      </c>
      <c r="C127" s="78">
        <f>(C126-1)*30</f>
        <v>25.89270859698518</v>
      </c>
      <c r="D127" s="123">
        <f>(D126)*30</f>
        <v>18.216392907724959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31"/>
      <c r="R127" s="1"/>
      <c r="S127" s="1"/>
      <c r="T127" s="1"/>
      <c r="U127" s="1"/>
      <c r="V127" s="1"/>
      <c r="W127" s="31"/>
      <c r="X127" s="1"/>
      <c r="Y127" s="1"/>
      <c r="Z127" s="1"/>
      <c r="AA127" s="1"/>
      <c r="AB127" s="1"/>
      <c r="AC127" s="31"/>
    </row>
    <row r="128" spans="1:29" ht="14.25" customHeight="1" x14ac:dyDescent="0.2">
      <c r="A128" s="1"/>
      <c r="B128" s="1"/>
      <c r="C128" s="31" t="s">
        <v>113</v>
      </c>
      <c r="D128" s="31" t="s">
        <v>121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 x14ac:dyDescent="0.2">
      <c r="A129" s="1"/>
      <c r="B129" s="98" t="s">
        <v>114</v>
      </c>
      <c r="C129" s="96"/>
      <c r="D129" s="9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4.25" x14ac:dyDescent="0.2">
      <c r="A130" s="1"/>
      <c r="B130" s="65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 x14ac:dyDescent="0.2">
      <c r="A131" s="1"/>
      <c r="B131" s="1"/>
      <c r="C131" s="6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customHeight="1" x14ac:dyDescent="0.2">
      <c r="A132" s="1"/>
      <c r="B132" s="173" t="s">
        <v>122</v>
      </c>
      <c r="C132" s="168">
        <v>528000000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4.25" customHeight="1" x14ac:dyDescent="0.2">
      <c r="A133" s="1"/>
      <c r="B133" s="173" t="s">
        <v>123</v>
      </c>
      <c r="C133" s="169">
        <v>0.1045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4.25" customHeight="1" x14ac:dyDescent="0.2">
      <c r="A135" s="1"/>
      <c r="B135" s="173" t="s">
        <v>89</v>
      </c>
      <c r="C135" s="173" t="s">
        <v>122</v>
      </c>
      <c r="D135" s="173" t="s">
        <v>124</v>
      </c>
      <c r="E135" s="173" t="s">
        <v>125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4.25" customHeight="1" x14ac:dyDescent="0.2">
      <c r="A136" s="1"/>
      <c r="B136" s="167">
        <v>0</v>
      </c>
      <c r="C136" s="170">
        <f>C132</f>
        <v>528000000</v>
      </c>
      <c r="D136" s="167">
        <v>0</v>
      </c>
      <c r="E136" s="167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4.25" customHeight="1" x14ac:dyDescent="0.2">
      <c r="A137" s="1"/>
      <c r="B137" s="167">
        <v>1</v>
      </c>
      <c r="C137" s="167"/>
      <c r="D137" s="171">
        <f>C74+D74</f>
        <v>44497971667.685051</v>
      </c>
      <c r="E137" s="171">
        <f>C72+D72</f>
        <v>37551030943.194138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4.25" customHeight="1" x14ac:dyDescent="0.2">
      <c r="A138" s="1"/>
      <c r="B138" s="167">
        <v>2</v>
      </c>
      <c r="C138" s="167"/>
      <c r="D138" s="171">
        <f>E74+F74</f>
        <v>48916363478.715027</v>
      </c>
      <c r="E138" s="171">
        <f>E72+F72</f>
        <v>41279631627.60762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4.25" customHeight="1" x14ac:dyDescent="0.2">
      <c r="A139" s="1"/>
      <c r="B139" s="167">
        <v>3</v>
      </c>
      <c r="C139" s="167"/>
      <c r="D139" s="171">
        <f>G74+H74</f>
        <v>55883863483.887878</v>
      </c>
      <c r="E139" s="171">
        <f>G72+H72</f>
        <v>47159378467.415932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4.25" customHeight="1" x14ac:dyDescent="0.2">
      <c r="A140" s="1"/>
      <c r="B140" s="167">
        <v>4</v>
      </c>
      <c r="C140" s="167"/>
      <c r="D140" s="171">
        <f>I74+J74</f>
        <v>52399802838.914322</v>
      </c>
      <c r="E140" s="171">
        <f>I72+J72</f>
        <v>44219242902.037399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4.25" customHeight="1" x14ac:dyDescent="0.2">
      <c r="A141" s="1"/>
      <c r="B141" s="167">
        <v>5</v>
      </c>
      <c r="C141" s="167"/>
      <c r="D141" s="171">
        <f>K74+L74</f>
        <v>51856015944.39756</v>
      </c>
      <c r="E141" s="171">
        <f>K72+L72</f>
        <v>43760351007.930435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4.25" customHeight="1" x14ac:dyDescent="0.2">
      <c r="A144" s="1"/>
      <c r="B144" s="173" t="s">
        <v>126</v>
      </c>
      <c r="C144" s="172">
        <f>NPV(10.45,D137:D141)</f>
        <v>4299941316.1835127</v>
      </c>
      <c r="D144" s="196" t="s">
        <v>130</v>
      </c>
      <c r="E144" s="197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4.25" customHeight="1" x14ac:dyDescent="0.2">
      <c r="A145" s="1"/>
      <c r="B145" s="173" t="s">
        <v>127</v>
      </c>
      <c r="C145" s="172">
        <f>NPV(10.45,E137:E141)</f>
        <v>3628642460.9143567</v>
      </c>
      <c r="D145" s="198"/>
      <c r="E145" s="199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4.25" customHeight="1" x14ac:dyDescent="0.2">
      <c r="A146" s="1"/>
      <c r="B146" s="173" t="s">
        <v>128</v>
      </c>
      <c r="C146" s="172">
        <f>C145+C136</f>
        <v>4156642460.9143567</v>
      </c>
      <c r="D146" s="200"/>
      <c r="E146" s="20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4.25" customHeight="1" x14ac:dyDescent="0.2">
      <c r="A147" s="1"/>
      <c r="B147" s="173" t="s">
        <v>129</v>
      </c>
      <c r="C147" s="167">
        <f>C144/C146</f>
        <v>1.0344746647364118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mergeCells count="42">
    <mergeCell ref="D144:E146"/>
    <mergeCell ref="O77:R77"/>
    <mergeCell ref="S77:V77"/>
    <mergeCell ref="I99:J99"/>
    <mergeCell ref="K99:L99"/>
    <mergeCell ref="I87:J87"/>
    <mergeCell ref="K87:L87"/>
    <mergeCell ref="B53:B54"/>
    <mergeCell ref="C53:D53"/>
    <mergeCell ref="G53:H53"/>
    <mergeCell ref="I53:J53"/>
    <mergeCell ref="K53:L53"/>
    <mergeCell ref="E53:F53"/>
    <mergeCell ref="C77:F77"/>
    <mergeCell ref="G77:J77"/>
    <mergeCell ref="K77:N77"/>
    <mergeCell ref="B99:B100"/>
    <mergeCell ref="C99:D99"/>
    <mergeCell ref="E99:F99"/>
    <mergeCell ref="G99:H99"/>
    <mergeCell ref="B87:B88"/>
    <mergeCell ref="C87:D87"/>
    <mergeCell ref="E87:F87"/>
    <mergeCell ref="G87:H87"/>
    <mergeCell ref="B26:B27"/>
    <mergeCell ref="C26:E26"/>
    <mergeCell ref="F26:F27"/>
    <mergeCell ref="B42:B44"/>
    <mergeCell ref="C42:L42"/>
    <mergeCell ref="C43:D43"/>
    <mergeCell ref="E43:F43"/>
    <mergeCell ref="G43:H43"/>
    <mergeCell ref="I43:J43"/>
    <mergeCell ref="K43:L43"/>
    <mergeCell ref="A4:A5"/>
    <mergeCell ref="B4:C4"/>
    <mergeCell ref="D4:E4"/>
    <mergeCell ref="F4:G4"/>
    <mergeCell ref="A14:A15"/>
    <mergeCell ref="D14:E14"/>
    <mergeCell ref="F14:G14"/>
    <mergeCell ref="B14:C14"/>
  </mergeCells>
  <phoneticPr fontId="8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3:W85"/>
  <sheetViews>
    <sheetView topLeftCell="A7" zoomScale="80" zoomScaleNormal="80" workbookViewId="0">
      <selection activeCell="C24" sqref="C24:C35"/>
    </sheetView>
  </sheetViews>
  <sheetFormatPr baseColWidth="10" defaultRowHeight="14.25" x14ac:dyDescent="0.2"/>
  <cols>
    <col min="1" max="2" width="11" style="44"/>
    <col min="3" max="3" width="18.75" style="44" bestFit="1" customWidth="1"/>
    <col min="4" max="4" width="21.125" style="44" customWidth="1"/>
    <col min="5" max="5" width="24.25" style="44" customWidth="1"/>
    <col min="6" max="6" width="17.25" style="44" bestFit="1" customWidth="1"/>
    <col min="7" max="7" width="22.25" style="44" customWidth="1"/>
    <col min="8" max="8" width="17.25" style="44" customWidth="1"/>
    <col min="9" max="9" width="20.125" style="44" customWidth="1"/>
    <col min="10" max="10" width="11.875" style="44" customWidth="1"/>
    <col min="11" max="11" width="15.625" style="44" customWidth="1"/>
    <col min="12" max="12" width="20.75" style="44" customWidth="1"/>
    <col min="13" max="13" width="24.625" style="44" customWidth="1"/>
    <col min="14" max="14" width="19.125" style="44" customWidth="1"/>
    <col min="15" max="15" width="20.75" style="44" customWidth="1"/>
    <col min="16" max="16" width="16.25" style="44" bestFit="1" customWidth="1"/>
    <col min="17" max="17" width="12.625" style="44" bestFit="1" customWidth="1"/>
    <col min="18" max="18" width="12.375" style="44" customWidth="1"/>
    <col min="19" max="19" width="15.875" style="44" customWidth="1"/>
    <col min="20" max="20" width="19.375" style="44" customWidth="1"/>
    <col min="21" max="21" width="19.25" style="44" customWidth="1"/>
    <col min="22" max="22" width="18" style="44" customWidth="1"/>
    <col min="23" max="23" width="21.25" style="44" customWidth="1"/>
    <col min="24" max="16384" width="11" style="44"/>
  </cols>
  <sheetData>
    <row r="3" spans="2:23" x14ac:dyDescent="0.2">
      <c r="B3" s="76" t="s">
        <v>86</v>
      </c>
      <c r="C3" s="47">
        <v>528000000</v>
      </c>
      <c r="D3" s="49"/>
      <c r="E3" s="50"/>
      <c r="F3" s="50"/>
    </row>
    <row r="4" spans="2:23" x14ac:dyDescent="0.2">
      <c r="B4" s="76" t="s">
        <v>96</v>
      </c>
      <c r="C4" s="48">
        <v>0.1045</v>
      </c>
      <c r="D4" s="46" t="s">
        <v>87</v>
      </c>
      <c r="E4" s="100">
        <f>((1+C4)^(1/12))-1</f>
        <v>8.3171253540881285E-3</v>
      </c>
      <c r="F4" s="46" t="s">
        <v>88</v>
      </c>
    </row>
    <row r="5" spans="2:23" x14ac:dyDescent="0.2">
      <c r="B5" s="76" t="s">
        <v>97</v>
      </c>
      <c r="C5" s="46">
        <v>60</v>
      </c>
      <c r="D5" s="51" t="s">
        <v>90</v>
      </c>
      <c r="E5" s="46">
        <f>C5/12</f>
        <v>5</v>
      </c>
      <c r="F5" s="46" t="s">
        <v>91</v>
      </c>
    </row>
    <row r="6" spans="2:23" x14ac:dyDescent="0.2">
      <c r="C6" s="45"/>
      <c r="E6" s="53"/>
    </row>
    <row r="7" spans="2:23" ht="15" x14ac:dyDescent="0.25">
      <c r="E7" s="55"/>
      <c r="Q7" s="55"/>
    </row>
    <row r="8" spans="2:23" ht="15" x14ac:dyDescent="0.25">
      <c r="E8" s="55" t="s">
        <v>98</v>
      </c>
      <c r="M8" s="99" t="s">
        <v>115</v>
      </c>
      <c r="O8" s="50"/>
      <c r="P8" s="50"/>
      <c r="Q8" s="50"/>
      <c r="R8" s="50"/>
      <c r="S8" s="50"/>
      <c r="U8" s="99" t="s">
        <v>118</v>
      </c>
    </row>
    <row r="9" spans="2:23" ht="15" x14ac:dyDescent="0.25">
      <c r="B9" s="56"/>
      <c r="O9" s="56"/>
      <c r="P9" s="56"/>
      <c r="Q9" s="56"/>
      <c r="R9" s="56"/>
      <c r="S9" s="56"/>
    </row>
    <row r="10" spans="2:23" ht="15" x14ac:dyDescent="0.25">
      <c r="B10" s="50"/>
      <c r="C10" s="75" t="s">
        <v>89</v>
      </c>
      <c r="D10" s="75" t="s">
        <v>92</v>
      </c>
      <c r="E10" s="75" t="s">
        <v>93</v>
      </c>
      <c r="F10" s="75" t="s">
        <v>94</v>
      </c>
      <c r="G10" s="75" t="s">
        <v>95</v>
      </c>
      <c r="K10" s="101" t="s">
        <v>89</v>
      </c>
      <c r="L10" s="101" t="s">
        <v>92</v>
      </c>
      <c r="M10" s="101" t="s">
        <v>93</v>
      </c>
      <c r="N10" s="101" t="s">
        <v>94</v>
      </c>
      <c r="O10" s="101" t="s">
        <v>95</v>
      </c>
      <c r="P10" s="50"/>
      <c r="Q10" s="50"/>
      <c r="R10" s="50"/>
      <c r="S10" s="103" t="s">
        <v>89</v>
      </c>
      <c r="T10" s="101" t="s">
        <v>117</v>
      </c>
      <c r="U10" s="101" t="s">
        <v>93</v>
      </c>
      <c r="V10" s="101" t="s">
        <v>94</v>
      </c>
      <c r="W10" s="101" t="s">
        <v>95</v>
      </c>
    </row>
    <row r="11" spans="2:23" x14ac:dyDescent="0.2">
      <c r="B11" s="50"/>
      <c r="C11" s="46">
        <v>0</v>
      </c>
      <c r="D11" s="73"/>
      <c r="E11" s="46"/>
      <c r="F11" s="46"/>
      <c r="G11" s="52">
        <f>C3</f>
        <v>528000000</v>
      </c>
      <c r="K11" s="46">
        <v>0</v>
      </c>
      <c r="L11" s="46"/>
      <c r="M11" s="46"/>
      <c r="N11" s="46"/>
      <c r="O11" s="52">
        <f>C3</f>
        <v>528000000</v>
      </c>
      <c r="P11" s="58"/>
      <c r="Q11" s="57"/>
      <c r="R11" s="58"/>
      <c r="S11" s="104">
        <v>0</v>
      </c>
      <c r="T11" s="46"/>
      <c r="U11" s="46"/>
      <c r="V11" s="46"/>
      <c r="W11" s="52">
        <f>C3</f>
        <v>528000000</v>
      </c>
    </row>
    <row r="12" spans="2:23" x14ac:dyDescent="0.2">
      <c r="B12" s="193" t="s">
        <v>99</v>
      </c>
      <c r="C12" s="46">
        <v>1</v>
      </c>
      <c r="D12" s="54">
        <f>E12+F12</f>
        <v>13191442.186958533</v>
      </c>
      <c r="E12" s="52">
        <f>$G$11/$C$5</f>
        <v>8800000</v>
      </c>
      <c r="F12" s="59">
        <f>G11*$E$4</f>
        <v>4391442.1869585318</v>
      </c>
      <c r="G12" s="52">
        <f>G11-E12</f>
        <v>519200000</v>
      </c>
      <c r="I12" s="50"/>
      <c r="J12" s="193" t="s">
        <v>99</v>
      </c>
      <c r="K12" s="46">
        <v>1</v>
      </c>
      <c r="L12" s="73">
        <f>(C3*E4)/((1-(1+E4)^-C5))</f>
        <v>11213387.323959969</v>
      </c>
      <c r="M12" s="102">
        <f>L12-N12</f>
        <v>6821945.1370014371</v>
      </c>
      <c r="N12" s="102">
        <f>O11*$E$4</f>
        <v>4391442.1869585318</v>
      </c>
      <c r="O12" s="52">
        <f>O11-M12</f>
        <v>521178054.86299855</v>
      </c>
      <c r="P12" s="58"/>
      <c r="Q12" s="57"/>
      <c r="R12" s="193" t="s">
        <v>99</v>
      </c>
      <c r="S12" s="104">
        <v>1</v>
      </c>
      <c r="T12" s="73">
        <f>D12</f>
        <v>13191442.186958533</v>
      </c>
      <c r="U12" s="52">
        <f>E12</f>
        <v>8800000</v>
      </c>
      <c r="V12" s="59">
        <f>F12</f>
        <v>4391442.1869585318</v>
      </c>
      <c r="W12" s="52">
        <f>W11-U12</f>
        <v>519200000</v>
      </c>
    </row>
    <row r="13" spans="2:23" x14ac:dyDescent="0.2">
      <c r="B13" s="194"/>
      <c r="C13" s="46">
        <v>2</v>
      </c>
      <c r="D13" s="54">
        <f t="shared" ref="D13:D23" si="0">E13+F13</f>
        <v>13118251.483842555</v>
      </c>
      <c r="E13" s="52">
        <f t="shared" ref="E13:E71" si="1">$G$11/$C$5</f>
        <v>8800000</v>
      </c>
      <c r="F13" s="59">
        <f t="shared" ref="F13:F71" si="2">G12*$E$4</f>
        <v>4318251.4838425564</v>
      </c>
      <c r="G13" s="52">
        <f t="shared" ref="G13:G23" si="3">G12-E13</f>
        <v>510400000</v>
      </c>
      <c r="I13" s="50"/>
      <c r="J13" s="194"/>
      <c r="K13" s="46">
        <v>2</v>
      </c>
      <c r="L13" s="102">
        <f>L$12</f>
        <v>11213387.323959969</v>
      </c>
      <c r="M13" s="102">
        <f>L13-N13</f>
        <v>6878684.1098645898</v>
      </c>
      <c r="N13" s="102">
        <f>O12*$E$4</f>
        <v>4334703.2140953792</v>
      </c>
      <c r="O13" s="52">
        <f t="shared" ref="O13:O71" si="4">O12-M13</f>
        <v>514299370.75313395</v>
      </c>
      <c r="P13" s="58"/>
      <c r="Q13" s="57"/>
      <c r="R13" s="194"/>
      <c r="S13" s="104">
        <v>2</v>
      </c>
      <c r="T13" s="73">
        <f>T12</f>
        <v>13191442.186958533</v>
      </c>
      <c r="U13" s="52">
        <f>E13</f>
        <v>8800000</v>
      </c>
      <c r="V13" s="59">
        <f>V12</f>
        <v>4391442.1869585318</v>
      </c>
      <c r="W13" s="52">
        <f t="shared" ref="W13:W71" si="5">W12-U13</f>
        <v>510400000</v>
      </c>
    </row>
    <row r="14" spans="2:23" x14ac:dyDescent="0.2">
      <c r="B14" s="194"/>
      <c r="C14" s="46">
        <v>3</v>
      </c>
      <c r="D14" s="54">
        <f t="shared" si="0"/>
        <v>13045060.780726582</v>
      </c>
      <c r="E14" s="52">
        <f t="shared" si="1"/>
        <v>8800000</v>
      </c>
      <c r="F14" s="59">
        <f t="shared" si="2"/>
        <v>4245060.7807265809</v>
      </c>
      <c r="G14" s="52">
        <f t="shared" si="3"/>
        <v>501600000</v>
      </c>
      <c r="I14" s="50"/>
      <c r="J14" s="194"/>
      <c r="K14" s="46">
        <v>3</v>
      </c>
      <c r="L14" s="102">
        <f t="shared" ref="L14:L71" si="6">L$12</f>
        <v>11213387.323959969</v>
      </c>
      <c r="M14" s="102">
        <f t="shared" ref="M14:M71" si="7">L14-N14</f>
        <v>6935894.9878775077</v>
      </c>
      <c r="N14" s="102">
        <f t="shared" ref="N14:N71" si="8">O13*$E$4</f>
        <v>4277492.3360824613</v>
      </c>
      <c r="O14" s="52">
        <f t="shared" si="4"/>
        <v>507363475.76525646</v>
      </c>
      <c r="P14" s="58"/>
      <c r="Q14" s="57"/>
      <c r="R14" s="194"/>
      <c r="S14" s="104">
        <v>3</v>
      </c>
      <c r="T14" s="73">
        <f>T13</f>
        <v>13191442.186958533</v>
      </c>
      <c r="U14" s="52">
        <f t="shared" ref="U14:U71" si="9">E14</f>
        <v>8800000</v>
      </c>
      <c r="V14" s="59">
        <f>V13</f>
        <v>4391442.1869585318</v>
      </c>
      <c r="W14" s="52">
        <f t="shared" si="5"/>
        <v>501600000</v>
      </c>
    </row>
    <row r="15" spans="2:23" x14ac:dyDescent="0.2">
      <c r="B15" s="194"/>
      <c r="C15" s="46">
        <v>4</v>
      </c>
      <c r="D15" s="54">
        <f t="shared" si="0"/>
        <v>12971870.077610604</v>
      </c>
      <c r="E15" s="52">
        <f t="shared" si="1"/>
        <v>8800000</v>
      </c>
      <c r="F15" s="59">
        <f t="shared" si="2"/>
        <v>4171870.0776106054</v>
      </c>
      <c r="G15" s="52">
        <f t="shared" si="3"/>
        <v>492800000</v>
      </c>
      <c r="I15" s="50"/>
      <c r="J15" s="194"/>
      <c r="K15" s="46">
        <v>4</v>
      </c>
      <c r="L15" s="102">
        <f t="shared" si="6"/>
        <v>11213387.323959969</v>
      </c>
      <c r="M15" s="102">
        <f t="shared" si="7"/>
        <v>6993581.6959344763</v>
      </c>
      <c r="N15" s="102">
        <f t="shared" si="8"/>
        <v>4219805.6280254927</v>
      </c>
      <c r="O15" s="52">
        <f t="shared" si="4"/>
        <v>500369894.06932199</v>
      </c>
      <c r="P15" s="58"/>
      <c r="Q15" s="57"/>
      <c r="R15" s="194"/>
      <c r="S15" s="104">
        <v>4</v>
      </c>
      <c r="T15" s="73">
        <f t="shared" ref="T15:T71" si="10">T14</f>
        <v>13191442.186958533</v>
      </c>
      <c r="U15" s="52">
        <f t="shared" si="9"/>
        <v>8800000</v>
      </c>
      <c r="V15" s="59">
        <f t="shared" ref="V15:V71" si="11">V14</f>
        <v>4391442.1869585318</v>
      </c>
      <c r="W15" s="52">
        <f t="shared" si="5"/>
        <v>492800000</v>
      </c>
    </row>
    <row r="16" spans="2:23" x14ac:dyDescent="0.2">
      <c r="B16" s="194"/>
      <c r="C16" s="46">
        <v>5</v>
      </c>
      <c r="D16" s="54">
        <f t="shared" si="0"/>
        <v>12898679.374494631</v>
      </c>
      <c r="E16" s="52">
        <f t="shared" si="1"/>
        <v>8800000</v>
      </c>
      <c r="F16" s="59">
        <f t="shared" si="2"/>
        <v>4098679.3744946299</v>
      </c>
      <c r="G16" s="52">
        <f t="shared" si="3"/>
        <v>484000000</v>
      </c>
      <c r="I16" s="50"/>
      <c r="J16" s="194"/>
      <c r="K16" s="46">
        <v>5</v>
      </c>
      <c r="L16" s="102">
        <f t="shared" si="6"/>
        <v>11213387.323959969</v>
      </c>
      <c r="M16" s="102">
        <f t="shared" si="7"/>
        <v>7051748.1915736198</v>
      </c>
      <c r="N16" s="102">
        <f t="shared" si="8"/>
        <v>4161639.1323863491</v>
      </c>
      <c r="O16" s="52">
        <f t="shared" si="4"/>
        <v>493318145.87774837</v>
      </c>
      <c r="P16" s="58"/>
      <c r="Q16" s="57"/>
      <c r="R16" s="194"/>
      <c r="S16" s="104">
        <v>5</v>
      </c>
      <c r="T16" s="73">
        <f t="shared" si="10"/>
        <v>13191442.186958533</v>
      </c>
      <c r="U16" s="52">
        <f t="shared" si="9"/>
        <v>8800000</v>
      </c>
      <c r="V16" s="59">
        <f t="shared" si="11"/>
        <v>4391442.1869585318</v>
      </c>
      <c r="W16" s="52">
        <f t="shared" si="5"/>
        <v>484000000</v>
      </c>
    </row>
    <row r="17" spans="2:23" x14ac:dyDescent="0.2">
      <c r="B17" s="194"/>
      <c r="C17" s="46">
        <v>6</v>
      </c>
      <c r="D17" s="54">
        <f t="shared" si="0"/>
        <v>12825488.671378653</v>
      </c>
      <c r="E17" s="52">
        <f t="shared" si="1"/>
        <v>8800000</v>
      </c>
      <c r="F17" s="59">
        <f t="shared" si="2"/>
        <v>4025488.671378654</v>
      </c>
      <c r="G17" s="52">
        <f t="shared" si="3"/>
        <v>475200000</v>
      </c>
      <c r="I17" s="50"/>
      <c r="J17" s="194"/>
      <c r="K17" s="46">
        <v>6</v>
      </c>
      <c r="L17" s="102">
        <f t="shared" si="6"/>
        <v>11213387.323959969</v>
      </c>
      <c r="M17" s="102">
        <f t="shared" si="7"/>
        <v>7110398.4652484022</v>
      </c>
      <c r="N17" s="102">
        <f t="shared" si="8"/>
        <v>4102988.8587115668</v>
      </c>
      <c r="O17" s="52">
        <f t="shared" si="4"/>
        <v>486207747.41249996</v>
      </c>
      <c r="P17" s="58"/>
      <c r="Q17" s="57"/>
      <c r="R17" s="194"/>
      <c r="S17" s="104">
        <v>6</v>
      </c>
      <c r="T17" s="73">
        <f t="shared" si="10"/>
        <v>13191442.186958533</v>
      </c>
      <c r="U17" s="52">
        <f t="shared" si="9"/>
        <v>8800000</v>
      </c>
      <c r="V17" s="59">
        <f t="shared" si="11"/>
        <v>4391442.1869585318</v>
      </c>
      <c r="W17" s="52">
        <f t="shared" si="5"/>
        <v>475200000</v>
      </c>
    </row>
    <row r="18" spans="2:23" x14ac:dyDescent="0.2">
      <c r="B18" s="194"/>
      <c r="C18" s="46">
        <v>7</v>
      </c>
      <c r="D18" s="54">
        <f t="shared" si="0"/>
        <v>12752297.968262678</v>
      </c>
      <c r="E18" s="52">
        <f t="shared" si="1"/>
        <v>8800000</v>
      </c>
      <c r="F18" s="59">
        <f t="shared" si="2"/>
        <v>3952297.9682626785</v>
      </c>
      <c r="G18" s="52">
        <f t="shared" si="3"/>
        <v>466400000</v>
      </c>
      <c r="I18" s="50"/>
      <c r="J18" s="194"/>
      <c r="K18" s="46">
        <v>7</v>
      </c>
      <c r="L18" s="102">
        <f t="shared" si="6"/>
        <v>11213387.323959969</v>
      </c>
      <c r="M18" s="102">
        <f t="shared" si="7"/>
        <v>7169536.5406013895</v>
      </c>
      <c r="N18" s="102">
        <f t="shared" si="8"/>
        <v>4043850.78335858</v>
      </c>
      <c r="O18" s="52">
        <f t="shared" si="4"/>
        <v>479038210.87189859</v>
      </c>
      <c r="P18" s="58"/>
      <c r="Q18" s="57"/>
      <c r="R18" s="194"/>
      <c r="S18" s="104">
        <v>7</v>
      </c>
      <c r="T18" s="73">
        <f t="shared" si="10"/>
        <v>13191442.186958533</v>
      </c>
      <c r="U18" s="52">
        <f t="shared" si="9"/>
        <v>8800000</v>
      </c>
      <c r="V18" s="59">
        <f t="shared" si="11"/>
        <v>4391442.1869585318</v>
      </c>
      <c r="W18" s="52">
        <f t="shared" si="5"/>
        <v>466400000</v>
      </c>
    </row>
    <row r="19" spans="2:23" x14ac:dyDescent="0.2">
      <c r="B19" s="194"/>
      <c r="C19" s="46">
        <v>8</v>
      </c>
      <c r="D19" s="54">
        <f t="shared" si="0"/>
        <v>12679107.265146703</v>
      </c>
      <c r="E19" s="52">
        <f t="shared" si="1"/>
        <v>8800000</v>
      </c>
      <c r="F19" s="59">
        <f t="shared" si="2"/>
        <v>3879107.265146703</v>
      </c>
      <c r="G19" s="52">
        <f t="shared" si="3"/>
        <v>457600000</v>
      </c>
      <c r="I19" s="50"/>
      <c r="J19" s="194"/>
      <c r="K19" s="46">
        <v>8</v>
      </c>
      <c r="L19" s="102">
        <f t="shared" si="6"/>
        <v>11213387.323959969</v>
      </c>
      <c r="M19" s="102">
        <f t="shared" si="7"/>
        <v>7229166.4747402854</v>
      </c>
      <c r="N19" s="102">
        <f t="shared" si="8"/>
        <v>3984220.8492196831</v>
      </c>
      <c r="O19" s="52">
        <f t="shared" si="4"/>
        <v>471809044.39715832</v>
      </c>
      <c r="P19" s="58"/>
      <c r="Q19" s="57"/>
      <c r="R19" s="194"/>
      <c r="S19" s="104">
        <v>8</v>
      </c>
      <c r="T19" s="73">
        <f t="shared" si="10"/>
        <v>13191442.186958533</v>
      </c>
      <c r="U19" s="52">
        <f t="shared" si="9"/>
        <v>8800000</v>
      </c>
      <c r="V19" s="59">
        <f t="shared" si="11"/>
        <v>4391442.1869585318</v>
      </c>
      <c r="W19" s="52">
        <f t="shared" si="5"/>
        <v>457600000</v>
      </c>
    </row>
    <row r="20" spans="2:23" x14ac:dyDescent="0.2">
      <c r="B20" s="194"/>
      <c r="C20" s="46">
        <v>9</v>
      </c>
      <c r="D20" s="54">
        <f t="shared" si="0"/>
        <v>12605916.562030727</v>
      </c>
      <c r="E20" s="52">
        <f t="shared" si="1"/>
        <v>8800000</v>
      </c>
      <c r="F20" s="59">
        <f t="shared" si="2"/>
        <v>3805916.5620307275</v>
      </c>
      <c r="G20" s="52">
        <f t="shared" si="3"/>
        <v>448800000</v>
      </c>
      <c r="I20" s="50"/>
      <c r="J20" s="194"/>
      <c r="K20" s="46">
        <v>9</v>
      </c>
      <c r="L20" s="102">
        <f t="shared" si="6"/>
        <v>11213387.323959969</v>
      </c>
      <c r="M20" s="102">
        <f t="shared" si="7"/>
        <v>7289292.3585162722</v>
      </c>
      <c r="N20" s="102">
        <f t="shared" si="8"/>
        <v>3924094.9654436968</v>
      </c>
      <c r="O20" s="52">
        <f t="shared" si="4"/>
        <v>464519752.03864205</v>
      </c>
      <c r="P20" s="58"/>
      <c r="Q20" s="57"/>
      <c r="R20" s="194"/>
      <c r="S20" s="104">
        <v>9</v>
      </c>
      <c r="T20" s="73">
        <f t="shared" si="10"/>
        <v>13191442.186958533</v>
      </c>
      <c r="U20" s="52">
        <f t="shared" si="9"/>
        <v>8800000</v>
      </c>
      <c r="V20" s="59">
        <f t="shared" si="11"/>
        <v>4391442.1869585318</v>
      </c>
      <c r="W20" s="52">
        <f t="shared" si="5"/>
        <v>448800000</v>
      </c>
    </row>
    <row r="21" spans="2:23" x14ac:dyDescent="0.2">
      <c r="B21" s="194"/>
      <c r="C21" s="46">
        <v>10</v>
      </c>
      <c r="D21" s="54">
        <f t="shared" si="0"/>
        <v>12532725.858914752</v>
      </c>
      <c r="E21" s="52">
        <f t="shared" si="1"/>
        <v>8800000</v>
      </c>
      <c r="F21" s="59">
        <f t="shared" si="2"/>
        <v>3732725.858914752</v>
      </c>
      <c r="G21" s="52">
        <f t="shared" si="3"/>
        <v>440000000</v>
      </c>
      <c r="I21" s="50"/>
      <c r="J21" s="194"/>
      <c r="K21" s="46">
        <v>10</v>
      </c>
      <c r="L21" s="102">
        <f t="shared" si="6"/>
        <v>11213387.323959969</v>
      </c>
      <c r="M21" s="102">
        <f t="shared" si="7"/>
        <v>7349918.3168046484</v>
      </c>
      <c r="N21" s="102">
        <f t="shared" si="8"/>
        <v>3863469.0071553206</v>
      </c>
      <c r="O21" s="52">
        <f t="shared" si="4"/>
        <v>457169833.7218374</v>
      </c>
      <c r="P21" s="58"/>
      <c r="Q21" s="57"/>
      <c r="R21" s="194"/>
      <c r="S21" s="104">
        <v>10</v>
      </c>
      <c r="T21" s="73">
        <f t="shared" si="10"/>
        <v>13191442.186958533</v>
      </c>
      <c r="U21" s="52">
        <f t="shared" si="9"/>
        <v>8800000</v>
      </c>
      <c r="V21" s="59">
        <f t="shared" si="11"/>
        <v>4391442.1869585318</v>
      </c>
      <c r="W21" s="52">
        <f t="shared" si="5"/>
        <v>440000000</v>
      </c>
    </row>
    <row r="22" spans="2:23" x14ac:dyDescent="0.2">
      <c r="B22" s="194"/>
      <c r="C22" s="46">
        <v>11</v>
      </c>
      <c r="D22" s="54">
        <f t="shared" si="0"/>
        <v>12459535.155798776</v>
      </c>
      <c r="E22" s="52">
        <f t="shared" si="1"/>
        <v>8800000</v>
      </c>
      <c r="F22" s="59">
        <f t="shared" si="2"/>
        <v>3659535.1557987765</v>
      </c>
      <c r="G22" s="52">
        <f t="shared" si="3"/>
        <v>431200000</v>
      </c>
      <c r="I22" s="50"/>
      <c r="J22" s="194"/>
      <c r="K22" s="46">
        <v>11</v>
      </c>
      <c r="L22" s="102">
        <f t="shared" si="6"/>
        <v>11213387.323959969</v>
      </c>
      <c r="M22" s="102">
        <f t="shared" si="7"/>
        <v>7411048.508787821</v>
      </c>
      <c r="N22" s="102">
        <f t="shared" si="8"/>
        <v>3802338.8151721479</v>
      </c>
      <c r="O22" s="52">
        <f t="shared" si="4"/>
        <v>449758785.21304959</v>
      </c>
      <c r="P22" s="58"/>
      <c r="Q22" s="57"/>
      <c r="R22" s="194"/>
      <c r="S22" s="104">
        <v>11</v>
      </c>
      <c r="T22" s="73">
        <f t="shared" si="10"/>
        <v>13191442.186958533</v>
      </c>
      <c r="U22" s="52">
        <f t="shared" si="9"/>
        <v>8800000</v>
      </c>
      <c r="V22" s="59">
        <f t="shared" si="11"/>
        <v>4391442.1869585318</v>
      </c>
      <c r="W22" s="52">
        <f t="shared" si="5"/>
        <v>431200000</v>
      </c>
    </row>
    <row r="23" spans="2:23" x14ac:dyDescent="0.2">
      <c r="B23" s="195"/>
      <c r="C23" s="46">
        <v>12</v>
      </c>
      <c r="D23" s="54">
        <f t="shared" si="0"/>
        <v>12386344.452682801</v>
      </c>
      <c r="E23" s="52">
        <f t="shared" si="1"/>
        <v>8800000</v>
      </c>
      <c r="F23" s="59">
        <f t="shared" si="2"/>
        <v>3586344.4526828011</v>
      </c>
      <c r="G23" s="52">
        <f t="shared" si="3"/>
        <v>422400000</v>
      </c>
      <c r="H23" s="74" t="s">
        <v>111</v>
      </c>
      <c r="I23" s="139">
        <f>SUM(D12:D23)</f>
        <v>153466719.83784798</v>
      </c>
      <c r="J23" s="195"/>
      <c r="K23" s="46">
        <v>12</v>
      </c>
      <c r="L23" s="102">
        <f t="shared" si="6"/>
        <v>11213387.323959969</v>
      </c>
      <c r="M23" s="102">
        <f t="shared" si="7"/>
        <v>7472687.1282406375</v>
      </c>
      <c r="N23" s="102">
        <f t="shared" si="8"/>
        <v>3740700.1957193315</v>
      </c>
      <c r="O23" s="52">
        <f t="shared" si="4"/>
        <v>442286098.08480895</v>
      </c>
      <c r="P23" s="58"/>
      <c r="Q23" s="57"/>
      <c r="R23" s="195"/>
      <c r="S23" s="104">
        <v>12</v>
      </c>
      <c r="T23" s="73">
        <f t="shared" si="10"/>
        <v>13191442.186958533</v>
      </c>
      <c r="U23" s="52">
        <f t="shared" si="9"/>
        <v>8800000</v>
      </c>
      <c r="V23" s="59">
        <f t="shared" si="11"/>
        <v>4391442.1869585318</v>
      </c>
      <c r="W23" s="52">
        <f t="shared" si="5"/>
        <v>422400000</v>
      </c>
    </row>
    <row r="24" spans="2:23" x14ac:dyDescent="0.2">
      <c r="B24" s="193" t="s">
        <v>102</v>
      </c>
      <c r="C24" s="46">
        <v>13</v>
      </c>
      <c r="D24" s="54">
        <f>E24+F24</f>
        <v>12313153.749566825</v>
      </c>
      <c r="E24" s="52">
        <f t="shared" si="1"/>
        <v>8800000</v>
      </c>
      <c r="F24" s="59">
        <f t="shared" si="2"/>
        <v>3513153.7495668256</v>
      </c>
      <c r="G24" s="52">
        <f t="shared" ref="G24:G70" si="12">G23-E24</f>
        <v>413600000</v>
      </c>
      <c r="I24" s="50"/>
      <c r="J24" s="193" t="s">
        <v>102</v>
      </c>
      <c r="K24" s="46">
        <v>13</v>
      </c>
      <c r="L24" s="102">
        <f t="shared" si="6"/>
        <v>11213387.323959969</v>
      </c>
      <c r="M24" s="102">
        <f t="shared" si="7"/>
        <v>7534838.4038180951</v>
      </c>
      <c r="N24" s="102">
        <f t="shared" si="8"/>
        <v>3678548.9201418734</v>
      </c>
      <c r="O24" s="52">
        <f t="shared" si="4"/>
        <v>434751259.68099087</v>
      </c>
      <c r="P24" s="58"/>
      <c r="Q24" s="57"/>
      <c r="R24" s="193" t="s">
        <v>102</v>
      </c>
      <c r="S24" s="104">
        <v>13</v>
      </c>
      <c r="T24" s="73">
        <f t="shared" si="10"/>
        <v>13191442.186958533</v>
      </c>
      <c r="U24" s="52">
        <f t="shared" si="9"/>
        <v>8800000</v>
      </c>
      <c r="V24" s="59">
        <f t="shared" si="11"/>
        <v>4391442.1869585318</v>
      </c>
      <c r="W24" s="52">
        <f t="shared" si="5"/>
        <v>413600000</v>
      </c>
    </row>
    <row r="25" spans="2:23" x14ac:dyDescent="0.2">
      <c r="B25" s="194"/>
      <c r="C25" s="46">
        <v>14</v>
      </c>
      <c r="D25" s="54">
        <f t="shared" ref="D25:D71" si="13">E25+F25</f>
        <v>12239963.04645085</v>
      </c>
      <c r="E25" s="52">
        <f t="shared" si="1"/>
        <v>8800000</v>
      </c>
      <c r="F25" s="59">
        <f t="shared" si="2"/>
        <v>3439963.0464508501</v>
      </c>
      <c r="G25" s="52">
        <f t="shared" si="12"/>
        <v>404800000</v>
      </c>
      <c r="I25" s="50"/>
      <c r="J25" s="194"/>
      <c r="K25" s="46">
        <v>14</v>
      </c>
      <c r="L25" s="102">
        <f t="shared" si="6"/>
        <v>11213387.323959969</v>
      </c>
      <c r="M25" s="102">
        <f t="shared" si="7"/>
        <v>7597506.5993454475</v>
      </c>
      <c r="N25" s="102">
        <f t="shared" si="8"/>
        <v>3615880.724614521</v>
      </c>
      <c r="O25" s="52">
        <f t="shared" si="4"/>
        <v>427153753.08164543</v>
      </c>
      <c r="P25" s="58"/>
      <c r="Q25" s="57"/>
      <c r="R25" s="194"/>
      <c r="S25" s="104">
        <v>14</v>
      </c>
      <c r="T25" s="73">
        <f t="shared" si="10"/>
        <v>13191442.186958533</v>
      </c>
      <c r="U25" s="52">
        <f t="shared" si="9"/>
        <v>8800000</v>
      </c>
      <c r="V25" s="59">
        <f t="shared" si="11"/>
        <v>4391442.1869585318</v>
      </c>
      <c r="W25" s="52">
        <f t="shared" si="5"/>
        <v>404800000</v>
      </c>
    </row>
    <row r="26" spans="2:23" x14ac:dyDescent="0.2">
      <c r="B26" s="194"/>
      <c r="C26" s="46">
        <v>15</v>
      </c>
      <c r="D26" s="54">
        <f t="shared" si="13"/>
        <v>12166772.343334874</v>
      </c>
      <c r="E26" s="52">
        <f t="shared" si="1"/>
        <v>8800000</v>
      </c>
      <c r="F26" s="59">
        <f t="shared" si="2"/>
        <v>3366772.3433348746</v>
      </c>
      <c r="G26" s="52">
        <f t="shared" si="12"/>
        <v>396000000</v>
      </c>
      <c r="I26" s="50"/>
      <c r="J26" s="194"/>
      <c r="K26" s="46">
        <v>15</v>
      </c>
      <c r="L26" s="102">
        <f t="shared" si="6"/>
        <v>11213387.323959969</v>
      </c>
      <c r="M26" s="102">
        <f t="shared" si="7"/>
        <v>7660696.0141107161</v>
      </c>
      <c r="N26" s="102">
        <f t="shared" si="8"/>
        <v>3552691.3098492534</v>
      </c>
      <c r="O26" s="52">
        <f t="shared" si="4"/>
        <v>419493057.06753469</v>
      </c>
      <c r="P26" s="58"/>
      <c r="Q26" s="57"/>
      <c r="R26" s="194"/>
      <c r="S26" s="104">
        <v>15</v>
      </c>
      <c r="T26" s="73">
        <f t="shared" si="10"/>
        <v>13191442.186958533</v>
      </c>
      <c r="U26" s="52">
        <f t="shared" si="9"/>
        <v>8800000</v>
      </c>
      <c r="V26" s="59">
        <f t="shared" si="11"/>
        <v>4391442.1869585318</v>
      </c>
      <c r="W26" s="52">
        <f t="shared" si="5"/>
        <v>396000000</v>
      </c>
    </row>
    <row r="27" spans="2:23" x14ac:dyDescent="0.2">
      <c r="B27" s="194"/>
      <c r="C27" s="46">
        <v>16</v>
      </c>
      <c r="D27" s="54">
        <f t="shared" si="13"/>
        <v>12093581.640218899</v>
      </c>
      <c r="E27" s="52">
        <f t="shared" si="1"/>
        <v>8800000</v>
      </c>
      <c r="F27" s="59">
        <f t="shared" si="2"/>
        <v>3293581.6402188987</v>
      </c>
      <c r="G27" s="52">
        <f t="shared" si="12"/>
        <v>387200000</v>
      </c>
      <c r="I27" s="50"/>
      <c r="J27" s="194"/>
      <c r="K27" s="46">
        <v>16</v>
      </c>
      <c r="L27" s="102">
        <f t="shared" si="6"/>
        <v>11213387.323959969</v>
      </c>
      <c r="M27" s="102">
        <f t="shared" si="7"/>
        <v>7724410.983159638</v>
      </c>
      <c r="N27" s="102">
        <f t="shared" si="8"/>
        <v>3488976.340800331</v>
      </c>
      <c r="O27" s="52">
        <f t="shared" si="4"/>
        <v>411768646.08437502</v>
      </c>
      <c r="P27" s="58"/>
      <c r="Q27" s="57"/>
      <c r="R27" s="194"/>
      <c r="S27" s="104">
        <v>16</v>
      </c>
      <c r="T27" s="73">
        <f t="shared" si="10"/>
        <v>13191442.186958533</v>
      </c>
      <c r="U27" s="52">
        <f t="shared" si="9"/>
        <v>8800000</v>
      </c>
      <c r="V27" s="59">
        <f t="shared" si="11"/>
        <v>4391442.1869585318</v>
      </c>
      <c r="W27" s="52">
        <f t="shared" si="5"/>
        <v>387200000</v>
      </c>
    </row>
    <row r="28" spans="2:23" x14ac:dyDescent="0.2">
      <c r="B28" s="194"/>
      <c r="C28" s="46">
        <v>17</v>
      </c>
      <c r="D28" s="54">
        <f t="shared" si="13"/>
        <v>12020390.937102923</v>
      </c>
      <c r="E28" s="52">
        <f t="shared" si="1"/>
        <v>8800000</v>
      </c>
      <c r="F28" s="59">
        <f t="shared" si="2"/>
        <v>3220390.9371029232</v>
      </c>
      <c r="G28" s="52">
        <f t="shared" si="12"/>
        <v>378400000</v>
      </c>
      <c r="I28" s="50"/>
      <c r="J28" s="194"/>
      <c r="K28" s="46">
        <v>17</v>
      </c>
      <c r="L28" s="102">
        <f t="shared" si="6"/>
        <v>11213387.323959969</v>
      </c>
      <c r="M28" s="102">
        <f t="shared" si="7"/>
        <v>7788655.8775930721</v>
      </c>
      <c r="N28" s="102">
        <f t="shared" si="8"/>
        <v>3424731.4463668969</v>
      </c>
      <c r="O28" s="52">
        <f t="shared" si="4"/>
        <v>403979990.20678192</v>
      </c>
      <c r="P28" s="58"/>
      <c r="Q28" s="57"/>
      <c r="R28" s="194"/>
      <c r="S28" s="104">
        <v>17</v>
      </c>
      <c r="T28" s="73">
        <f t="shared" si="10"/>
        <v>13191442.186958533</v>
      </c>
      <c r="U28" s="52">
        <f t="shared" si="9"/>
        <v>8800000</v>
      </c>
      <c r="V28" s="59">
        <f t="shared" si="11"/>
        <v>4391442.1869585318</v>
      </c>
      <c r="W28" s="52">
        <f t="shared" si="5"/>
        <v>378400000</v>
      </c>
    </row>
    <row r="29" spans="2:23" x14ac:dyDescent="0.2">
      <c r="B29" s="194"/>
      <c r="C29" s="46">
        <v>18</v>
      </c>
      <c r="D29" s="54">
        <f t="shared" si="13"/>
        <v>11947200.233986948</v>
      </c>
      <c r="E29" s="52">
        <f t="shared" si="1"/>
        <v>8800000</v>
      </c>
      <c r="F29" s="59">
        <f t="shared" si="2"/>
        <v>3147200.2339869477</v>
      </c>
      <c r="G29" s="52">
        <f t="shared" si="12"/>
        <v>369600000</v>
      </c>
      <c r="I29" s="50"/>
      <c r="J29" s="194"/>
      <c r="K29" s="46">
        <v>18</v>
      </c>
      <c r="L29" s="102">
        <f t="shared" si="6"/>
        <v>11213387.323959969</v>
      </c>
      <c r="M29" s="102">
        <f t="shared" si="7"/>
        <v>7853435.1048668697</v>
      </c>
      <c r="N29" s="102">
        <f t="shared" si="8"/>
        <v>3359952.2190930997</v>
      </c>
      <c r="O29" s="52">
        <f t="shared" si="4"/>
        <v>396126555.10191506</v>
      </c>
      <c r="P29" s="58"/>
      <c r="Q29" s="57"/>
      <c r="R29" s="194"/>
      <c r="S29" s="104">
        <v>18</v>
      </c>
      <c r="T29" s="73">
        <f t="shared" si="10"/>
        <v>13191442.186958533</v>
      </c>
      <c r="U29" s="52">
        <f t="shared" si="9"/>
        <v>8800000</v>
      </c>
      <c r="V29" s="59">
        <f t="shared" si="11"/>
        <v>4391442.1869585318</v>
      </c>
      <c r="W29" s="52">
        <f t="shared" si="5"/>
        <v>369600000</v>
      </c>
    </row>
    <row r="30" spans="2:23" x14ac:dyDescent="0.2">
      <c r="B30" s="194"/>
      <c r="C30" s="46">
        <v>19</v>
      </c>
      <c r="D30" s="54">
        <f t="shared" si="13"/>
        <v>11874009.530870972</v>
      </c>
      <c r="E30" s="52">
        <f t="shared" si="1"/>
        <v>8800000</v>
      </c>
      <c r="F30" s="59">
        <f t="shared" si="2"/>
        <v>3074009.5308709722</v>
      </c>
      <c r="G30" s="52">
        <f t="shared" si="12"/>
        <v>360800000</v>
      </c>
      <c r="I30" s="50"/>
      <c r="J30" s="194"/>
      <c r="K30" s="46">
        <v>19</v>
      </c>
      <c r="L30" s="102">
        <f t="shared" si="6"/>
        <v>11213387.323959969</v>
      </c>
      <c r="M30" s="102">
        <f t="shared" si="7"/>
        <v>7918753.1090942435</v>
      </c>
      <c r="N30" s="102">
        <f t="shared" si="8"/>
        <v>3294634.214865726</v>
      </c>
      <c r="O30" s="52">
        <f t="shared" si="4"/>
        <v>388207801.9928208</v>
      </c>
      <c r="P30" s="58"/>
      <c r="Q30" s="57"/>
      <c r="R30" s="194"/>
      <c r="S30" s="104">
        <v>19</v>
      </c>
      <c r="T30" s="73">
        <f t="shared" si="10"/>
        <v>13191442.186958533</v>
      </c>
      <c r="U30" s="52">
        <f t="shared" si="9"/>
        <v>8800000</v>
      </c>
      <c r="V30" s="59">
        <f t="shared" si="11"/>
        <v>4391442.1869585318</v>
      </c>
      <c r="W30" s="52">
        <f t="shared" si="5"/>
        <v>360800000</v>
      </c>
    </row>
    <row r="31" spans="2:23" x14ac:dyDescent="0.2">
      <c r="B31" s="194"/>
      <c r="C31" s="46">
        <v>20</v>
      </c>
      <c r="D31" s="54">
        <f t="shared" si="13"/>
        <v>11800818.827754997</v>
      </c>
      <c r="E31" s="52">
        <f t="shared" si="1"/>
        <v>8800000</v>
      </c>
      <c r="F31" s="59">
        <f t="shared" si="2"/>
        <v>3000818.8277549967</v>
      </c>
      <c r="G31" s="52">
        <f t="shared" si="12"/>
        <v>352000000</v>
      </c>
      <c r="I31" s="50"/>
      <c r="J31" s="194"/>
      <c r="K31" s="46">
        <v>20</v>
      </c>
      <c r="L31" s="102">
        <f t="shared" si="6"/>
        <v>11213387.323959969</v>
      </c>
      <c r="M31" s="102">
        <f t="shared" si="7"/>
        <v>7984614.3713506553</v>
      </c>
      <c r="N31" s="102">
        <f t="shared" si="8"/>
        <v>3228772.9526093137</v>
      </c>
      <c r="O31" s="52">
        <f t="shared" si="4"/>
        <v>380223187.62147015</v>
      </c>
      <c r="P31" s="58"/>
      <c r="Q31" s="57"/>
      <c r="R31" s="194"/>
      <c r="S31" s="104">
        <v>20</v>
      </c>
      <c r="T31" s="73">
        <f t="shared" si="10"/>
        <v>13191442.186958533</v>
      </c>
      <c r="U31" s="52">
        <f t="shared" si="9"/>
        <v>8800000</v>
      </c>
      <c r="V31" s="59">
        <f t="shared" si="11"/>
        <v>4391442.1869585318</v>
      </c>
      <c r="W31" s="52">
        <f t="shared" si="5"/>
        <v>352000000</v>
      </c>
    </row>
    <row r="32" spans="2:23" x14ac:dyDescent="0.2">
      <c r="B32" s="194"/>
      <c r="C32" s="46">
        <v>21</v>
      </c>
      <c r="D32" s="54">
        <f>E32+F32</f>
        <v>11727628.124639021</v>
      </c>
      <c r="E32" s="52">
        <f t="shared" si="1"/>
        <v>8800000</v>
      </c>
      <c r="F32" s="59">
        <f t="shared" si="2"/>
        <v>2927628.1246390212</v>
      </c>
      <c r="G32" s="52">
        <f t="shared" si="12"/>
        <v>343200000</v>
      </c>
      <c r="I32" s="50"/>
      <c r="J32" s="194"/>
      <c r="K32" s="46">
        <v>21</v>
      </c>
      <c r="L32" s="102">
        <f t="shared" si="6"/>
        <v>11213387.323959969</v>
      </c>
      <c r="M32" s="102">
        <f t="shared" si="7"/>
        <v>8051023.4099812321</v>
      </c>
      <c r="N32" s="102">
        <f t="shared" si="8"/>
        <v>3162363.9139787368</v>
      </c>
      <c r="O32" s="52">
        <f t="shared" si="4"/>
        <v>372172164.2114889</v>
      </c>
      <c r="P32" s="58"/>
      <c r="Q32" s="57"/>
      <c r="R32" s="194"/>
      <c r="S32" s="104">
        <v>21</v>
      </c>
      <c r="T32" s="73">
        <f t="shared" si="10"/>
        <v>13191442.186958533</v>
      </c>
      <c r="U32" s="52">
        <f t="shared" si="9"/>
        <v>8800000</v>
      </c>
      <c r="V32" s="59">
        <f t="shared" si="11"/>
        <v>4391442.1869585318</v>
      </c>
      <c r="W32" s="52">
        <f t="shared" si="5"/>
        <v>343200000</v>
      </c>
    </row>
    <row r="33" spans="2:23" x14ac:dyDescent="0.2">
      <c r="B33" s="194"/>
      <c r="C33" s="46">
        <v>22</v>
      </c>
      <c r="D33" s="54">
        <f t="shared" si="13"/>
        <v>11654437.421523046</v>
      </c>
      <c r="E33" s="52">
        <f t="shared" si="1"/>
        <v>8800000</v>
      </c>
      <c r="F33" s="59">
        <f t="shared" si="2"/>
        <v>2854437.4215230457</v>
      </c>
      <c r="G33" s="52">
        <f t="shared" si="12"/>
        <v>334400000</v>
      </c>
      <c r="I33" s="50"/>
      <c r="J33" s="194"/>
      <c r="K33" s="46">
        <v>22</v>
      </c>
      <c r="L33" s="102">
        <f t="shared" si="6"/>
        <v>11213387.323959969</v>
      </c>
      <c r="M33" s="102">
        <f t="shared" si="7"/>
        <v>8117984.7809107443</v>
      </c>
      <c r="N33" s="102">
        <f t="shared" si="8"/>
        <v>3095402.5430492247</v>
      </c>
      <c r="O33" s="52">
        <f t="shared" si="4"/>
        <v>364054179.43057817</v>
      </c>
      <c r="P33" s="58"/>
      <c r="Q33" s="57"/>
      <c r="R33" s="194"/>
      <c r="S33" s="104">
        <v>22</v>
      </c>
      <c r="T33" s="73">
        <f t="shared" si="10"/>
        <v>13191442.186958533</v>
      </c>
      <c r="U33" s="52">
        <f t="shared" si="9"/>
        <v>8800000</v>
      </c>
      <c r="V33" s="59">
        <f t="shared" si="11"/>
        <v>4391442.1869585318</v>
      </c>
      <c r="W33" s="52">
        <f t="shared" si="5"/>
        <v>334400000</v>
      </c>
    </row>
    <row r="34" spans="2:23" x14ac:dyDescent="0.2">
      <c r="B34" s="194"/>
      <c r="C34" s="46">
        <v>23</v>
      </c>
      <c r="D34" s="54">
        <f t="shared" si="13"/>
        <v>11581246.71840707</v>
      </c>
      <c r="E34" s="52">
        <f t="shared" si="1"/>
        <v>8800000</v>
      </c>
      <c r="F34" s="59">
        <f t="shared" si="2"/>
        <v>2781246.7184070703</v>
      </c>
      <c r="G34" s="52">
        <f t="shared" si="12"/>
        <v>325600000</v>
      </c>
      <c r="I34" s="50"/>
      <c r="J34" s="194"/>
      <c r="K34" s="46">
        <v>23</v>
      </c>
      <c r="L34" s="102">
        <f t="shared" si="6"/>
        <v>11213387.323959969</v>
      </c>
      <c r="M34" s="102">
        <f t="shared" si="7"/>
        <v>8185503.0779561587</v>
      </c>
      <c r="N34" s="102">
        <f t="shared" si="8"/>
        <v>3027884.2460038103</v>
      </c>
      <c r="O34" s="52">
        <f t="shared" si="4"/>
        <v>355868676.35262203</v>
      </c>
      <c r="P34" s="58"/>
      <c r="Q34" s="57"/>
      <c r="R34" s="194"/>
      <c r="S34" s="104">
        <v>23</v>
      </c>
      <c r="T34" s="73">
        <f t="shared" si="10"/>
        <v>13191442.186958533</v>
      </c>
      <c r="U34" s="52">
        <f t="shared" si="9"/>
        <v>8800000</v>
      </c>
      <c r="V34" s="59">
        <f t="shared" si="11"/>
        <v>4391442.1869585318</v>
      </c>
      <c r="W34" s="52">
        <f t="shared" si="5"/>
        <v>325600000</v>
      </c>
    </row>
    <row r="35" spans="2:23" x14ac:dyDescent="0.2">
      <c r="B35" s="195"/>
      <c r="C35" s="46">
        <v>24</v>
      </c>
      <c r="D35" s="54">
        <f t="shared" si="13"/>
        <v>11508056.015291095</v>
      </c>
      <c r="E35" s="52">
        <f t="shared" si="1"/>
        <v>8800000</v>
      </c>
      <c r="F35" s="59">
        <f t="shared" si="2"/>
        <v>2708056.0152910948</v>
      </c>
      <c r="G35" s="52">
        <f t="shared" si="12"/>
        <v>316800000</v>
      </c>
      <c r="H35" s="74" t="s">
        <v>111</v>
      </c>
      <c r="I35" s="139">
        <f>SUM(D24:D35)</f>
        <v>142927258.58914751</v>
      </c>
      <c r="J35" s="195"/>
      <c r="K35" s="46">
        <v>24</v>
      </c>
      <c r="L35" s="102">
        <f t="shared" si="6"/>
        <v>11213387.323959969</v>
      </c>
      <c r="M35" s="102">
        <f t="shared" si="7"/>
        <v>8253582.9331417941</v>
      </c>
      <c r="N35" s="102">
        <f t="shared" si="8"/>
        <v>2959804.3908181749</v>
      </c>
      <c r="O35" s="52">
        <f t="shared" si="4"/>
        <v>347615093.41948026</v>
      </c>
      <c r="P35" s="58"/>
      <c r="Q35" s="57"/>
      <c r="R35" s="195"/>
      <c r="S35" s="104">
        <v>24</v>
      </c>
      <c r="T35" s="73">
        <f t="shared" si="10"/>
        <v>13191442.186958533</v>
      </c>
      <c r="U35" s="52">
        <f t="shared" si="9"/>
        <v>8800000</v>
      </c>
      <c r="V35" s="59">
        <f t="shared" si="11"/>
        <v>4391442.1869585318</v>
      </c>
      <c r="W35" s="52">
        <f t="shared" si="5"/>
        <v>316800000</v>
      </c>
    </row>
    <row r="36" spans="2:23" x14ac:dyDescent="0.2">
      <c r="B36" s="193" t="s">
        <v>101</v>
      </c>
      <c r="C36" s="46">
        <v>25</v>
      </c>
      <c r="D36" s="54">
        <f t="shared" si="13"/>
        <v>11434865.312175119</v>
      </c>
      <c r="E36" s="52">
        <f t="shared" si="1"/>
        <v>8800000</v>
      </c>
      <c r="F36" s="59">
        <f t="shared" si="2"/>
        <v>2634865.3121751193</v>
      </c>
      <c r="G36" s="52">
        <f t="shared" si="12"/>
        <v>308000000</v>
      </c>
      <c r="I36" s="50"/>
      <c r="J36" s="193" t="s">
        <v>101</v>
      </c>
      <c r="K36" s="46">
        <v>25</v>
      </c>
      <c r="L36" s="102">
        <f t="shared" si="6"/>
        <v>11213387.323959969</v>
      </c>
      <c r="M36" s="102">
        <f t="shared" si="7"/>
        <v>8322229.0170170963</v>
      </c>
      <c r="N36" s="102">
        <f t="shared" si="8"/>
        <v>2891158.3069428727</v>
      </c>
      <c r="O36" s="52">
        <f t="shared" si="4"/>
        <v>339292864.4024632</v>
      </c>
      <c r="P36" s="58"/>
      <c r="Q36" s="57"/>
      <c r="R36" s="193" t="s">
        <v>101</v>
      </c>
      <c r="S36" s="104">
        <v>25</v>
      </c>
      <c r="T36" s="73">
        <f t="shared" si="10"/>
        <v>13191442.186958533</v>
      </c>
      <c r="U36" s="52">
        <f t="shared" si="9"/>
        <v>8800000</v>
      </c>
      <c r="V36" s="59">
        <f t="shared" si="11"/>
        <v>4391442.1869585318</v>
      </c>
      <c r="W36" s="52">
        <f t="shared" si="5"/>
        <v>308000000</v>
      </c>
    </row>
    <row r="37" spans="2:23" x14ac:dyDescent="0.2">
      <c r="B37" s="194"/>
      <c r="C37" s="46">
        <v>26</v>
      </c>
      <c r="D37" s="54">
        <f t="shared" si="13"/>
        <v>11361674.609059144</v>
      </c>
      <c r="E37" s="52">
        <f t="shared" si="1"/>
        <v>8800000</v>
      </c>
      <c r="F37" s="59">
        <f t="shared" si="2"/>
        <v>2561674.6090591433</v>
      </c>
      <c r="G37" s="52">
        <f t="shared" si="12"/>
        <v>299200000</v>
      </c>
      <c r="I37" s="50"/>
      <c r="J37" s="194"/>
      <c r="K37" s="46">
        <v>26</v>
      </c>
      <c r="L37" s="102">
        <f t="shared" si="6"/>
        <v>11213387.323959969</v>
      </c>
      <c r="M37" s="102">
        <f t="shared" si="7"/>
        <v>8391446.0389770567</v>
      </c>
      <c r="N37" s="102">
        <f t="shared" si="8"/>
        <v>2821941.2849829122</v>
      </c>
      <c r="O37" s="52">
        <f t="shared" si="4"/>
        <v>330901418.36348617</v>
      </c>
      <c r="P37" s="58"/>
      <c r="Q37" s="57"/>
      <c r="R37" s="194"/>
      <c r="S37" s="104">
        <v>26</v>
      </c>
      <c r="T37" s="73">
        <f t="shared" si="10"/>
        <v>13191442.186958533</v>
      </c>
      <c r="U37" s="52">
        <f t="shared" si="9"/>
        <v>8800000</v>
      </c>
      <c r="V37" s="59">
        <f t="shared" si="11"/>
        <v>4391442.1869585318</v>
      </c>
      <c r="W37" s="52">
        <f t="shared" si="5"/>
        <v>299200000</v>
      </c>
    </row>
    <row r="38" spans="2:23" x14ac:dyDescent="0.2">
      <c r="B38" s="194"/>
      <c r="C38" s="46">
        <v>27</v>
      </c>
      <c r="D38" s="54">
        <f t="shared" si="13"/>
        <v>11288483.905943168</v>
      </c>
      <c r="E38" s="52">
        <f t="shared" si="1"/>
        <v>8800000</v>
      </c>
      <c r="F38" s="59">
        <f t="shared" si="2"/>
        <v>2488483.9059431679</v>
      </c>
      <c r="G38" s="52">
        <f t="shared" si="12"/>
        <v>290400000</v>
      </c>
      <c r="I38" s="50"/>
      <c r="J38" s="194"/>
      <c r="K38" s="46">
        <v>27</v>
      </c>
      <c r="L38" s="102">
        <f t="shared" si="6"/>
        <v>11213387.323959969</v>
      </c>
      <c r="M38" s="102">
        <f t="shared" si="7"/>
        <v>8461238.7475852948</v>
      </c>
      <c r="N38" s="102">
        <f t="shared" si="8"/>
        <v>2752148.5763746738</v>
      </c>
      <c r="O38" s="52">
        <f t="shared" si="4"/>
        <v>322440179.61590087</v>
      </c>
      <c r="P38" s="58"/>
      <c r="Q38" s="57"/>
      <c r="R38" s="194"/>
      <c r="S38" s="104">
        <v>27</v>
      </c>
      <c r="T38" s="73">
        <f t="shared" si="10"/>
        <v>13191442.186958533</v>
      </c>
      <c r="U38" s="52">
        <f t="shared" si="9"/>
        <v>8800000</v>
      </c>
      <c r="V38" s="59">
        <f t="shared" si="11"/>
        <v>4391442.1869585318</v>
      </c>
      <c r="W38" s="52">
        <f t="shared" si="5"/>
        <v>290400000</v>
      </c>
    </row>
    <row r="39" spans="2:23" x14ac:dyDescent="0.2">
      <c r="B39" s="194"/>
      <c r="C39" s="46">
        <v>28</v>
      </c>
      <c r="D39" s="54">
        <f t="shared" si="13"/>
        <v>11215293.202827193</v>
      </c>
      <c r="E39" s="52">
        <f t="shared" si="1"/>
        <v>8800000</v>
      </c>
      <c r="F39" s="59">
        <f t="shared" si="2"/>
        <v>2415293.2028271924</v>
      </c>
      <c r="G39" s="52">
        <f t="shared" si="12"/>
        <v>281600000</v>
      </c>
      <c r="I39" s="50"/>
      <c r="J39" s="194"/>
      <c r="K39" s="46">
        <v>28</v>
      </c>
      <c r="L39" s="102">
        <f t="shared" si="6"/>
        <v>11213387.323959969</v>
      </c>
      <c r="M39" s="102">
        <f t="shared" si="7"/>
        <v>8531611.9308998287</v>
      </c>
      <c r="N39" s="102">
        <f t="shared" si="8"/>
        <v>2681775.3930601394</v>
      </c>
      <c r="O39" s="52">
        <f t="shared" si="4"/>
        <v>313908567.68500102</v>
      </c>
      <c r="P39" s="58"/>
      <c r="Q39" s="57"/>
      <c r="R39" s="194"/>
      <c r="S39" s="104">
        <v>28</v>
      </c>
      <c r="T39" s="73">
        <f t="shared" si="10"/>
        <v>13191442.186958533</v>
      </c>
      <c r="U39" s="52">
        <f t="shared" si="9"/>
        <v>8800000</v>
      </c>
      <c r="V39" s="59">
        <f t="shared" si="11"/>
        <v>4391442.1869585318</v>
      </c>
      <c r="W39" s="52">
        <f t="shared" si="5"/>
        <v>281600000</v>
      </c>
    </row>
    <row r="40" spans="2:23" x14ac:dyDescent="0.2">
      <c r="B40" s="194"/>
      <c r="C40" s="46">
        <v>29</v>
      </c>
      <c r="D40" s="54">
        <f t="shared" si="13"/>
        <v>11142102.499711217</v>
      </c>
      <c r="E40" s="52">
        <f t="shared" si="1"/>
        <v>8800000</v>
      </c>
      <c r="F40" s="59">
        <f t="shared" si="2"/>
        <v>2342102.4997112169</v>
      </c>
      <c r="G40" s="52">
        <f t="shared" si="12"/>
        <v>272800000</v>
      </c>
      <c r="I40" s="50"/>
      <c r="J40" s="194"/>
      <c r="K40" s="46">
        <v>29</v>
      </c>
      <c r="L40" s="102">
        <f t="shared" si="6"/>
        <v>11213387.323959969</v>
      </c>
      <c r="M40" s="102">
        <f t="shared" si="7"/>
        <v>8602570.4168015569</v>
      </c>
      <c r="N40" s="102">
        <f t="shared" si="8"/>
        <v>2610816.9071584111</v>
      </c>
      <c r="O40" s="52">
        <f t="shared" si="4"/>
        <v>305305997.26819944</v>
      </c>
      <c r="P40" s="58"/>
      <c r="Q40" s="57"/>
      <c r="R40" s="194"/>
      <c r="S40" s="104">
        <v>29</v>
      </c>
      <c r="T40" s="73">
        <f t="shared" si="10"/>
        <v>13191442.186958533</v>
      </c>
      <c r="U40" s="52">
        <f t="shared" si="9"/>
        <v>8800000</v>
      </c>
      <c r="V40" s="59">
        <f t="shared" si="11"/>
        <v>4391442.1869585318</v>
      </c>
      <c r="W40" s="52">
        <f t="shared" si="5"/>
        <v>272800000</v>
      </c>
    </row>
    <row r="41" spans="2:23" x14ac:dyDescent="0.2">
      <c r="B41" s="194"/>
      <c r="C41" s="46">
        <v>30</v>
      </c>
      <c r="D41" s="54">
        <f t="shared" si="13"/>
        <v>11068911.796595242</v>
      </c>
      <c r="E41" s="52">
        <f t="shared" si="1"/>
        <v>8800000</v>
      </c>
      <c r="F41" s="59">
        <f t="shared" si="2"/>
        <v>2268911.7965952414</v>
      </c>
      <c r="G41" s="52">
        <f t="shared" si="12"/>
        <v>264000000</v>
      </c>
      <c r="I41" s="50"/>
      <c r="J41" s="194"/>
      <c r="K41" s="46">
        <v>30</v>
      </c>
      <c r="L41" s="102">
        <f t="shared" si="6"/>
        <v>11213387.323959969</v>
      </c>
      <c r="M41" s="102">
        <f t="shared" si="7"/>
        <v>8674119.0733254664</v>
      </c>
      <c r="N41" s="102">
        <f t="shared" si="8"/>
        <v>2539268.2506345026</v>
      </c>
      <c r="O41" s="52">
        <f t="shared" si="4"/>
        <v>296631878.19487399</v>
      </c>
      <c r="P41" s="58"/>
      <c r="Q41" s="57"/>
      <c r="R41" s="194"/>
      <c r="S41" s="104">
        <v>30</v>
      </c>
      <c r="T41" s="73">
        <f t="shared" si="10"/>
        <v>13191442.186958533</v>
      </c>
      <c r="U41" s="52">
        <f t="shared" si="9"/>
        <v>8800000</v>
      </c>
      <c r="V41" s="59">
        <f t="shared" si="11"/>
        <v>4391442.1869585318</v>
      </c>
      <c r="W41" s="52">
        <f t="shared" si="5"/>
        <v>264000000</v>
      </c>
    </row>
    <row r="42" spans="2:23" x14ac:dyDescent="0.2">
      <c r="B42" s="194"/>
      <c r="C42" s="46">
        <v>31</v>
      </c>
      <c r="D42" s="54">
        <f t="shared" si="13"/>
        <v>10995721.093479266</v>
      </c>
      <c r="E42" s="52">
        <f t="shared" si="1"/>
        <v>8800000</v>
      </c>
      <c r="F42" s="59">
        <f t="shared" si="2"/>
        <v>2195721.0934792659</v>
      </c>
      <c r="G42" s="52">
        <f t="shared" si="12"/>
        <v>255200000</v>
      </c>
      <c r="I42" s="50"/>
      <c r="J42" s="194"/>
      <c r="K42" s="46">
        <v>31</v>
      </c>
      <c r="L42" s="102">
        <f t="shared" si="6"/>
        <v>11213387.323959969</v>
      </c>
      <c r="M42" s="102">
        <f t="shared" si="7"/>
        <v>8746262.8089946005</v>
      </c>
      <c r="N42" s="102">
        <f t="shared" si="8"/>
        <v>2467124.514965368</v>
      </c>
      <c r="O42" s="52">
        <f t="shared" si="4"/>
        <v>287885615.3858794</v>
      </c>
      <c r="P42" s="58"/>
      <c r="Q42" s="57"/>
      <c r="R42" s="194"/>
      <c r="S42" s="104">
        <v>31</v>
      </c>
      <c r="T42" s="73">
        <f t="shared" si="10"/>
        <v>13191442.186958533</v>
      </c>
      <c r="U42" s="52">
        <f t="shared" si="9"/>
        <v>8800000</v>
      </c>
      <c r="V42" s="59">
        <f t="shared" si="11"/>
        <v>4391442.1869585318</v>
      </c>
      <c r="W42" s="52">
        <f t="shared" si="5"/>
        <v>255200000</v>
      </c>
    </row>
    <row r="43" spans="2:23" x14ac:dyDescent="0.2">
      <c r="B43" s="194"/>
      <c r="C43" s="46">
        <v>32</v>
      </c>
      <c r="D43" s="54">
        <f t="shared" si="13"/>
        <v>10922530.390363291</v>
      </c>
      <c r="E43" s="52">
        <f t="shared" si="1"/>
        <v>8800000</v>
      </c>
      <c r="F43" s="59">
        <f t="shared" si="2"/>
        <v>2122530.3903632904</v>
      </c>
      <c r="G43" s="52">
        <f t="shared" si="12"/>
        <v>246400000</v>
      </c>
      <c r="I43" s="50"/>
      <c r="J43" s="194"/>
      <c r="K43" s="46">
        <v>32</v>
      </c>
      <c r="L43" s="102">
        <f t="shared" si="6"/>
        <v>11213387.323959969</v>
      </c>
      <c r="M43" s="102">
        <f t="shared" si="7"/>
        <v>8819006.5731568076</v>
      </c>
      <c r="N43" s="102">
        <f t="shared" si="8"/>
        <v>2394380.7508031609</v>
      </c>
      <c r="O43" s="52">
        <f t="shared" si="4"/>
        <v>279066608.81272256</v>
      </c>
      <c r="P43" s="58"/>
      <c r="Q43" s="57"/>
      <c r="R43" s="194"/>
      <c r="S43" s="104">
        <v>32</v>
      </c>
      <c r="T43" s="73">
        <f t="shared" si="10"/>
        <v>13191442.186958533</v>
      </c>
      <c r="U43" s="52">
        <f t="shared" si="9"/>
        <v>8800000</v>
      </c>
      <c r="V43" s="59">
        <f t="shared" si="11"/>
        <v>4391442.1869585318</v>
      </c>
      <c r="W43" s="52">
        <f t="shared" si="5"/>
        <v>246400000</v>
      </c>
    </row>
    <row r="44" spans="2:23" x14ac:dyDescent="0.2">
      <c r="B44" s="194"/>
      <c r="C44" s="46">
        <v>33</v>
      </c>
      <c r="D44" s="54">
        <f t="shared" si="13"/>
        <v>10849339.687247315</v>
      </c>
      <c r="E44" s="52">
        <f t="shared" si="1"/>
        <v>8800000</v>
      </c>
      <c r="F44" s="59">
        <f t="shared" si="2"/>
        <v>2049339.687247315</v>
      </c>
      <c r="G44" s="52">
        <f t="shared" si="12"/>
        <v>237600000</v>
      </c>
      <c r="I44" s="50"/>
      <c r="J44" s="194"/>
      <c r="K44" s="46">
        <v>33</v>
      </c>
      <c r="L44" s="102">
        <f t="shared" si="6"/>
        <v>11213387.323959969</v>
      </c>
      <c r="M44" s="102">
        <f t="shared" si="7"/>
        <v>8892355.3563242815</v>
      </c>
      <c r="N44" s="102">
        <f t="shared" si="8"/>
        <v>2321031.9676356884</v>
      </c>
      <c r="O44" s="52">
        <f t="shared" si="4"/>
        <v>270174253.45639831</v>
      </c>
      <c r="P44" s="58"/>
      <c r="Q44" s="57"/>
      <c r="R44" s="194"/>
      <c r="S44" s="104">
        <v>33</v>
      </c>
      <c r="T44" s="73">
        <f t="shared" si="10"/>
        <v>13191442.186958533</v>
      </c>
      <c r="U44" s="52">
        <f t="shared" si="9"/>
        <v>8800000</v>
      </c>
      <c r="V44" s="59">
        <f t="shared" si="11"/>
        <v>4391442.1869585318</v>
      </c>
      <c r="W44" s="52">
        <f t="shared" si="5"/>
        <v>237600000</v>
      </c>
    </row>
    <row r="45" spans="2:23" x14ac:dyDescent="0.2">
      <c r="B45" s="194"/>
      <c r="C45" s="46">
        <v>34</v>
      </c>
      <c r="D45" s="54">
        <f t="shared" si="13"/>
        <v>10776148.98413134</v>
      </c>
      <c r="E45" s="52">
        <f t="shared" si="1"/>
        <v>8800000</v>
      </c>
      <c r="F45" s="59">
        <f t="shared" si="2"/>
        <v>1976148.9841313392</v>
      </c>
      <c r="G45" s="52">
        <f t="shared" si="12"/>
        <v>228800000</v>
      </c>
      <c r="I45" s="50"/>
      <c r="J45" s="194"/>
      <c r="K45" s="46">
        <v>34</v>
      </c>
      <c r="L45" s="102">
        <f t="shared" si="6"/>
        <v>11213387.323959969</v>
      </c>
      <c r="M45" s="102">
        <f t="shared" si="7"/>
        <v>8966314.1905159261</v>
      </c>
      <c r="N45" s="102">
        <f t="shared" si="8"/>
        <v>2247073.1334440424</v>
      </c>
      <c r="O45" s="52">
        <f t="shared" si="4"/>
        <v>261207939.26588237</v>
      </c>
      <c r="P45" s="58"/>
      <c r="Q45" s="57"/>
      <c r="R45" s="194"/>
      <c r="S45" s="104">
        <v>34</v>
      </c>
      <c r="T45" s="73">
        <f t="shared" si="10"/>
        <v>13191442.186958533</v>
      </c>
      <c r="U45" s="52">
        <f t="shared" si="9"/>
        <v>8800000</v>
      </c>
      <c r="V45" s="59">
        <f t="shared" si="11"/>
        <v>4391442.1869585318</v>
      </c>
      <c r="W45" s="52">
        <f t="shared" si="5"/>
        <v>228800000</v>
      </c>
    </row>
    <row r="46" spans="2:23" x14ac:dyDescent="0.2">
      <c r="B46" s="194"/>
      <c r="C46" s="46">
        <v>35</v>
      </c>
      <c r="D46" s="54">
        <f t="shared" si="13"/>
        <v>10702958.281015364</v>
      </c>
      <c r="E46" s="52">
        <f t="shared" si="1"/>
        <v>8800000</v>
      </c>
      <c r="F46" s="59">
        <f t="shared" si="2"/>
        <v>1902958.2810153638</v>
      </c>
      <c r="G46" s="52">
        <f t="shared" si="12"/>
        <v>220000000</v>
      </c>
      <c r="I46" s="50"/>
      <c r="J46" s="194"/>
      <c r="K46" s="46">
        <v>35</v>
      </c>
      <c r="L46" s="102">
        <f t="shared" si="6"/>
        <v>11213387.323959969</v>
      </c>
      <c r="M46" s="102">
        <f t="shared" si="7"/>
        <v>9040888.1496025864</v>
      </c>
      <c r="N46" s="102">
        <f t="shared" si="8"/>
        <v>2172499.1743573821</v>
      </c>
      <c r="O46" s="52">
        <f t="shared" si="4"/>
        <v>252167051.11627978</v>
      </c>
      <c r="P46" s="58"/>
      <c r="Q46" s="57"/>
      <c r="R46" s="194"/>
      <c r="S46" s="104">
        <v>35</v>
      </c>
      <c r="T46" s="73">
        <f t="shared" si="10"/>
        <v>13191442.186958533</v>
      </c>
      <c r="U46" s="52">
        <f t="shared" si="9"/>
        <v>8800000</v>
      </c>
      <c r="V46" s="59">
        <f t="shared" si="11"/>
        <v>4391442.1869585318</v>
      </c>
      <c r="W46" s="52">
        <f t="shared" si="5"/>
        <v>220000000</v>
      </c>
    </row>
    <row r="47" spans="2:23" x14ac:dyDescent="0.2">
      <c r="B47" s="195"/>
      <c r="C47" s="46">
        <v>36</v>
      </c>
      <c r="D47" s="54">
        <f t="shared" si="13"/>
        <v>10629767.577899389</v>
      </c>
      <c r="E47" s="52">
        <f t="shared" si="1"/>
        <v>8800000</v>
      </c>
      <c r="F47" s="59">
        <f t="shared" si="2"/>
        <v>1829767.5778993883</v>
      </c>
      <c r="G47" s="52">
        <f t="shared" si="12"/>
        <v>211200000</v>
      </c>
      <c r="I47" s="50"/>
      <c r="J47" s="195"/>
      <c r="K47" s="46">
        <v>36</v>
      </c>
      <c r="L47" s="102">
        <f t="shared" si="6"/>
        <v>11213387.323959969</v>
      </c>
      <c r="M47" s="102">
        <f t="shared" si="7"/>
        <v>9116082.3496551216</v>
      </c>
      <c r="N47" s="102">
        <f t="shared" si="8"/>
        <v>2097304.9743048479</v>
      </c>
      <c r="O47" s="52">
        <f t="shared" si="4"/>
        <v>243050968.76662466</v>
      </c>
      <c r="P47" s="58"/>
      <c r="Q47" s="57"/>
      <c r="R47" s="195"/>
      <c r="S47" s="104">
        <v>36</v>
      </c>
      <c r="T47" s="73">
        <f t="shared" si="10"/>
        <v>13191442.186958533</v>
      </c>
      <c r="U47" s="52">
        <f t="shared" si="9"/>
        <v>8800000</v>
      </c>
      <c r="V47" s="59">
        <f t="shared" si="11"/>
        <v>4391442.1869585318</v>
      </c>
      <c r="W47" s="52">
        <f t="shared" si="5"/>
        <v>211200000</v>
      </c>
    </row>
    <row r="48" spans="2:23" x14ac:dyDescent="0.2">
      <c r="B48" s="193" t="s">
        <v>103</v>
      </c>
      <c r="C48" s="46">
        <v>37</v>
      </c>
      <c r="D48" s="54">
        <f t="shared" si="13"/>
        <v>10556576.874783413</v>
      </c>
      <c r="E48" s="52">
        <f t="shared" si="1"/>
        <v>8800000</v>
      </c>
      <c r="F48" s="59">
        <f t="shared" si="2"/>
        <v>1756576.8747834128</v>
      </c>
      <c r="G48" s="52">
        <f t="shared" si="12"/>
        <v>202400000</v>
      </c>
      <c r="I48" s="50"/>
      <c r="J48" s="193" t="s">
        <v>103</v>
      </c>
      <c r="K48" s="46">
        <v>37</v>
      </c>
      <c r="L48" s="102">
        <f t="shared" si="6"/>
        <v>11213387.323959969</v>
      </c>
      <c r="M48" s="102">
        <f t="shared" si="7"/>
        <v>9191901.9492953941</v>
      </c>
      <c r="N48" s="102">
        <f t="shared" si="8"/>
        <v>2021485.3746645758</v>
      </c>
      <c r="O48" s="52">
        <f t="shared" si="4"/>
        <v>233859066.81732926</v>
      </c>
      <c r="P48" s="58"/>
      <c r="Q48" s="57"/>
      <c r="R48" s="193" t="s">
        <v>103</v>
      </c>
      <c r="S48" s="104">
        <v>37</v>
      </c>
      <c r="T48" s="73">
        <f t="shared" si="10"/>
        <v>13191442.186958533</v>
      </c>
      <c r="U48" s="52">
        <f t="shared" si="9"/>
        <v>8800000</v>
      </c>
      <c r="V48" s="59">
        <f t="shared" si="11"/>
        <v>4391442.1869585318</v>
      </c>
      <c r="W48" s="52">
        <f t="shared" si="5"/>
        <v>202400000</v>
      </c>
    </row>
    <row r="49" spans="2:23" x14ac:dyDescent="0.2">
      <c r="B49" s="194"/>
      <c r="C49" s="46">
        <v>38</v>
      </c>
      <c r="D49" s="54">
        <f t="shared" si="13"/>
        <v>10483386.171667438</v>
      </c>
      <c r="E49" s="52">
        <f t="shared" si="1"/>
        <v>8800000</v>
      </c>
      <c r="F49" s="59">
        <f t="shared" si="2"/>
        <v>1683386.1716674373</v>
      </c>
      <c r="G49" s="52">
        <f t="shared" si="12"/>
        <v>193600000</v>
      </c>
      <c r="I49" s="50"/>
      <c r="J49" s="194"/>
      <c r="K49" s="46">
        <v>38</v>
      </c>
      <c r="L49" s="102">
        <f t="shared" si="6"/>
        <v>11213387.323959969</v>
      </c>
      <c r="M49" s="102">
        <f t="shared" si="7"/>
        <v>9268352.1500501707</v>
      </c>
      <c r="N49" s="102">
        <f t="shared" si="8"/>
        <v>1945035.173909799</v>
      </c>
      <c r="O49" s="52">
        <f t="shared" si="4"/>
        <v>224590714.66727909</v>
      </c>
      <c r="P49" s="58"/>
      <c r="Q49" s="57"/>
      <c r="R49" s="194"/>
      <c r="S49" s="104">
        <v>38</v>
      </c>
      <c r="T49" s="73">
        <f t="shared" si="10"/>
        <v>13191442.186958533</v>
      </c>
      <c r="U49" s="52">
        <f t="shared" si="9"/>
        <v>8800000</v>
      </c>
      <c r="V49" s="59">
        <f t="shared" si="11"/>
        <v>4391442.1869585318</v>
      </c>
      <c r="W49" s="52">
        <f t="shared" si="5"/>
        <v>193600000</v>
      </c>
    </row>
    <row r="50" spans="2:23" x14ac:dyDescent="0.2">
      <c r="B50" s="194"/>
      <c r="C50" s="46">
        <v>39</v>
      </c>
      <c r="D50" s="54">
        <f t="shared" si="13"/>
        <v>10410195.468551461</v>
      </c>
      <c r="E50" s="52">
        <f t="shared" si="1"/>
        <v>8800000</v>
      </c>
      <c r="F50" s="59">
        <f t="shared" si="2"/>
        <v>1610195.4685514616</v>
      </c>
      <c r="G50" s="52">
        <f t="shared" si="12"/>
        <v>184800000</v>
      </c>
      <c r="I50" s="50"/>
      <c r="J50" s="194"/>
      <c r="K50" s="46">
        <v>39</v>
      </c>
      <c r="L50" s="102">
        <f t="shared" si="6"/>
        <v>11213387.323959969</v>
      </c>
      <c r="M50" s="102">
        <f t="shared" si="7"/>
        <v>9345438.1967079695</v>
      </c>
      <c r="N50" s="102">
        <f t="shared" si="8"/>
        <v>1867949.1272519995</v>
      </c>
      <c r="O50" s="52">
        <f t="shared" si="4"/>
        <v>215245276.47057113</v>
      </c>
      <c r="P50" s="58"/>
      <c r="Q50" s="57"/>
      <c r="R50" s="194"/>
      <c r="S50" s="104">
        <v>39</v>
      </c>
      <c r="T50" s="73">
        <f t="shared" si="10"/>
        <v>13191442.186958533</v>
      </c>
      <c r="U50" s="52">
        <f t="shared" si="9"/>
        <v>8800000</v>
      </c>
      <c r="V50" s="59">
        <f t="shared" si="11"/>
        <v>4391442.1869585318</v>
      </c>
      <c r="W50" s="52">
        <f t="shared" si="5"/>
        <v>184800000</v>
      </c>
    </row>
    <row r="51" spans="2:23" x14ac:dyDescent="0.2">
      <c r="B51" s="194"/>
      <c r="C51" s="46">
        <v>40</v>
      </c>
      <c r="D51" s="54">
        <f t="shared" si="13"/>
        <v>10337004.765435487</v>
      </c>
      <c r="E51" s="52">
        <f t="shared" si="1"/>
        <v>8800000</v>
      </c>
      <c r="F51" s="59">
        <f t="shared" si="2"/>
        <v>1537004.7654354861</v>
      </c>
      <c r="G51" s="52">
        <f t="shared" si="12"/>
        <v>176000000</v>
      </c>
      <c r="I51" s="50"/>
      <c r="J51" s="194"/>
      <c r="K51" s="46">
        <v>40</v>
      </c>
      <c r="L51" s="102">
        <f t="shared" si="6"/>
        <v>11213387.323959969</v>
      </c>
      <c r="M51" s="102">
        <f t="shared" si="7"/>
        <v>9423165.377678873</v>
      </c>
      <c r="N51" s="102">
        <f t="shared" si="8"/>
        <v>1790221.946281096</v>
      </c>
      <c r="O51" s="52">
        <f t="shared" si="4"/>
        <v>205822111.09289226</v>
      </c>
      <c r="P51" s="58"/>
      <c r="Q51" s="57"/>
      <c r="R51" s="194"/>
      <c r="S51" s="104">
        <v>40</v>
      </c>
      <c r="T51" s="73">
        <f t="shared" si="10"/>
        <v>13191442.186958533</v>
      </c>
      <c r="U51" s="52">
        <f t="shared" si="9"/>
        <v>8800000</v>
      </c>
      <c r="V51" s="59">
        <f t="shared" si="11"/>
        <v>4391442.1869585318</v>
      </c>
      <c r="W51" s="52">
        <f t="shared" si="5"/>
        <v>176000000</v>
      </c>
    </row>
    <row r="52" spans="2:23" x14ac:dyDescent="0.2">
      <c r="B52" s="194"/>
      <c r="C52" s="46">
        <v>41</v>
      </c>
      <c r="D52" s="54">
        <f t="shared" si="13"/>
        <v>10263814.06231951</v>
      </c>
      <c r="E52" s="52">
        <f t="shared" si="1"/>
        <v>8800000</v>
      </c>
      <c r="F52" s="59">
        <f t="shared" si="2"/>
        <v>1463814.0623195106</v>
      </c>
      <c r="G52" s="52">
        <f t="shared" si="12"/>
        <v>167200000</v>
      </c>
      <c r="I52" s="50"/>
      <c r="J52" s="194"/>
      <c r="K52" s="46">
        <v>41</v>
      </c>
      <c r="L52" s="102">
        <f t="shared" si="6"/>
        <v>11213387.323959969</v>
      </c>
      <c r="M52" s="102">
        <f t="shared" si="7"/>
        <v>9501539.0253573321</v>
      </c>
      <c r="N52" s="102">
        <f t="shared" si="8"/>
        <v>1711848.2986026376</v>
      </c>
      <c r="O52" s="52">
        <f t="shared" si="4"/>
        <v>196320572.06753492</v>
      </c>
      <c r="P52" s="58"/>
      <c r="Q52" s="57"/>
      <c r="R52" s="194"/>
      <c r="S52" s="104">
        <v>41</v>
      </c>
      <c r="T52" s="73">
        <f t="shared" si="10"/>
        <v>13191442.186958533</v>
      </c>
      <c r="U52" s="52">
        <f t="shared" si="9"/>
        <v>8800000</v>
      </c>
      <c r="V52" s="59">
        <f t="shared" si="11"/>
        <v>4391442.1869585318</v>
      </c>
      <c r="W52" s="52">
        <f t="shared" si="5"/>
        <v>167200000</v>
      </c>
    </row>
    <row r="53" spans="2:23" x14ac:dyDescent="0.2">
      <c r="B53" s="194"/>
      <c r="C53" s="46">
        <v>42</v>
      </c>
      <c r="D53" s="54">
        <f t="shared" si="13"/>
        <v>10190623.359203536</v>
      </c>
      <c r="E53" s="52">
        <f t="shared" si="1"/>
        <v>8800000</v>
      </c>
      <c r="F53" s="59">
        <f t="shared" si="2"/>
        <v>1390623.3592035351</v>
      </c>
      <c r="G53" s="52">
        <f t="shared" si="12"/>
        <v>158400000</v>
      </c>
      <c r="I53" s="50"/>
      <c r="J53" s="194"/>
      <c r="K53" s="46">
        <v>42</v>
      </c>
      <c r="L53" s="102">
        <f t="shared" si="6"/>
        <v>11213387.323959969</v>
      </c>
      <c r="M53" s="102">
        <f t="shared" si="7"/>
        <v>9580564.5164879896</v>
      </c>
      <c r="N53" s="102">
        <f t="shared" si="8"/>
        <v>1632822.8074719803</v>
      </c>
      <c r="O53" s="52">
        <f t="shared" si="4"/>
        <v>186740007.55104694</v>
      </c>
      <c r="P53" s="58"/>
      <c r="Q53" s="57"/>
      <c r="R53" s="194"/>
      <c r="S53" s="104">
        <v>42</v>
      </c>
      <c r="T53" s="73">
        <f t="shared" si="10"/>
        <v>13191442.186958533</v>
      </c>
      <c r="U53" s="52">
        <f t="shared" si="9"/>
        <v>8800000</v>
      </c>
      <c r="V53" s="59">
        <f t="shared" si="11"/>
        <v>4391442.1869585318</v>
      </c>
      <c r="W53" s="52">
        <f t="shared" si="5"/>
        <v>158400000</v>
      </c>
    </row>
    <row r="54" spans="2:23" x14ac:dyDescent="0.2">
      <c r="B54" s="194"/>
      <c r="C54" s="46">
        <v>43</v>
      </c>
      <c r="D54" s="54">
        <f t="shared" si="13"/>
        <v>10117432.656087559</v>
      </c>
      <c r="E54" s="52">
        <f t="shared" si="1"/>
        <v>8800000</v>
      </c>
      <c r="F54" s="59">
        <f t="shared" si="2"/>
        <v>1317432.6560875596</v>
      </c>
      <c r="G54" s="52">
        <f t="shared" si="12"/>
        <v>149600000</v>
      </c>
      <c r="I54" s="50"/>
      <c r="J54" s="194"/>
      <c r="K54" s="46">
        <v>43</v>
      </c>
      <c r="L54" s="102">
        <f t="shared" si="6"/>
        <v>11213387.323959969</v>
      </c>
      <c r="M54" s="102">
        <f t="shared" si="7"/>
        <v>9660247.2725345474</v>
      </c>
      <c r="N54" s="102">
        <f t="shared" si="8"/>
        <v>1553140.0514254211</v>
      </c>
      <c r="O54" s="52">
        <f t="shared" si="4"/>
        <v>177079760.27851239</v>
      </c>
      <c r="P54" s="58"/>
      <c r="Q54" s="57"/>
      <c r="R54" s="194"/>
      <c r="S54" s="104">
        <v>43</v>
      </c>
      <c r="T54" s="73">
        <f t="shared" si="10"/>
        <v>13191442.186958533</v>
      </c>
      <c r="U54" s="52">
        <f t="shared" si="9"/>
        <v>8800000</v>
      </c>
      <c r="V54" s="59">
        <f t="shared" si="11"/>
        <v>4391442.1869585318</v>
      </c>
      <c r="W54" s="52">
        <f t="shared" si="5"/>
        <v>149600000</v>
      </c>
    </row>
    <row r="55" spans="2:23" x14ac:dyDescent="0.2">
      <c r="B55" s="194"/>
      <c r="C55" s="46">
        <v>44</v>
      </c>
      <c r="D55" s="54">
        <f t="shared" si="13"/>
        <v>10044241.952971583</v>
      </c>
      <c r="E55" s="52">
        <f t="shared" si="1"/>
        <v>8800000</v>
      </c>
      <c r="F55" s="59">
        <f t="shared" si="2"/>
        <v>1244241.9529715839</v>
      </c>
      <c r="G55" s="52">
        <f t="shared" si="12"/>
        <v>140800000</v>
      </c>
      <c r="I55" s="50"/>
      <c r="J55" s="194"/>
      <c r="K55" s="46">
        <v>44</v>
      </c>
      <c r="L55" s="102">
        <f t="shared" si="6"/>
        <v>11213387.323959969</v>
      </c>
      <c r="M55" s="102">
        <f t="shared" si="7"/>
        <v>9740592.7600517049</v>
      </c>
      <c r="N55" s="102">
        <f t="shared" si="8"/>
        <v>1472794.5639082633</v>
      </c>
      <c r="O55" s="52">
        <f t="shared" si="4"/>
        <v>167339167.51846069</v>
      </c>
      <c r="P55" s="58"/>
      <c r="Q55" s="57"/>
      <c r="R55" s="194"/>
      <c r="S55" s="104">
        <v>44</v>
      </c>
      <c r="T55" s="73">
        <f t="shared" si="10"/>
        <v>13191442.186958533</v>
      </c>
      <c r="U55" s="52">
        <f t="shared" si="9"/>
        <v>8800000</v>
      </c>
      <c r="V55" s="59">
        <f t="shared" si="11"/>
        <v>4391442.1869585318</v>
      </c>
      <c r="W55" s="52">
        <f t="shared" si="5"/>
        <v>140800000</v>
      </c>
    </row>
    <row r="56" spans="2:23" x14ac:dyDescent="0.2">
      <c r="B56" s="194"/>
      <c r="C56" s="46">
        <v>45</v>
      </c>
      <c r="D56" s="54">
        <f t="shared" si="13"/>
        <v>9971051.2498556077</v>
      </c>
      <c r="E56" s="52">
        <f t="shared" si="1"/>
        <v>8800000</v>
      </c>
      <c r="F56" s="59">
        <f t="shared" si="2"/>
        <v>1171051.2498556084</v>
      </c>
      <c r="G56" s="52">
        <f t="shared" si="12"/>
        <v>132000000</v>
      </c>
      <c r="I56" s="50"/>
      <c r="J56" s="194"/>
      <c r="K56" s="46">
        <v>45</v>
      </c>
      <c r="L56" s="102">
        <f t="shared" si="6"/>
        <v>11213387.323959969</v>
      </c>
      <c r="M56" s="102">
        <f t="shared" si="7"/>
        <v>9821606.4910601787</v>
      </c>
      <c r="N56" s="102">
        <f t="shared" si="8"/>
        <v>1391780.83289979</v>
      </c>
      <c r="O56" s="52">
        <f t="shared" si="4"/>
        <v>157517561.02740052</v>
      </c>
      <c r="P56" s="58"/>
      <c r="Q56" s="57"/>
      <c r="R56" s="194"/>
      <c r="S56" s="104">
        <v>45</v>
      </c>
      <c r="T56" s="73">
        <f t="shared" si="10"/>
        <v>13191442.186958533</v>
      </c>
      <c r="U56" s="52">
        <f t="shared" si="9"/>
        <v>8800000</v>
      </c>
      <c r="V56" s="59">
        <f t="shared" si="11"/>
        <v>4391442.1869585318</v>
      </c>
      <c r="W56" s="52">
        <f t="shared" si="5"/>
        <v>132000000</v>
      </c>
    </row>
    <row r="57" spans="2:23" x14ac:dyDescent="0.2">
      <c r="B57" s="194"/>
      <c r="C57" s="46">
        <v>46</v>
      </c>
      <c r="D57" s="54">
        <f t="shared" si="13"/>
        <v>9897860.5467396323</v>
      </c>
      <c r="E57" s="52">
        <f t="shared" si="1"/>
        <v>8800000</v>
      </c>
      <c r="F57" s="59">
        <f t="shared" si="2"/>
        <v>1097860.546739633</v>
      </c>
      <c r="G57" s="52">
        <f t="shared" si="12"/>
        <v>123200000</v>
      </c>
      <c r="I57" s="50"/>
      <c r="J57" s="194"/>
      <c r="K57" s="46">
        <v>46</v>
      </c>
      <c r="L57" s="102">
        <f t="shared" si="6"/>
        <v>11213387.323959969</v>
      </c>
      <c r="M57" s="102">
        <f t="shared" si="7"/>
        <v>9903294.0234248526</v>
      </c>
      <c r="N57" s="102">
        <f t="shared" si="8"/>
        <v>1310093.300535117</v>
      </c>
      <c r="O57" s="52">
        <f t="shared" si="4"/>
        <v>147614267.00397566</v>
      </c>
      <c r="P57" s="58"/>
      <c r="Q57" s="57"/>
      <c r="R57" s="194"/>
      <c r="S57" s="104">
        <v>46</v>
      </c>
      <c r="T57" s="73">
        <f t="shared" si="10"/>
        <v>13191442.186958533</v>
      </c>
      <c r="U57" s="52">
        <f t="shared" si="9"/>
        <v>8800000</v>
      </c>
      <c r="V57" s="59">
        <f t="shared" si="11"/>
        <v>4391442.1869585318</v>
      </c>
      <c r="W57" s="52">
        <f t="shared" si="5"/>
        <v>123200000</v>
      </c>
    </row>
    <row r="58" spans="2:23" x14ac:dyDescent="0.2">
      <c r="B58" s="194"/>
      <c r="C58" s="46">
        <v>47</v>
      </c>
      <c r="D58" s="54">
        <f t="shared" si="13"/>
        <v>9824669.8436236568</v>
      </c>
      <c r="E58" s="52">
        <f t="shared" si="1"/>
        <v>8800000</v>
      </c>
      <c r="F58" s="59">
        <f t="shared" si="2"/>
        <v>1024669.8436236575</v>
      </c>
      <c r="G58" s="52">
        <f t="shared" si="12"/>
        <v>114400000</v>
      </c>
      <c r="I58" s="50"/>
      <c r="J58" s="194"/>
      <c r="K58" s="46">
        <v>47</v>
      </c>
      <c r="L58" s="102">
        <f t="shared" si="6"/>
        <v>11213387.323959969</v>
      </c>
      <c r="M58" s="102">
        <f t="shared" si="7"/>
        <v>9985660.961236069</v>
      </c>
      <c r="N58" s="102">
        <f t="shared" si="8"/>
        <v>1227726.3627239007</v>
      </c>
      <c r="O58" s="52">
        <f t="shared" si="4"/>
        <v>137628606.0427396</v>
      </c>
      <c r="P58" s="58"/>
      <c r="Q58" s="57"/>
      <c r="R58" s="194"/>
      <c r="S58" s="104">
        <v>47</v>
      </c>
      <c r="T58" s="73">
        <f t="shared" si="10"/>
        <v>13191442.186958533</v>
      </c>
      <c r="U58" s="52">
        <f t="shared" si="9"/>
        <v>8800000</v>
      </c>
      <c r="V58" s="59">
        <f t="shared" si="11"/>
        <v>4391442.1869585318</v>
      </c>
      <c r="W58" s="52">
        <f t="shared" si="5"/>
        <v>114400000</v>
      </c>
    </row>
    <row r="59" spans="2:23" x14ac:dyDescent="0.2">
      <c r="B59" s="195"/>
      <c r="C59" s="46">
        <v>48</v>
      </c>
      <c r="D59" s="54">
        <f t="shared" si="13"/>
        <v>9751479.1405076813</v>
      </c>
      <c r="E59" s="52">
        <f t="shared" si="1"/>
        <v>8800000</v>
      </c>
      <c r="F59" s="59">
        <f t="shared" si="2"/>
        <v>951479.14050768188</v>
      </c>
      <c r="G59" s="52">
        <f t="shared" si="12"/>
        <v>105600000</v>
      </c>
      <c r="I59" s="50"/>
      <c r="J59" s="195"/>
      <c r="K59" s="46">
        <v>48</v>
      </c>
      <c r="L59" s="102">
        <f t="shared" si="6"/>
        <v>11213387.323959969</v>
      </c>
      <c r="M59" s="102">
        <f t="shared" si="7"/>
        <v>10068712.955194093</v>
      </c>
      <c r="N59" s="102">
        <f t="shared" si="8"/>
        <v>1144674.3687658762</v>
      </c>
      <c r="O59" s="52">
        <f t="shared" si="4"/>
        <v>127559893.08754551</v>
      </c>
      <c r="P59" s="58"/>
      <c r="Q59" s="57"/>
      <c r="R59" s="195"/>
      <c r="S59" s="104">
        <v>48</v>
      </c>
      <c r="T59" s="73">
        <f t="shared" si="10"/>
        <v>13191442.186958533</v>
      </c>
      <c r="U59" s="52">
        <f t="shared" si="9"/>
        <v>8800000</v>
      </c>
      <c r="V59" s="59">
        <f t="shared" si="11"/>
        <v>4391442.1869585318</v>
      </c>
      <c r="W59" s="52">
        <f t="shared" si="5"/>
        <v>105600000</v>
      </c>
    </row>
    <row r="60" spans="2:23" x14ac:dyDescent="0.2">
      <c r="B60" s="193" t="s">
        <v>100</v>
      </c>
      <c r="C60" s="46">
        <v>49</v>
      </c>
      <c r="D60" s="54">
        <f t="shared" si="13"/>
        <v>9678288.4373917058</v>
      </c>
      <c r="E60" s="52">
        <f t="shared" si="1"/>
        <v>8800000</v>
      </c>
      <c r="F60" s="59">
        <f t="shared" si="2"/>
        <v>878288.43739170639</v>
      </c>
      <c r="G60" s="52">
        <f t="shared" si="12"/>
        <v>96800000</v>
      </c>
      <c r="I60" s="50"/>
      <c r="J60" s="193" t="s">
        <v>100</v>
      </c>
      <c r="K60" s="46">
        <v>49</v>
      </c>
      <c r="L60" s="102">
        <f t="shared" si="6"/>
        <v>11213387.323959969</v>
      </c>
      <c r="M60" s="102">
        <f t="shared" si="7"/>
        <v>10152455.702996774</v>
      </c>
      <c r="N60" s="102">
        <f t="shared" si="8"/>
        <v>1060931.6209631958</v>
      </c>
      <c r="O60" s="52">
        <f t="shared" si="4"/>
        <v>117407437.38454874</v>
      </c>
      <c r="P60" s="58"/>
      <c r="Q60" s="57"/>
      <c r="R60" s="193" t="s">
        <v>100</v>
      </c>
      <c r="S60" s="104">
        <v>49</v>
      </c>
      <c r="T60" s="73">
        <f t="shared" si="10"/>
        <v>13191442.186958533</v>
      </c>
      <c r="U60" s="52">
        <f t="shared" si="9"/>
        <v>8800000</v>
      </c>
      <c r="V60" s="59">
        <f t="shared" si="11"/>
        <v>4391442.1869585318</v>
      </c>
      <c r="W60" s="52">
        <f t="shared" si="5"/>
        <v>96800000</v>
      </c>
    </row>
    <row r="61" spans="2:23" x14ac:dyDescent="0.2">
      <c r="B61" s="194"/>
      <c r="C61" s="46">
        <v>50</v>
      </c>
      <c r="D61" s="54">
        <f t="shared" si="13"/>
        <v>9605097.7342757303</v>
      </c>
      <c r="E61" s="52">
        <f t="shared" si="1"/>
        <v>8800000</v>
      </c>
      <c r="F61" s="59">
        <f t="shared" si="2"/>
        <v>805097.73427573079</v>
      </c>
      <c r="G61" s="52">
        <f t="shared" si="12"/>
        <v>88000000</v>
      </c>
      <c r="I61" s="50"/>
      <c r="J61" s="194"/>
      <c r="K61" s="46">
        <v>50</v>
      </c>
      <c r="L61" s="102">
        <f t="shared" si="6"/>
        <v>11213387.323959969</v>
      </c>
      <c r="M61" s="102">
        <f t="shared" si="7"/>
        <v>10236894.949730424</v>
      </c>
      <c r="N61" s="102">
        <f t="shared" si="8"/>
        <v>976492.37422954466</v>
      </c>
      <c r="O61" s="52">
        <f t="shared" si="4"/>
        <v>107170542.43481831</v>
      </c>
      <c r="P61" s="58"/>
      <c r="Q61" s="57"/>
      <c r="R61" s="194"/>
      <c r="S61" s="104">
        <v>50</v>
      </c>
      <c r="T61" s="73">
        <f t="shared" si="10"/>
        <v>13191442.186958533</v>
      </c>
      <c r="U61" s="52">
        <f t="shared" si="9"/>
        <v>8800000</v>
      </c>
      <c r="V61" s="59">
        <f t="shared" si="11"/>
        <v>4391442.1869585318</v>
      </c>
      <c r="W61" s="52">
        <f t="shared" si="5"/>
        <v>88000000</v>
      </c>
    </row>
    <row r="62" spans="2:23" x14ac:dyDescent="0.2">
      <c r="B62" s="194"/>
      <c r="C62" s="46">
        <v>51</v>
      </c>
      <c r="D62" s="54">
        <f t="shared" si="13"/>
        <v>9531907.0311597548</v>
      </c>
      <c r="E62" s="52">
        <f t="shared" si="1"/>
        <v>8800000</v>
      </c>
      <c r="F62" s="59">
        <f t="shared" si="2"/>
        <v>731907.03115975531</v>
      </c>
      <c r="G62" s="52">
        <f t="shared" si="12"/>
        <v>79200000</v>
      </c>
      <c r="I62" s="50"/>
      <c r="J62" s="194"/>
      <c r="K62" s="46">
        <v>51</v>
      </c>
      <c r="L62" s="102">
        <f t="shared" si="6"/>
        <v>11213387.323959969</v>
      </c>
      <c r="M62" s="102">
        <f t="shared" si="7"/>
        <v>10322036.488263965</v>
      </c>
      <c r="N62" s="102">
        <f t="shared" si="8"/>
        <v>891350.83569600503</v>
      </c>
      <c r="O62" s="52">
        <f t="shared" si="4"/>
        <v>96848505.946554348</v>
      </c>
      <c r="P62" s="58"/>
      <c r="Q62" s="57"/>
      <c r="R62" s="194"/>
      <c r="S62" s="104">
        <v>51</v>
      </c>
      <c r="T62" s="73">
        <f t="shared" si="10"/>
        <v>13191442.186958533</v>
      </c>
      <c r="U62" s="52">
        <f t="shared" si="9"/>
        <v>8800000</v>
      </c>
      <c r="V62" s="59">
        <f t="shared" si="11"/>
        <v>4391442.1869585318</v>
      </c>
      <c r="W62" s="52">
        <f t="shared" si="5"/>
        <v>79200000</v>
      </c>
    </row>
    <row r="63" spans="2:23" x14ac:dyDescent="0.2">
      <c r="B63" s="194"/>
      <c r="C63" s="46">
        <v>52</v>
      </c>
      <c r="D63" s="54">
        <f t="shared" si="13"/>
        <v>9458716.3280437794</v>
      </c>
      <c r="E63" s="52">
        <f t="shared" si="1"/>
        <v>8800000</v>
      </c>
      <c r="F63" s="59">
        <f t="shared" si="2"/>
        <v>658716.32804377982</v>
      </c>
      <c r="G63" s="52">
        <f t="shared" si="12"/>
        <v>70400000</v>
      </c>
      <c r="I63" s="50"/>
      <c r="J63" s="194"/>
      <c r="K63" s="46">
        <v>52</v>
      </c>
      <c r="L63" s="102">
        <f t="shared" si="6"/>
        <v>11213387.323959969</v>
      </c>
      <c r="M63" s="102">
        <f t="shared" si="7"/>
        <v>10407886.159646327</v>
      </c>
      <c r="N63" s="102">
        <f t="shared" si="8"/>
        <v>805501.16431364208</v>
      </c>
      <c r="O63" s="52">
        <f t="shared" si="4"/>
        <v>86440619.786908016</v>
      </c>
      <c r="P63" s="58"/>
      <c r="Q63" s="57"/>
      <c r="R63" s="194"/>
      <c r="S63" s="104">
        <v>52</v>
      </c>
      <c r="T63" s="73">
        <f t="shared" si="10"/>
        <v>13191442.186958533</v>
      </c>
      <c r="U63" s="52">
        <f t="shared" si="9"/>
        <v>8800000</v>
      </c>
      <c r="V63" s="59">
        <f t="shared" si="11"/>
        <v>4391442.1869585318</v>
      </c>
      <c r="W63" s="52">
        <f t="shared" si="5"/>
        <v>70400000</v>
      </c>
    </row>
    <row r="64" spans="2:23" x14ac:dyDescent="0.2">
      <c r="B64" s="194"/>
      <c r="C64" s="46">
        <v>53</v>
      </c>
      <c r="D64" s="54">
        <f t="shared" si="13"/>
        <v>9385525.6249278039</v>
      </c>
      <c r="E64" s="52">
        <f t="shared" si="1"/>
        <v>8800000</v>
      </c>
      <c r="F64" s="59">
        <f t="shared" si="2"/>
        <v>585525.62492780422</v>
      </c>
      <c r="G64" s="52">
        <f t="shared" si="12"/>
        <v>61600000</v>
      </c>
      <c r="I64" s="50"/>
      <c r="J64" s="194"/>
      <c r="K64" s="46">
        <v>53</v>
      </c>
      <c r="L64" s="102">
        <f t="shared" si="6"/>
        <v>11213387.323959969</v>
      </c>
      <c r="M64" s="102">
        <f t="shared" si="7"/>
        <v>10494449.853507183</v>
      </c>
      <c r="N64" s="102">
        <f t="shared" si="8"/>
        <v>718937.47045278456</v>
      </c>
      <c r="O64" s="52">
        <f t="shared" si="4"/>
        <v>75946169.93340084</v>
      </c>
      <c r="P64" s="58"/>
      <c r="Q64" s="57"/>
      <c r="R64" s="194"/>
      <c r="S64" s="104">
        <v>53</v>
      </c>
      <c r="T64" s="73">
        <f t="shared" si="10"/>
        <v>13191442.186958533</v>
      </c>
      <c r="U64" s="52">
        <f t="shared" si="9"/>
        <v>8800000</v>
      </c>
      <c r="V64" s="59">
        <f t="shared" si="11"/>
        <v>4391442.1869585318</v>
      </c>
      <c r="W64" s="52">
        <f t="shared" si="5"/>
        <v>61600000</v>
      </c>
    </row>
    <row r="65" spans="2:23" x14ac:dyDescent="0.2">
      <c r="B65" s="194"/>
      <c r="C65" s="46">
        <v>54</v>
      </c>
      <c r="D65" s="54">
        <f t="shared" si="13"/>
        <v>9312334.9218118284</v>
      </c>
      <c r="E65" s="52">
        <f t="shared" si="1"/>
        <v>8800000</v>
      </c>
      <c r="F65" s="59">
        <f t="shared" si="2"/>
        <v>512334.92181182874</v>
      </c>
      <c r="G65" s="52">
        <f t="shared" si="12"/>
        <v>52800000</v>
      </c>
      <c r="I65" s="50"/>
      <c r="J65" s="194"/>
      <c r="K65" s="46">
        <v>54</v>
      </c>
      <c r="L65" s="102">
        <f t="shared" si="6"/>
        <v>11213387.323959969</v>
      </c>
      <c r="M65" s="102">
        <f t="shared" si="7"/>
        <v>10581733.508460995</v>
      </c>
      <c r="N65" s="102">
        <f t="shared" si="8"/>
        <v>631653.81549897359</v>
      </c>
      <c r="O65" s="52">
        <f t="shared" si="4"/>
        <v>65364436.424939841</v>
      </c>
      <c r="P65" s="58"/>
      <c r="Q65" s="57"/>
      <c r="R65" s="194"/>
      <c r="S65" s="104">
        <v>54</v>
      </c>
      <c r="T65" s="73">
        <f t="shared" si="10"/>
        <v>13191442.186958533</v>
      </c>
      <c r="U65" s="52">
        <f t="shared" si="9"/>
        <v>8800000</v>
      </c>
      <c r="V65" s="59">
        <f t="shared" si="11"/>
        <v>4391442.1869585318</v>
      </c>
      <c r="W65" s="52">
        <f t="shared" si="5"/>
        <v>52800000</v>
      </c>
    </row>
    <row r="66" spans="2:23" x14ac:dyDescent="0.2">
      <c r="B66" s="194"/>
      <c r="C66" s="46">
        <v>55</v>
      </c>
      <c r="D66" s="54">
        <f t="shared" si="13"/>
        <v>9239144.2186958529</v>
      </c>
      <c r="E66" s="52">
        <f t="shared" si="1"/>
        <v>8800000</v>
      </c>
      <c r="F66" s="59">
        <f t="shared" si="2"/>
        <v>439144.2186958532</v>
      </c>
      <c r="G66" s="52">
        <f t="shared" si="12"/>
        <v>44000000</v>
      </c>
      <c r="I66" s="50"/>
      <c r="J66" s="194"/>
      <c r="K66" s="46">
        <v>55</v>
      </c>
      <c r="L66" s="102">
        <f t="shared" si="6"/>
        <v>11213387.323959969</v>
      </c>
      <c r="M66" s="102">
        <f t="shared" si="7"/>
        <v>10669743.112514419</v>
      </c>
      <c r="N66" s="102">
        <f t="shared" si="8"/>
        <v>543644.21144554869</v>
      </c>
      <c r="O66" s="52">
        <f t="shared" si="4"/>
        <v>54694693.31242542</v>
      </c>
      <c r="P66" s="58"/>
      <c r="Q66" s="57"/>
      <c r="R66" s="194"/>
      <c r="S66" s="104">
        <v>55</v>
      </c>
      <c r="T66" s="73">
        <f t="shared" si="10"/>
        <v>13191442.186958533</v>
      </c>
      <c r="U66" s="52">
        <f t="shared" si="9"/>
        <v>8800000</v>
      </c>
      <c r="V66" s="59">
        <f t="shared" si="11"/>
        <v>4391442.1869585318</v>
      </c>
      <c r="W66" s="52">
        <f t="shared" si="5"/>
        <v>44000000</v>
      </c>
    </row>
    <row r="67" spans="2:23" x14ac:dyDescent="0.2">
      <c r="B67" s="194"/>
      <c r="C67" s="46">
        <v>56</v>
      </c>
      <c r="D67" s="54">
        <f t="shared" si="13"/>
        <v>9165953.5155798774</v>
      </c>
      <c r="E67" s="52">
        <f t="shared" si="1"/>
        <v>8800000</v>
      </c>
      <c r="F67" s="59">
        <f t="shared" si="2"/>
        <v>365953.51557987765</v>
      </c>
      <c r="G67" s="52">
        <f t="shared" si="12"/>
        <v>35200000</v>
      </c>
      <c r="I67" s="50"/>
      <c r="J67" s="194"/>
      <c r="K67" s="46">
        <v>56</v>
      </c>
      <c r="L67" s="102">
        <f t="shared" si="6"/>
        <v>11213387.323959969</v>
      </c>
      <c r="M67" s="102">
        <f t="shared" si="7"/>
        <v>10758484.703477122</v>
      </c>
      <c r="N67" s="102">
        <f t="shared" si="8"/>
        <v>454902.62048284785</v>
      </c>
      <c r="O67" s="52">
        <f t="shared" si="4"/>
        <v>43936208.608948298</v>
      </c>
      <c r="P67" s="58"/>
      <c r="Q67" s="57"/>
      <c r="R67" s="194"/>
      <c r="S67" s="104">
        <v>56</v>
      </c>
      <c r="T67" s="73">
        <f t="shared" si="10"/>
        <v>13191442.186958533</v>
      </c>
      <c r="U67" s="52">
        <f t="shared" si="9"/>
        <v>8800000</v>
      </c>
      <c r="V67" s="59">
        <f t="shared" si="11"/>
        <v>4391442.1869585318</v>
      </c>
      <c r="W67" s="52">
        <f t="shared" si="5"/>
        <v>35200000</v>
      </c>
    </row>
    <row r="68" spans="2:23" x14ac:dyDescent="0.2">
      <c r="B68" s="194"/>
      <c r="C68" s="46">
        <v>57</v>
      </c>
      <c r="D68" s="54">
        <f t="shared" si="13"/>
        <v>9092762.8124639019</v>
      </c>
      <c r="E68" s="52">
        <f t="shared" si="1"/>
        <v>8800000</v>
      </c>
      <c r="F68" s="59">
        <f t="shared" si="2"/>
        <v>292762.81246390211</v>
      </c>
      <c r="G68" s="52">
        <f t="shared" si="12"/>
        <v>26400000</v>
      </c>
      <c r="I68" s="50"/>
      <c r="J68" s="194"/>
      <c r="K68" s="46">
        <v>57</v>
      </c>
      <c r="L68" s="102">
        <f t="shared" si="6"/>
        <v>11213387.323959969</v>
      </c>
      <c r="M68" s="102">
        <f t="shared" si="7"/>
        <v>10847964.36937598</v>
      </c>
      <c r="N68" s="102">
        <f t="shared" si="8"/>
        <v>365422.95458398899</v>
      </c>
      <c r="O68" s="52">
        <f t="shared" si="4"/>
        <v>33088244.239572316</v>
      </c>
      <c r="P68" s="58"/>
      <c r="Q68" s="57"/>
      <c r="R68" s="194"/>
      <c r="S68" s="104">
        <v>57</v>
      </c>
      <c r="T68" s="73">
        <f t="shared" si="10"/>
        <v>13191442.186958533</v>
      </c>
      <c r="U68" s="52">
        <f t="shared" si="9"/>
        <v>8800000</v>
      </c>
      <c r="V68" s="59">
        <f t="shared" si="11"/>
        <v>4391442.1869585318</v>
      </c>
      <c r="W68" s="52">
        <f t="shared" si="5"/>
        <v>26400000</v>
      </c>
    </row>
    <row r="69" spans="2:23" x14ac:dyDescent="0.2">
      <c r="B69" s="194"/>
      <c r="C69" s="46">
        <v>58</v>
      </c>
      <c r="D69" s="54">
        <f t="shared" si="13"/>
        <v>9019572.1093479265</v>
      </c>
      <c r="E69" s="52">
        <f t="shared" si="1"/>
        <v>8800000</v>
      </c>
      <c r="F69" s="59">
        <f t="shared" si="2"/>
        <v>219572.1093479266</v>
      </c>
      <c r="G69" s="52">
        <f t="shared" si="12"/>
        <v>17600000</v>
      </c>
      <c r="I69" s="50"/>
      <c r="J69" s="194"/>
      <c r="K69" s="46">
        <v>58</v>
      </c>
      <c r="L69" s="102">
        <f t="shared" si="6"/>
        <v>11213387.323959969</v>
      </c>
      <c r="M69" s="102">
        <f t="shared" si="7"/>
        <v>10938188.248872761</v>
      </c>
      <c r="N69" s="102">
        <f t="shared" si="8"/>
        <v>275199.07508720737</v>
      </c>
      <c r="O69" s="52">
        <f t="shared" si="4"/>
        <v>22150055.990699556</v>
      </c>
      <c r="P69" s="58"/>
      <c r="Q69" s="57"/>
      <c r="R69" s="194"/>
      <c r="S69" s="104">
        <v>58</v>
      </c>
      <c r="T69" s="73">
        <f t="shared" si="10"/>
        <v>13191442.186958533</v>
      </c>
      <c r="U69" s="52">
        <f t="shared" si="9"/>
        <v>8800000</v>
      </c>
      <c r="V69" s="59">
        <f t="shared" si="11"/>
        <v>4391442.1869585318</v>
      </c>
      <c r="W69" s="52">
        <f t="shared" si="5"/>
        <v>17600000</v>
      </c>
    </row>
    <row r="70" spans="2:23" x14ac:dyDescent="0.2">
      <c r="B70" s="194"/>
      <c r="C70" s="46">
        <v>59</v>
      </c>
      <c r="D70" s="54">
        <f t="shared" si="13"/>
        <v>8946381.406231951</v>
      </c>
      <c r="E70" s="52">
        <f t="shared" si="1"/>
        <v>8800000</v>
      </c>
      <c r="F70" s="59">
        <f t="shared" si="2"/>
        <v>146381.40623195106</v>
      </c>
      <c r="G70" s="52">
        <f t="shared" si="12"/>
        <v>8800000</v>
      </c>
      <c r="I70" s="50"/>
      <c r="J70" s="194"/>
      <c r="K70" s="46">
        <v>59</v>
      </c>
      <c r="L70" s="102">
        <f t="shared" si="6"/>
        <v>11213387.323959969</v>
      </c>
      <c r="M70" s="102">
        <f t="shared" si="7"/>
        <v>11029162.53168525</v>
      </c>
      <c r="N70" s="102">
        <f t="shared" si="8"/>
        <v>184224.7922747189</v>
      </c>
      <c r="O70" s="52">
        <f t="shared" si="4"/>
        <v>11120893.459014306</v>
      </c>
      <c r="P70" s="58"/>
      <c r="Q70" s="57"/>
      <c r="R70" s="194"/>
      <c r="S70" s="104">
        <v>59</v>
      </c>
      <c r="T70" s="73">
        <f t="shared" si="10"/>
        <v>13191442.186958533</v>
      </c>
      <c r="U70" s="52">
        <f t="shared" si="9"/>
        <v>8800000</v>
      </c>
      <c r="V70" s="59">
        <f t="shared" si="11"/>
        <v>4391442.1869585318</v>
      </c>
      <c r="W70" s="52">
        <f t="shared" si="5"/>
        <v>8800000</v>
      </c>
    </row>
    <row r="71" spans="2:23" x14ac:dyDescent="0.2">
      <c r="B71" s="195"/>
      <c r="C71" s="46">
        <v>60</v>
      </c>
      <c r="D71" s="54">
        <f t="shared" si="13"/>
        <v>8873190.7031159755</v>
      </c>
      <c r="E71" s="52">
        <f t="shared" si="1"/>
        <v>8800000</v>
      </c>
      <c r="F71" s="59">
        <f t="shared" si="2"/>
        <v>73190.703115975528</v>
      </c>
      <c r="G71" s="52">
        <f>G70-E71</f>
        <v>0</v>
      </c>
      <c r="I71" s="50"/>
      <c r="J71" s="195"/>
      <c r="K71" s="46">
        <v>60</v>
      </c>
      <c r="L71" s="102">
        <f t="shared" si="6"/>
        <v>11213387.323959969</v>
      </c>
      <c r="M71" s="102">
        <f t="shared" si="7"/>
        <v>11120893.459011888</v>
      </c>
      <c r="N71" s="102">
        <f t="shared" si="8"/>
        <v>92493.864948080707</v>
      </c>
      <c r="O71" s="52">
        <f t="shared" si="4"/>
        <v>2.4177134037017822E-6</v>
      </c>
      <c r="P71" s="50"/>
      <c r="Q71" s="50"/>
      <c r="R71" s="195"/>
      <c r="S71" s="104">
        <v>60</v>
      </c>
      <c r="T71" s="105">
        <f t="shared" si="10"/>
        <v>13191442.186958533</v>
      </c>
      <c r="U71" s="52">
        <f t="shared" si="9"/>
        <v>8800000</v>
      </c>
      <c r="V71" s="59">
        <f t="shared" si="11"/>
        <v>4391442.1869585318</v>
      </c>
      <c r="W71" s="106">
        <f t="shared" si="5"/>
        <v>0</v>
      </c>
    </row>
    <row r="72" spans="2:23" x14ac:dyDescent="0.2">
      <c r="B72" s="50"/>
      <c r="E72" s="74" t="s">
        <v>110</v>
      </c>
      <c r="F72" s="59">
        <f>SUM(F12:F71)</f>
        <v>133938986.70223522</v>
      </c>
      <c r="M72" s="74" t="s">
        <v>116</v>
      </c>
      <c r="N72" s="102">
        <f>SUM(N12:N71)</f>
        <v>144803239.43760058</v>
      </c>
      <c r="O72" s="50"/>
      <c r="P72" s="50"/>
      <c r="Q72" s="50"/>
      <c r="R72" s="50"/>
      <c r="S72" s="50"/>
      <c r="T72" s="50"/>
      <c r="U72" s="74" t="s">
        <v>119</v>
      </c>
      <c r="V72" s="59">
        <f>SUM(V12:V71)</f>
        <v>263486531.21751165</v>
      </c>
      <c r="W72" s="50"/>
    </row>
    <row r="74" spans="2:23" x14ac:dyDescent="0.2">
      <c r="G74" s="191" t="s">
        <v>120</v>
      </c>
      <c r="H74" s="192"/>
      <c r="I74" s="192"/>
      <c r="J74" s="192"/>
    </row>
    <row r="75" spans="2:23" x14ac:dyDescent="0.2">
      <c r="G75" s="192"/>
      <c r="H75" s="192"/>
      <c r="I75" s="192"/>
      <c r="J75" s="192"/>
    </row>
    <row r="76" spans="2:23" x14ac:dyDescent="0.2">
      <c r="G76" s="192"/>
      <c r="H76" s="192"/>
      <c r="I76" s="192"/>
      <c r="J76" s="192"/>
    </row>
    <row r="77" spans="2:23" x14ac:dyDescent="0.2">
      <c r="G77" s="192"/>
      <c r="H77" s="192"/>
      <c r="I77" s="192"/>
      <c r="J77" s="192"/>
    </row>
    <row r="78" spans="2:23" x14ac:dyDescent="0.2">
      <c r="G78" s="192"/>
      <c r="H78" s="192"/>
      <c r="I78" s="192"/>
      <c r="J78" s="192"/>
    </row>
    <row r="79" spans="2:23" x14ac:dyDescent="0.2">
      <c r="G79" s="192"/>
      <c r="H79" s="192"/>
      <c r="I79" s="192"/>
      <c r="J79" s="192"/>
    </row>
    <row r="80" spans="2:23" x14ac:dyDescent="0.2">
      <c r="G80" s="192"/>
      <c r="H80" s="192"/>
      <c r="I80" s="192"/>
      <c r="J80" s="192"/>
    </row>
    <row r="81" spans="7:10" x14ac:dyDescent="0.2">
      <c r="G81" s="192"/>
      <c r="H81" s="192"/>
      <c r="I81" s="192"/>
      <c r="J81" s="192"/>
    </row>
    <row r="82" spans="7:10" x14ac:dyDescent="0.2">
      <c r="G82" s="192"/>
      <c r="H82" s="192"/>
      <c r="I82" s="192"/>
      <c r="J82" s="192"/>
    </row>
    <row r="83" spans="7:10" x14ac:dyDescent="0.2">
      <c r="G83" s="192"/>
      <c r="H83" s="192"/>
      <c r="I83" s="192"/>
      <c r="J83" s="192"/>
    </row>
    <row r="84" spans="7:10" x14ac:dyDescent="0.2">
      <c r="G84" s="192"/>
      <c r="H84" s="192"/>
      <c r="I84" s="192"/>
      <c r="J84" s="192"/>
    </row>
    <row r="85" spans="7:10" x14ac:dyDescent="0.2">
      <c r="G85" s="192"/>
      <c r="H85" s="192"/>
      <c r="I85" s="192"/>
      <c r="J85" s="192"/>
    </row>
  </sheetData>
  <mergeCells count="16">
    <mergeCell ref="R12:R23"/>
    <mergeCell ref="R24:R35"/>
    <mergeCell ref="R36:R47"/>
    <mergeCell ref="R48:R59"/>
    <mergeCell ref="R60:R71"/>
    <mergeCell ref="G74:J85"/>
    <mergeCell ref="B12:B23"/>
    <mergeCell ref="B24:B35"/>
    <mergeCell ref="B36:B47"/>
    <mergeCell ref="B48:B59"/>
    <mergeCell ref="B60:B71"/>
    <mergeCell ref="J12:J23"/>
    <mergeCell ref="J24:J35"/>
    <mergeCell ref="J36:J47"/>
    <mergeCell ref="J48:J59"/>
    <mergeCell ref="J60:J7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Londoño Londoño</dc:creator>
  <cp:lastModifiedBy>Andres</cp:lastModifiedBy>
  <dcterms:created xsi:type="dcterms:W3CDTF">2020-05-23T19:52:03Z</dcterms:created>
  <dcterms:modified xsi:type="dcterms:W3CDTF">2021-08-02T02:26:44Z</dcterms:modified>
</cp:coreProperties>
</file>