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3"/>
    <sheet state="visible" name="data_blockchain" sheetId="2" r:id="rId4"/>
    <sheet state="visible" name="資料入數表" sheetId="3" r:id="rId5"/>
  </sheets>
  <definedNames>
    <definedName hidden="1" localSheetId="2" name="_xlnm._FilterDatabase">'資料入數表'!$A$1:$E$19</definedName>
    <definedName hidden="1" localSheetId="1" name="_xlnm._FilterDatabase">data_blockchain!$A$2:$L$117</definedName>
    <definedName hidden="1" localSheetId="2" name="Z_4A94CAAD_1D10_4873_82D8_208853D25441_.wvu.FilterData">'資料入數表'!$A$1:$A$85</definedName>
  </definedNames>
  <calcPr/>
  <customWorkbookViews>
    <customWorkbookView activeSheetId="0" maximized="1" tabRatio="600" windowHeight="0" windowWidth="0" guid="{4A94CAAD-1D10-4873-82D8-208853D2544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M2">
      <text>
        <t xml:space="preserve">REGEN HASH
	-Nelson LAN</t>
      </text>
    </comment>
  </commentList>
</comments>
</file>

<file path=xl/comments2.xml><?xml version="1.0" encoding="utf-8"?>
<comments xmlns:r="http://schemas.openxmlformats.org/officeDocument/2006/relationships" xmlns="http://schemas.openxmlformats.org/spreadsheetml/2006/main">
  <authors>
    <author/>
  </authors>
  <commentList>
    <comment authorId="0" ref="B13">
      <text>
        <t xml:space="preserve">Responder updated this value.</t>
      </text>
    </comment>
    <comment authorId="0" ref="B15">
      <text>
        <t xml:space="preserve">Responder updated this value.</t>
      </text>
    </comment>
  </commentList>
</comments>
</file>

<file path=xl/sharedStrings.xml><?xml version="1.0" encoding="utf-8"?>
<sst xmlns="http://schemas.openxmlformats.org/spreadsheetml/2006/main" count="706" uniqueCount="270">
  <si>
    <t>Timestamp</t>
  </si>
  <si>
    <t>日期 TimeStamp</t>
  </si>
  <si>
    <t>申請職位／及所屬機構公司 Data / Content</t>
  </si>
  <si>
    <t>申請結果 Result</t>
  </si>
  <si>
    <t>Reference code</t>
  </si>
  <si>
    <t>IT Support
香港小童群益會
$ 15000 / Month
0900 - 1730</t>
  </si>
  <si>
    <t>沒有回應
// No Respond //</t>
  </si>
  <si>
    <t xml:space="preserve">Programmer
BIAO XI Technology Limited
Missing Salary
Missing Working Time
</t>
  </si>
  <si>
    <t xml:space="preserve">不獲理會
</t>
  </si>
  <si>
    <t>Phone call in
IT Position
Six DegreeLink</t>
  </si>
  <si>
    <t>不適用</t>
  </si>
  <si>
    <t>福利工作員
香港小童群益會
$13000 / Month
No state working time</t>
  </si>
  <si>
    <t xml:space="preserve">數學導師
Eyelevel, JobsDB
Forgot Salary
1530 - 1700
</t>
  </si>
  <si>
    <t>電話面試</t>
  </si>
  <si>
    <t>3rd Grad-support @ HKDEA</t>
  </si>
  <si>
    <t>香港青年協會約見</t>
  </si>
  <si>
    <t>初創行政見習生--遊戲開發員
香港青年協會
$11000 / Month
0900 - 1800</t>
  </si>
  <si>
    <t>沒有回應
// No Respond//</t>
  </si>
  <si>
    <t xml:space="preserve">Project Startup
香港青年協會
初創見習生計劃
</t>
  </si>
  <si>
    <t xml:space="preserve">Junior Mobile Game Developer
火狗工房 Firedog Studio
$13000 - $15000 / Month
1100 - 1800
</t>
  </si>
  <si>
    <t xml:space="preserve">青年工作員
香港青年協會
$ 13000 / Month
0930 - 1800
</t>
  </si>
  <si>
    <t xml:space="preserve">Game and Technology Programmer (Developer)
Mostcore Limited 最核心
$ 14000 / Month
0900 - 1800
</t>
  </si>
  <si>
    <t xml:space="preserve">Android Platform Game Developer
東方報業人事資源有限公司
$16000 / Month
0900 - 1800
</t>
  </si>
  <si>
    <t>職缺已滿</t>
  </si>
  <si>
    <t>編號
TransationID</t>
  </si>
  <si>
    <t>日期
TimeStamp</t>
  </si>
  <si>
    <t>申請職位／及所屬機構公司
Data / Content</t>
  </si>
  <si>
    <t xml:space="preserve">Game Story Designer
Mostcore Limited 最核心
$8500 / Month
0900 - 1800
</t>
  </si>
  <si>
    <t>申請結果
Result</t>
  </si>
  <si>
    <t>OverQualified, This Post only for Form 6 NSS Students</t>
  </si>
  <si>
    <t>詳細
Explanation</t>
  </si>
  <si>
    <t>工種
Job
Sectors</t>
  </si>
  <si>
    <t>月年份</t>
  </si>
  <si>
    <t>有效
節點</t>
  </si>
  <si>
    <t>Nonce
(未加入)</t>
  </si>
  <si>
    <t>上一節點
雜湊函數
PreviousNode
CalculatedHash</t>
  </si>
  <si>
    <t xml:space="preserve">文員
將軍澳官立中學
$10950 / Month
0830 - 1800
</t>
  </si>
  <si>
    <t>TransationID //
TimeStamp //
Data / Content // Result //
Pre.Hash</t>
  </si>
  <si>
    <t>12/6/2017  First Testing on Office sector skills
18/6/2017 Second interview for principal meeting
Question : 1) How do you organize a school event's traveling issue?
2) How many "W" does projector light bulb needs?
3) How much experiences for AV Audio and Visual system for school hall technician room does you have?</t>
  </si>
  <si>
    <t xml:space="preserve">暑期功輔導師
星兒教育
$ 265 / HRs
1100 - 1600
</t>
  </si>
  <si>
    <t>面試並招騁用</t>
  </si>
  <si>
    <t xml:space="preserve">店務助理
中華書局  暑期工
$32/HRs
0900-2100
</t>
  </si>
  <si>
    <t>本節點
雜湊函數
CurrentNode
CalculatedHash</t>
  </si>
  <si>
    <t xml:space="preserve">自修室助理 
Adecco Personnel Limited
$34 / Hrs
0900 - 1800
</t>
  </si>
  <si>
    <t>Genesis block I</t>
  </si>
  <si>
    <t xml:space="preserve">動漫節工作人員
Cloud Personnal Limited
$90 / Hour Offer
Nego Time
</t>
  </si>
  <si>
    <t>沒有回應
// No Respond //</t>
  </si>
  <si>
    <t>T</t>
  </si>
  <si>
    <t xml:space="preserve">香港教育專業人員協會 HKPTU
中心助理
$55 / Hr Offer
0900 - 1800
</t>
  </si>
  <si>
    <t xml:space="preserve">菁陽孩子教育有限公司
Tutor (兼職)
$90 / Hours (Offer)
3 - 7 pm
</t>
  </si>
  <si>
    <t xml:space="preserve">人流統計員
Cido Research
$65 / Hours
Unknow working hours
</t>
  </si>
  <si>
    <t>// Interviewed //</t>
  </si>
  <si>
    <t xml:space="preserve">Clerk
新界社團聯會
$50 / Hours
0900 - 1800
</t>
  </si>
  <si>
    <t>OverQualified</t>
  </si>
  <si>
    <t>Teaching Assistant
Spark21 LTD
$90 / Hr (Offer)
No state working time, TKO</t>
  </si>
  <si>
    <t xml:space="preserve">全職補習導師
柏毅教育
$9000 / Month
2 pm - 8pm
</t>
  </si>
  <si>
    <t xml:space="preserve">Clerk Officer
港大醫學部 HKU-Medic
$10000 / Month
0900 - 1800
</t>
  </si>
  <si>
    <t>//Interviewed//</t>
  </si>
  <si>
    <t xml:space="preserve">Library Service Assistant
香港大學圖書館 HKU - Library
$10000
0900 - 1800
</t>
  </si>
  <si>
    <t>//Interview (Phone) and Direct//</t>
  </si>
  <si>
    <t xml:space="preserve">Shopkeeper
漢榮書局
$45 / Hours
1100 - 1700
</t>
  </si>
  <si>
    <t xml:space="preserve">//Interviewed
Too far away
</t>
  </si>
  <si>
    <t xml:space="preserve">功輔班導師
青協黃寬洋青年空間
$105 / Hours 
3pm - 5pm
</t>
  </si>
  <si>
    <t xml:space="preserve">全職補習導師
己思補習學校
$10000 - $12000 / Month
1pm-8:30pm 10am-3pm
</t>
  </si>
  <si>
    <t xml:space="preserve">臨時助理字幕主任 39265
香港電台--電視及機構業務部字幕及節目宣傳組
$10985 - 14125
0900 - 1800
</t>
  </si>
  <si>
    <t>// Interviewed (Phone)//</t>
  </si>
  <si>
    <t xml:space="preserve">製作助理 39336
香港電台 -- 電台部中文台與行政及發展
$75 / Hours
0900 - 1800
</t>
  </si>
  <si>
    <t xml:space="preserve">功輔導師
志蓮小學
$7500 / Month
3:45 - 5:45
</t>
  </si>
  <si>
    <t>//Phone Interview x3</t>
  </si>
  <si>
    <t xml:space="preserve">功輔導師
中聖教會有限公司
$65 - 70 /Hours
3pm-6pm
</t>
  </si>
  <si>
    <t>No religion no way</t>
  </si>
  <si>
    <t>字幕系統操作員
電視部字幕及節目宣傳組，香港電台
$100/Hours
No state working hour</t>
  </si>
  <si>
    <t>3/2018 Phone interview</t>
  </si>
  <si>
    <t xml:space="preserve">Teaching Assistant
英皇書院
$15545 / Month
0830 - 1800
</t>
  </si>
  <si>
    <t>Teaching Assistant
皇仁書院
$15545 / Month
No state working hour</t>
  </si>
  <si>
    <t xml:space="preserve">Teaching Assistant
龍翔官立中學
$15545 / Month
No state work hours
</t>
  </si>
  <si>
    <t xml:space="preserve">Part-time Teaching Assistant
觀塘官立小學
$92 / Hours
No working hour state
</t>
  </si>
  <si>
    <t>文員
香港南區官小
$12110 / Month
No working hour state</t>
  </si>
  <si>
    <t>Phone interview
Booking for interview (Refused, too far away from home)</t>
  </si>
  <si>
    <t>Genesis block II</t>
  </si>
  <si>
    <t xml:space="preserve">功輔導師
HKYCA 香港青少年輔導協會
4pm - 6pm TKO
Salary Not Stated, $80 / Hour Offer
</t>
  </si>
  <si>
    <t>香港青少年輔導協會</t>
  </si>
  <si>
    <t xml:space="preserve">Game QA Tester
Qookia
JHK100003006407576
$12500 / Month (Nego)
0900 - 1800
</t>
  </si>
  <si>
    <t xml:space="preserve">Mobile Game QA Tester
6waves Limited
JHK10000300641889
$12500 / Month (Nego)
0900 - 1800
</t>
  </si>
  <si>
    <t xml:space="preserve">Game Designer
Digitcube Limited
JHK100003006472996
$13000 / Offer
0900 - 1800 Office Hour
</t>
  </si>
  <si>
    <t>// Interviewed //
Too Young</t>
  </si>
  <si>
    <t xml:space="preserve">Game Designer
On way Limited
JHK100003006434350
Negoitated
Office Hours
</t>
  </si>
  <si>
    <t>// Interview (Whatsapp) //
Too Young, Too Less Exp</t>
  </si>
  <si>
    <t xml:space="preserve">Game Developer
Onway Limited
JHK100003006434350
Negotiate
Office Time
</t>
  </si>
  <si>
    <t>// Interview (Whatsapp) // 
Too Young, Too Less Exp</t>
  </si>
  <si>
    <t xml:space="preserve">Game Designer
XIAO MA KE JI
HK 13000 / Month
0900 - 1800 Sha Tin
</t>
  </si>
  <si>
    <t>// Refused //
Suspected Job
Being "invited" by linkedin.</t>
  </si>
  <si>
    <t xml:space="preserve">Game Designer
Planet J
$14500 / Month Offer
Degree / Master Level 
0900 - 1800 Office Job
</t>
  </si>
  <si>
    <t xml:space="preserve">// Interviewed // at 29 11 2018
</t>
  </si>
  <si>
    <t xml:space="preserve">青協 珊姑約見
旺角青年就業起點
</t>
  </si>
  <si>
    <t>//不適用 N/A</t>
  </si>
  <si>
    <t>旺角青年就業起點
網絡安全講座 報名</t>
  </si>
  <si>
    <t>// 不適用 N/A</t>
  </si>
  <si>
    <t>12/1/2019 講座</t>
  </si>
  <si>
    <t>旺角青年就業起點
桌遊導師證書課程報名</t>
  </si>
  <si>
    <t xml:space="preserve">// 不適用 N/A
</t>
  </si>
  <si>
    <t>9/3/2019 遴選</t>
  </si>
  <si>
    <t xml:space="preserve">選民登記助理 41554
西貢民政事務處
$56.5 / Hour (Additional $3.6 per form; Ceil to $992 )
0900 - 2300pm (8Hours)
</t>
  </si>
  <si>
    <t>20022019 Interviewed
此工為派傳單；非寫字樓工</t>
  </si>
  <si>
    <t>葵芳青年就業起點
網絡安全講座</t>
  </si>
  <si>
    <t>葵芳青年就業起點
職業潛能評估</t>
  </si>
  <si>
    <t>城市大學 SCOPE
初級網頁設計人員基礎證書
筆試 面試</t>
  </si>
  <si>
    <t>通過 Pass</t>
  </si>
  <si>
    <t>遴選
葵芳青年就業起點
網絡安全 課程</t>
  </si>
  <si>
    <t>甲子園 展翅合辦
資訊科技助理證書課程</t>
  </si>
  <si>
    <t>12/2 [上] 行業介紹
[下] 小學英文 Printer / Desk
13/2 [上] Networking (Node)
[下] Gametools Documentation Reading
14/2 [上] Scratch(貓) Programming
[下] Windows Installation
15/2 [上] AppInventor 2
[下] Windows IME Config; Firewall Basic Config</t>
  </si>
  <si>
    <t xml:space="preserve">葵芳青年就業起點
中英文辦工室應用及打字比賽
</t>
  </si>
  <si>
    <t>4th?</t>
  </si>
  <si>
    <t xml:space="preserve">功輔班導師
青協黃寬洋青年空間
$112 / Hours
3pm - 5pm
</t>
  </si>
  <si>
    <t xml:space="preserve">功輔班導師
青協將軍澳青年空間
$75 / Hours 
3pm - 5pm
</t>
  </si>
  <si>
    <t xml:space="preserve">Teacher / Tutor
童行社
3pm - 4:30pm
$ 80 - 150 / Hours
</t>
  </si>
  <si>
    <t xml:space="preserve">Part-time Tutor TKO
One Plus one Educational Center
$50 - 70 / Hours
4pm - 8pm
</t>
  </si>
  <si>
    <t>// Interview Refused
跟本並非該區工作</t>
  </si>
  <si>
    <t>Cyberport Jobs Fair
Unity Game Developer (Analysis Programmer)
Anchor Point Limited
$23000 / Month
0900 - 1800</t>
  </si>
  <si>
    <t>Interviewed 11/03/2019
Js, JQuery, CSS, HTML, PhP (Mixture)
45 mins, open-book
Q1) Add two num
Q2) Add row on html but dont edit html
Q3) Add row and can add num
6 ppls; 1 master, 3 bsc, 2 hd
1 hd success, other fail
interviewer said "Test candidates are / aren't 正常人"</t>
  </si>
  <si>
    <t xml:space="preserve">Cyberport Jobs Fair
Unity Game Developer
ESport International Group
Not state salary
Not State working time
</t>
  </si>
  <si>
    <t>//Interviewed 11/3/2019
兩文三語見工 大陸公司
Q1) we want build a system that "related and similar" to CGA, Mong Kok? Do you have exp on web-based system development?
Q2) Do you have any exp on web-app development?</t>
  </si>
  <si>
    <t xml:space="preserve">Cyberport Jobs Fair
Internship of Developer
AVA Technology
Not state working time and salary
</t>
  </si>
  <si>
    <t xml:space="preserve">Cyberport Jobs Fair
Game Designer
Gamespace Limited
$15000 / Month
0900 - 1800 @Cyberport
</t>
  </si>
  <si>
    <t xml:space="preserve">Cyberport Jobs Fair
Game Developer
Gamespace Limited
$16500 / Month
0900 - 1800 @Cyberport
</t>
  </si>
  <si>
    <t xml:space="preserve">Teacher / Tutor
Baptist Oi Kwan Social Service HKE Family Dev Service CTR
$70 - $140 / Hours,  TKO
3pm - 6pm
</t>
  </si>
  <si>
    <t>替假</t>
  </si>
  <si>
    <t>遴選
葵芳青年就業起點
桌遊導師證書課程</t>
  </si>
  <si>
    <t>不成功</t>
  </si>
  <si>
    <t>民政事務總署
中文寫作比賽 2019</t>
  </si>
  <si>
    <t xml:space="preserve">Tutor
Beanstalk Education
$50 - $ 80 / Hours
2pm - 6pm
</t>
  </si>
  <si>
    <t>// Interviewed 14/3/2019
現代小學士 彩虹匯八坊
$ 65
// 試工 Refused
Too far, too low wage</t>
  </si>
  <si>
    <t xml:space="preserve">半職導師
名賢教育有限公司
$6000 - 7000
4pm - 8pm
</t>
  </si>
  <si>
    <t xml:space="preserve">Tutor
1+1 Education Lim TKO
$ 70 / Hour
3pm - 6pm
</t>
  </si>
  <si>
    <t xml:space="preserve">// Interview Refused
Too far away, too low wage
</t>
  </si>
  <si>
    <t xml:space="preserve">Teacher
德田補習學校
$55 - 70 / Hours
4pm - 8pm
</t>
  </si>
  <si>
    <t>// Phone Interview//
// 好忙//</t>
  </si>
  <si>
    <t xml:space="preserve">Maths Tutor
數研俊彥補習中心
$12000 - 14000 / Month
1:45pm - 8pm
</t>
  </si>
  <si>
    <t>Overqualified</t>
  </si>
  <si>
    <t>19/3/2019 Interview</t>
  </si>
  <si>
    <t xml:space="preserve">Maths Tutor
數研陽光(天晉)補習中心
$12000 - $15000 / Month
10 am - 7:45pm
</t>
  </si>
  <si>
    <t xml:space="preserve">合約文員 41517
大學教育資助委員會秘書處
$13435  / Month
Gov Office Hours
</t>
  </si>
  <si>
    <t xml:space="preserve">常務助理
政制及內地事務局--選舉事務處所屬
$12270 / Month
0900 - 1800
</t>
  </si>
  <si>
    <t>8/5/2019
收到申請覆函</t>
  </si>
  <si>
    <t>一級技術支援服務主任
炮台山金文泰中學
$15186 / Month
Gov Office Hours</t>
  </si>
  <si>
    <t>Expired</t>
  </si>
  <si>
    <t>CRE / BLT Application</t>
  </si>
  <si>
    <t>8 Apr 2019 Denied, lack of degree; but with appreciation with brave.</t>
  </si>
  <si>
    <t xml:space="preserve">合約文員
民政事務總處——專責事務組
$12170/Month
0900 - 1800
</t>
  </si>
  <si>
    <t>=9/5/2019
收到申請覆函</t>
  </si>
  <si>
    <t>沒有回應 -- No Respond</t>
  </si>
  <si>
    <t>CS</t>
  </si>
  <si>
    <t xml:space="preserve">Data Center Operations Assistant
HKEAA
Salary and working time not stated
Contract up to 31 Aug 2019
</t>
  </si>
  <si>
    <t xml:space="preserve">Denied by Family </t>
  </si>
  <si>
    <t xml:space="preserve">兼職中心助理 (將軍澳)
HKEAA 考評局
Salary and working time not stated
</t>
  </si>
  <si>
    <t xml:space="preserve">Internship of Assessment Technology and Research
HKEAA
Salary and working time not stated
</t>
  </si>
  <si>
    <t>WorldSkills 2019 Application
1) Game Level Programming
2) 3D Modelling and Art</t>
  </si>
  <si>
    <t xml:space="preserve">25 Apr 2019 -- Receive Application, Reviewing
</t>
  </si>
  <si>
    <t xml:space="preserve">項目統籌
觀塘民政事務署--民政事務總署
$15650 / Month
Gov Office Time
</t>
  </si>
  <si>
    <t xml:space="preserve">手機遊戲測試員
利達網絡有限公司 CR 2593244
Latersoft
$500 / Day
10am - 6pm
1wk working contract
</t>
  </si>
  <si>
    <t>23Apr2019 -- Interviewed by email
Q1) Played what game in list? Darksoul, bloodborne, dead rising, devil may cry.
Q2) PUBG Mobile, Identity 5, 崩3, Darkness Rise
Q3) PS4, XBOX, Switch, PS1, PS2, PS3, SuperNitendo, STUM, N64, NES
Q4) Android / IOS</t>
  </si>
  <si>
    <t>YETP office, Government Call-in
We have two jobs want to introduce to you.
I) Internship of Airplane Maintenance -- Chek Lap Kok --  $10840 / Month
II) Internship of Storage Operator (II) -- Yeun Long -- $9800 / Month</t>
  </si>
  <si>
    <t>//Refused
Too far away, and too low wage
Take too much travel expense and time</t>
  </si>
  <si>
    <t xml:space="preserve">圖書館助理
基督教宣道會宣基小學
$12000 - 13000
0800 - 1700 長短週
</t>
  </si>
  <si>
    <t>15 May 2019 -- Interviewed in Library</t>
  </si>
  <si>
    <t xml:space="preserve">常務助理
選舉事務處 政制及內地事務局
$12270 / Month
Gov Office Time
</t>
  </si>
  <si>
    <t>Letter of Application Acknowledgement</t>
  </si>
  <si>
    <t>41552
G8056</t>
  </si>
  <si>
    <t>合約文員 41565
專責事務組 民政事務總署
$12170 / Month
Gov Office Time</t>
  </si>
  <si>
    <t xml:space="preserve">Letter of Application Acknowledgement 038
</t>
  </si>
  <si>
    <t xml:space="preserve">Term Executive Assistant II/III
O/LVL/Term EA2_3/04/19
HKIVE (Lee Wai Lee)
Salary not stated (Offer $14000)
Working Time Not Stated
</t>
  </si>
  <si>
    <t>//Computer Skill Test on 8 May 2019 3:15pm
//Shortlisted
//Interviewed on 17 May 2019</t>
  </si>
  <si>
    <t>產品分類助理
VAC0113842
貿易發展局
$12000 / Month
Gov Office Time</t>
  </si>
  <si>
    <t>23 May 2019 -- 招聘日Interview</t>
  </si>
  <si>
    <t xml:space="preserve">網頁編輯員
VAC0113844
貿易發展局
$12000 / Month
Gov Office Time
</t>
  </si>
  <si>
    <t xml:space="preserve">Transport Services Assistant (I)
Transport Department, HKSARG
$ 13260 / Month
5 day; 44 hours
</t>
  </si>
  <si>
    <t>10/5/2019
Receive Acknowledgement of Application letter</t>
  </si>
  <si>
    <t>葵芳青年就業起點
管理及策略團隊培訓 桌遊活動
04/05/2019 1130-1830</t>
  </si>
  <si>
    <t>3 May 2019 因人數不足取消活動</t>
  </si>
  <si>
    <t xml:space="preserve">葵芳青年就業起點
CV360
11052019 1430-1630
</t>
  </si>
  <si>
    <t>撞期取消</t>
  </si>
  <si>
    <t>文員 41696
政府統計處--普查人口統計科/策劃科(I/II)/貿易資料處理組/住戶開支統計審查組
$13430
Gov Office Time</t>
  </si>
  <si>
    <t>Retail</t>
  </si>
  <si>
    <t>N/A</t>
  </si>
  <si>
    <t>電競實習支援計劃
查詢</t>
  </si>
  <si>
    <t>已完成 -- Completed</t>
  </si>
  <si>
    <t>電競實習支援計劃
CV 及 Supporting Doc Send via email</t>
  </si>
  <si>
    <t xml:space="preserve">HK Cantonese Linguistic Analyst
Wistron Information Tech and Service Limited
查冊 CR 0886150
$13000 - 15000
0900 - 1800 , 5day work bank hoilday
OT Pay, No exp reqire
</t>
  </si>
  <si>
    <t>Education</t>
  </si>
  <si>
    <t xml:space="preserve">電競實習支援計劃
履歷 及 相關文件翻譯工序
</t>
  </si>
  <si>
    <t>[Direct Call-in]
Bond-West Job Agency
Game Developer (Unity 3D)
$16000 (Non-nego, Offer)
10am - 7pm
12 Month + Bonus
(Jobs Ads can find on JobsDB Website)
(Agency and Client seeking candidates at same time)</t>
  </si>
  <si>
    <t>已婉拒 Refused</t>
  </si>
  <si>
    <t>文字版履歷表</t>
  </si>
  <si>
    <t>個人網頁 -- 第一試行版本</t>
  </si>
  <si>
    <t>Administrative Assistant
Labour Department
VAC0114092
$10400
0900 - 1800
Gov Office Time</t>
  </si>
  <si>
    <t>有出席面試機會 -- Interview Attended</t>
  </si>
  <si>
    <t xml:space="preserve">Photo Retoucher
Hong Kong Trade Development Council
VAC0113843
$12000
Gov Office Time
</t>
  </si>
  <si>
    <t xml:space="preserve">仍在發展 -- Developmenting
</t>
  </si>
  <si>
    <t>展翅青見計劃 -- 電子教。學支援計劃
申請</t>
  </si>
  <si>
    <t>仍在發展 -- Developmenting</t>
  </si>
  <si>
    <t>第44屆全港青年學藝大賽
全港青年翻譯比賽 18 - 19
參賽</t>
  </si>
  <si>
    <t>已出席 -- Partake</t>
  </si>
  <si>
    <t>電競實習支援計劃
履歷 及 相關文件翻譯工序
中英文翻譯對照版本</t>
  </si>
  <si>
    <t>資訊科技支援主任
觀塘官立小學(秀明道)
$19030
0845 - 1730
Gov Office Hour
Renewable Contact
(Interview on 27 May 2019)
(CST conducted on 27 May 2019)
(2nd Interview on 29 May 2019)</t>
  </si>
  <si>
    <t>有出席第二次面試機會 -- 2nd Interview Attended</t>
  </si>
  <si>
    <t xml:space="preserve">3rd Fresh Graduate Support Scheme
2019  -- 3rd CEO Master Talk
Job and Career Talk Show
</t>
  </si>
  <si>
    <t>Clerk</t>
  </si>
  <si>
    <t>Other</t>
  </si>
  <si>
    <t>大材小用 -- Overqualified</t>
  </si>
  <si>
    <t>聘用 -- Hired</t>
  </si>
  <si>
    <t>Interviewed</t>
  </si>
  <si>
    <t>//Interview (Phone) 
and Direct//</t>
  </si>
  <si>
    <t>CST Conducted
1st Interviewed
2nd Interviewed
12/6/2017  First Testing on Office sector skills
18/6/2017 Second interview for principal meeting
Question : 1) How do you organize a school event's traveling issue?
2) How many "W" does projector light bulb needs?
3) How much experiences for AV Audio and Visual system
 for school hall technician room does you have?</t>
  </si>
  <si>
    <t>This Post only for Form 6 NSS Students</t>
  </si>
  <si>
    <t>Game</t>
  </si>
  <si>
    <t>//Interviewed
Too far away</t>
  </si>
  <si>
    <t>Government</t>
  </si>
  <si>
    <t>// Interviewed (Phone)// *3</t>
  </si>
  <si>
    <t>質疑宗教與個人能力之間的關係 -- Religion Related</t>
  </si>
  <si>
    <t>Booking for interview 
(Refused, too far away from home)</t>
  </si>
  <si>
    <t>職缺已填補 -- No Vacancies</t>
  </si>
  <si>
    <t>Too Young no employ</t>
  </si>
  <si>
    <t>Too Young, Too Less Exp</t>
  </si>
  <si>
    <t>Parttake-Event</t>
  </si>
  <si>
    <t>Suspected Job
Being "invited" by linkedin.</t>
  </si>
  <si>
    <t>Game Designer
Planet J
$14500 / Month Offer
Degree / Master Level 
0900 - 1800 Office Job</t>
  </si>
  <si>
    <t>29 11 2018</t>
  </si>
  <si>
    <t>IT</t>
  </si>
  <si>
    <t xml:space="preserve">[Invited]
Programmer
BIAO XI Technology Limited
Missing Salary
Missing Working Time
</t>
  </si>
  <si>
    <t>此工為派傳單；非寫字樓工
20022019 Interviewed</t>
  </si>
  <si>
    <t>Academic</t>
  </si>
  <si>
    <t>家人拒絕 -- Family Refused</t>
  </si>
  <si>
    <t>中途沒再上
12/2 [上] 行業介紹
[下] 小學英文 Printer / Desk
13/2 [上] Networking (Node)
[下] Gametools Documentation Reading
14/2 [上] Scratch(貓) Programming
[下] Windows Installation
15/2 [上] AppInventor 2
[下] Windows IME Config; Firewall Basic Config</t>
  </si>
  <si>
    <t>跟本並非該區工作</t>
  </si>
  <si>
    <t>Js, JQuery, CSS, HTML, PhP (Mixture)
45 mins, open-book
Q1) Add two num
Q2) Add row on html but dont edit html
Q3) Add row and can add num
6 ppls; 1 master, 3 bsc, 2 hd
1 hd success, other fail
interviewer said "Test candidates are / aren't 正常人"
Interviewed 11/03/2019</t>
  </si>
  <si>
    <t>兩文三語見工 大陸公司
Q1) we want build a system that "related and similar" to CGA, Mong Kok? 
Do you have exp on web-based system development?
Q2) Do you have any exp on web-app development?
//Interviewed 2/3/2019</t>
  </si>
  <si>
    <t>不通過 Fail</t>
  </si>
  <si>
    <t>現代小學士 彩虹匯八坊
$ 65
Too far, too low wage
跟本並非該區工作</t>
  </si>
  <si>
    <t>Too far away, too low wage
跟本並非該區工作</t>
  </si>
  <si>
    <t>// 好忙//</t>
  </si>
  <si>
    <t>已收到申請 Acknowledgement of Application</t>
  </si>
  <si>
    <t>Letter of Application Acknowledgement
11/6/2019
Interview and Computer Skill Test
(13/F, KITEC)</t>
  </si>
  <si>
    <t>主辦方拒絕 Host Rejected</t>
  </si>
  <si>
    <t>=9/5/2019
收到申請覆函</t>
  </si>
  <si>
    <t xml:space="preserve">Letter of Application Acknowledgement 038
</t>
  </si>
  <si>
    <t>//Computer Skill Test on 8 May 2019 3:15pm
//Shortlisted
//Interviewed on 17 May 2019</t>
  </si>
  <si>
    <t>25 Apr 2019 -- 
Receive Application, Reviewing</t>
  </si>
  <si>
    <t>23Apr2019 -- Interviewed by email
Q1) Played what game in list? 
Darksoul, bloodborne, dead rising, devil may cry.
Q2) PUBG Mobile, Identity 5, 崩3, Darkness Rise
Q3) PS4, XBOX, Switch, 
PS1, PS2, PS3, SuperNitendo, STUM, N64, NES
Q4) Android / IOS</t>
  </si>
  <si>
    <t>Too far away, and too low wage
Take too much travel expense and time</t>
  </si>
  <si>
    <t>主動取消 Cancelled (Self)</t>
  </si>
  <si>
    <t>文員 41696
政府統計處--普查人口統計科/
策劃科(I/II)/貿易資料處理組/住戶開支統計審查組
$13430
Gov Office Time</t>
  </si>
  <si>
    <t>24 May 2019 -- 招聘日Interview</t>
  </si>
  <si>
    <t>10/5/2019
Receive Acknowledgement of Application letter
000037</t>
  </si>
  <si>
    <t>主辦取消 Cancelled (Org)</t>
  </si>
  <si>
    <t xml:space="preserve">[Direct Call-in]
Bond-West Job Agency
Game Developer (Unity 3D)
$16000 (Non-nego, Offer)
10am - 7pm
12 Month + Bonus
</t>
  </si>
  <si>
    <t>(Jobs Ads can find on JobsDB Website)
(Agency and Client seeking candidates at same time)</t>
  </si>
  <si>
    <t xml:space="preserve">資訊科技支援主任
觀塘官立小學(秀明道)
$19030
0845 - 1730
Gov Office Hour
Renewable Contact
</t>
  </si>
  <si>
    <t xml:space="preserve">
(Interview on 27 May 2019)
(CST conducted on 27 May 2019)
(2nd Interview on 29 May 2019)</t>
  </si>
  <si>
    <t>申請</t>
  </si>
  <si>
    <t>參賽</t>
  </si>
  <si>
    <t>中英文翻譯對照版本</t>
  </si>
  <si>
    <t>Dashboard</t>
  </si>
  <si>
    <t>事業發展及求職紀錄 自助查詢系統</t>
  </si>
  <si>
    <t>由 (日期)</t>
  </si>
  <si>
    <t>更改搜索條件，修改上下兩個綠色方塊日期即可。無需登入。   ＊格式為年月日。</t>
  </si>
  <si>
    <t>至 (日期)</t>
  </si>
  <si>
    <t>已查到相關記錄</t>
  </si>
  <si>
    <t>詳細相關記錄 (大部分順序列出)</t>
  </si>
  <si>
    <t>編號
TranID</t>
  </si>
  <si>
    <t>To nelson :
dont edit query function
 below (forall)18
otherwise g9g.
nelson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</si>
</sst>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m/d/yyyy h:mm:ss"/>
    <numFmt numFmtId="166" formatCode="mm/dd/yyyy"/>
    <numFmt numFmtId="167" formatCode="m/d/yyyy"/>
    <numFmt numFmtId="168" formatCode="yyyy-mm-dd"/>
  </numFmts>
  <fonts count="19">
    <font>
      <sz val="10.0"/>
      <color rgb="FF000000"/>
      <name val="Arial"/>
    </font>
    <font>
      <sz val="12.0"/>
    </font>
    <font>
      <b/>
      <sz val="6.0"/>
    </font>
    <font>
      <sz val="8.0"/>
    </font>
    <font>
      <sz val="10.0"/>
    </font>
    <font>
      <b/>
      <sz val="12.0"/>
    </font>
    <font>
      <b/>
      <sz val="12.0"/>
      <color rgb="FF000000"/>
      <name val="Arial"/>
    </font>
    <font/>
    <font>
      <sz val="11.0"/>
    </font>
    <font>
      <color rgb="FF000000"/>
      <name val="Arial"/>
    </font>
    <font>
      <sz val="11.0"/>
      <color rgb="FF000000"/>
      <name val="Arial"/>
    </font>
    <font>
      <sz val="12.0"/>
      <color rgb="FF000000"/>
      <name val="Arial"/>
    </font>
    <font>
      <sz val="8.0"/>
      <color rgb="FF000000"/>
      <name val="Arial"/>
    </font>
    <font>
      <sz val="24.0"/>
    </font>
    <font>
      <b/>
      <sz val="18.0"/>
    </font>
    <font>
      <b/>
      <sz val="24.0"/>
    </font>
    <font>
      <b/>
      <sz val="18.0"/>
      <name val="Lato"/>
    </font>
    <font>
      <b/>
      <sz val="14.0"/>
    </font>
    <font>
      <sz val="24.0"/>
      <name val="Arial Black"/>
    </font>
  </fonts>
  <fills count="8">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78909C"/>
        <bgColor rgb="FF78909C"/>
      </patternFill>
    </fill>
    <fill>
      <patternFill patternType="solid">
        <fgColor rgb="FFEBEFF1"/>
        <bgColor rgb="FFEBEFF1"/>
      </patternFill>
    </fill>
    <fill>
      <patternFill patternType="solid">
        <fgColor rgb="FF000000"/>
        <bgColor rgb="FF000000"/>
      </patternFill>
    </fill>
    <fill>
      <patternFill patternType="solid">
        <fgColor rgb="FFF4CCCC"/>
        <bgColor rgb="FFF4CCCC"/>
      </patternFill>
    </fill>
  </fills>
  <borders count="12">
    <border/>
    <border>
      <right style="thick">
        <color rgb="FF000000"/>
      </right>
    </border>
    <border>
      <bottom style="thick">
        <color rgb="FF000000"/>
      </bottom>
    </border>
    <border>
      <top style="thick">
        <color rgb="FF000000"/>
      </top>
    </border>
    <border>
      <right style="thick">
        <color rgb="FF000000"/>
      </right>
      <top style="thick">
        <color rgb="FF000000"/>
      </top>
    </border>
    <border>
      <right style="thick">
        <color rgb="FF000000"/>
      </right>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left style="thick">
        <color rgb="FF000000"/>
      </left>
      <bottom style="thick">
        <color rgb="FF000000"/>
      </bottom>
    </border>
    <border>
      <left style="thick">
        <color rgb="FF000000"/>
      </left>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readingOrder="0"/>
    </xf>
    <xf borderId="0" fillId="0" fontId="1" numFmtId="164" xfId="0" applyAlignment="1" applyFont="1" applyNumberFormat="1">
      <alignment horizontal="center"/>
    </xf>
    <xf borderId="0" fillId="0" fontId="2" numFmtId="0" xfId="0" applyAlignment="1" applyFont="1">
      <alignment horizontal="center"/>
    </xf>
    <xf borderId="0" fillId="0" fontId="1" numFmtId="0" xfId="0" applyAlignment="1" applyFont="1">
      <alignment horizontal="left"/>
    </xf>
    <xf borderId="0" fillId="0" fontId="2" numFmtId="0" xfId="0" applyFont="1"/>
    <xf borderId="0" fillId="0" fontId="1" numFmtId="0" xfId="0" applyAlignment="1" applyFont="1">
      <alignment horizontal="center"/>
    </xf>
    <xf borderId="0" fillId="0" fontId="2" numFmtId="0" xfId="0" applyAlignment="1" applyFont="1">
      <alignment readingOrder="0"/>
    </xf>
    <xf borderId="0" fillId="2" fontId="3" numFmtId="0" xfId="0" applyFill="1" applyFont="1"/>
    <xf borderId="0" fillId="3" fontId="4" numFmtId="165" xfId="0" applyAlignment="1" applyFill="1" applyFont="1" applyNumberFormat="1">
      <alignment horizontal="center" readingOrder="0"/>
    </xf>
    <xf borderId="0" fillId="2" fontId="1" numFmtId="0" xfId="0" applyFont="1"/>
    <xf borderId="0" fillId="3" fontId="4" numFmtId="14" xfId="0" applyAlignment="1" applyFont="1" applyNumberFormat="1">
      <alignment horizontal="center" readingOrder="0"/>
    </xf>
    <xf borderId="0" fillId="3" fontId="4" numFmtId="0" xfId="0" applyAlignment="1" applyFont="1">
      <alignment readingOrder="0"/>
    </xf>
    <xf borderId="1" fillId="2" fontId="1" numFmtId="0" xfId="0" applyBorder="1" applyFont="1"/>
    <xf borderId="0" fillId="4" fontId="5" numFmtId="0" xfId="0" applyAlignment="1" applyFill="1" applyFont="1">
      <alignment horizontal="center" readingOrder="0"/>
    </xf>
    <xf borderId="0" fillId="4" fontId="5" numFmtId="164" xfId="0" applyAlignment="1" applyFont="1" applyNumberFormat="1">
      <alignment horizontal="center" readingOrder="0"/>
    </xf>
    <xf borderId="0" fillId="4" fontId="6" numFmtId="0" xfId="0" applyAlignment="1" applyFont="1">
      <alignment horizontal="left" readingOrder="0"/>
    </xf>
    <xf borderId="0" fillId="3" fontId="7" numFmtId="165" xfId="0" applyAlignment="1" applyFont="1" applyNumberFormat="1">
      <alignment horizontal="center" readingOrder="0"/>
    </xf>
    <xf borderId="1" fillId="4" fontId="5" numFmtId="0" xfId="0" applyAlignment="1" applyBorder="1" applyFont="1">
      <alignment horizontal="center" readingOrder="0"/>
    </xf>
    <xf borderId="0" fillId="3" fontId="7" numFmtId="14" xfId="0" applyAlignment="1" applyFont="1" applyNumberFormat="1">
      <alignment horizontal="center" readingOrder="0"/>
    </xf>
    <xf borderId="0" fillId="3" fontId="7" numFmtId="0" xfId="0" applyAlignment="1" applyFont="1">
      <alignment readingOrder="0"/>
    </xf>
    <xf borderId="0" fillId="4" fontId="6" numFmtId="0" xfId="0" applyAlignment="1" applyFont="1">
      <alignment horizontal="center" readingOrder="0"/>
    </xf>
    <xf borderId="2" fillId="3" fontId="4" numFmtId="166" xfId="0" applyAlignment="1" applyBorder="1" applyFont="1" applyNumberFormat="1">
      <alignment horizontal="center" readingOrder="0"/>
    </xf>
    <xf borderId="0" fillId="2" fontId="1" numFmtId="0" xfId="0" applyAlignment="1" applyFont="1">
      <alignment horizontal="center" readingOrder="0"/>
    </xf>
    <xf borderId="2" fillId="3" fontId="4" numFmtId="164" xfId="0" applyAlignment="1" applyBorder="1" applyFont="1" applyNumberFormat="1">
      <alignment horizontal="center" readingOrder="0"/>
    </xf>
    <xf borderId="0" fillId="2" fontId="1" numFmtId="164" xfId="0" applyAlignment="1" applyFont="1" applyNumberFormat="1">
      <alignment horizontal="center" readingOrder="0"/>
    </xf>
    <xf borderId="0" fillId="2" fontId="1" numFmtId="0" xfId="0" applyAlignment="1" applyFont="1">
      <alignment horizontal="left" readingOrder="0"/>
    </xf>
    <xf borderId="2" fillId="3" fontId="4" numFmtId="0" xfId="0" applyAlignment="1" applyBorder="1" applyFont="1">
      <alignment horizontal="left" readingOrder="0"/>
    </xf>
    <xf borderId="0" fillId="2" fontId="3" numFmtId="0" xfId="0" applyAlignment="1" applyFont="1">
      <alignment horizontal="center" readingOrder="0"/>
    </xf>
    <xf borderId="2" fillId="3" fontId="4" numFmtId="0" xfId="0" applyAlignment="1" applyBorder="1" applyFont="1">
      <alignment horizontal="right" readingOrder="0"/>
    </xf>
    <xf borderId="0" fillId="2" fontId="8" numFmtId="0" xfId="0" applyAlignment="1" applyFont="1">
      <alignment horizontal="center" readingOrder="0"/>
    </xf>
    <xf borderId="0" fillId="3" fontId="7" numFmtId="165" xfId="0" applyAlignment="1" applyFont="1" applyNumberFormat="1">
      <alignment readingOrder="0"/>
    </xf>
    <xf borderId="1" fillId="2" fontId="8" numFmtId="0" xfId="0" applyAlignment="1" applyBorder="1" applyFont="1">
      <alignment horizontal="center" readingOrder="0"/>
    </xf>
    <xf borderId="0" fillId="3" fontId="7" numFmtId="0" xfId="0" applyFont="1"/>
    <xf borderId="1" fillId="2" fontId="7" numFmtId="0" xfId="0" applyBorder="1" applyFont="1"/>
    <xf borderId="0" fillId="2" fontId="7" numFmtId="0" xfId="0" applyFont="1"/>
    <xf borderId="0" fillId="3" fontId="9" numFmtId="0" xfId="0" applyAlignment="1" applyFont="1">
      <alignment horizontal="left" readingOrder="0"/>
    </xf>
    <xf borderId="0" fillId="5" fontId="1" numFmtId="0" xfId="0" applyAlignment="1" applyFill="1" applyFont="1">
      <alignment horizontal="center" readingOrder="0"/>
    </xf>
    <xf borderId="0" fillId="5" fontId="1" numFmtId="164" xfId="0" applyAlignment="1" applyFont="1" applyNumberFormat="1">
      <alignment horizontal="center" readingOrder="0"/>
    </xf>
    <xf borderId="0" fillId="5" fontId="1" numFmtId="0" xfId="0" applyAlignment="1" applyFont="1">
      <alignment horizontal="left" readingOrder="0"/>
    </xf>
    <xf borderId="0" fillId="5" fontId="3" numFmtId="0" xfId="0" applyAlignment="1" applyFont="1">
      <alignment horizontal="center" readingOrder="0"/>
    </xf>
    <xf borderId="0" fillId="5" fontId="10" numFmtId="0" xfId="0" applyAlignment="1" applyFont="1">
      <alignment horizontal="center" readingOrder="0"/>
    </xf>
    <xf borderId="1" fillId="5" fontId="8" numFmtId="0" xfId="0" applyAlignment="1" applyBorder="1" applyFont="1">
      <alignment horizontal="center" readingOrder="0"/>
    </xf>
    <xf borderId="0" fillId="5" fontId="8" numFmtId="0" xfId="0" applyAlignment="1" applyFont="1">
      <alignment horizontal="center" readingOrder="0"/>
    </xf>
    <xf borderId="1" fillId="5" fontId="7" numFmtId="0" xfId="0" applyBorder="1" applyFont="1"/>
    <xf borderId="0" fillId="5" fontId="7" numFmtId="0" xfId="0" applyFont="1"/>
    <xf borderId="0" fillId="5" fontId="11" numFmtId="167" xfId="0" applyAlignment="1" applyFont="1" applyNumberFormat="1">
      <alignment horizontal="center" readingOrder="0"/>
    </xf>
    <xf quotePrefix="1" borderId="0" fillId="3" fontId="7" numFmtId="0" xfId="0" applyAlignment="1" applyFont="1">
      <alignment readingOrder="0"/>
    </xf>
    <xf borderId="0" fillId="3" fontId="7" numFmtId="14" xfId="0" applyAlignment="1" applyFont="1" applyNumberFormat="1">
      <alignment readingOrder="0"/>
    </xf>
    <xf borderId="3" fillId="3" fontId="7" numFmtId="165" xfId="0" applyAlignment="1" applyBorder="1" applyFont="1" applyNumberFormat="1">
      <alignment readingOrder="0"/>
    </xf>
    <xf borderId="0" fillId="2" fontId="1" numFmtId="164" xfId="0" applyAlignment="1" applyFont="1" applyNumberFormat="1">
      <alignment horizontal="center" readingOrder="0"/>
    </xf>
    <xf borderId="0" fillId="2" fontId="12" numFmtId="0" xfId="0" applyAlignment="1" applyFont="1">
      <alignment horizontal="center" readingOrder="0"/>
    </xf>
    <xf borderId="0" fillId="2" fontId="1" numFmtId="0" xfId="0" applyAlignment="1" applyFont="1">
      <alignment readingOrder="0"/>
    </xf>
    <xf borderId="3" fillId="3" fontId="7" numFmtId="14" xfId="0" applyAlignment="1" applyBorder="1" applyFont="1" applyNumberFormat="1">
      <alignment readingOrder="0"/>
    </xf>
    <xf borderId="3" fillId="3" fontId="7" numFmtId="0" xfId="0" applyAlignment="1" applyBorder="1" applyFont="1">
      <alignment readingOrder="0"/>
    </xf>
    <xf borderId="3" fillId="3" fontId="9" numFmtId="0" xfId="0" applyAlignment="1" applyBorder="1" applyFont="1">
      <alignment horizontal="left" readingOrder="0"/>
    </xf>
    <xf borderId="3" fillId="3" fontId="7" numFmtId="0" xfId="0" applyBorder="1" applyFont="1"/>
    <xf borderId="0" fillId="5" fontId="12" numFmtId="0" xfId="0" applyAlignment="1" applyFont="1">
      <alignment horizontal="center" readingOrder="0"/>
    </xf>
    <xf borderId="0" fillId="5" fontId="1" numFmtId="0" xfId="0" applyAlignment="1" applyFont="1">
      <alignment readingOrder="0"/>
    </xf>
    <xf borderId="0" fillId="6" fontId="7" numFmtId="165" xfId="0" applyAlignment="1" applyFill="1" applyFont="1" applyNumberFormat="1">
      <alignment horizontal="center" readingOrder="0"/>
    </xf>
    <xf borderId="0" fillId="6" fontId="7" numFmtId="14" xfId="0" applyAlignment="1" applyFont="1" applyNumberFormat="1">
      <alignment horizontal="center" readingOrder="0"/>
    </xf>
    <xf borderId="0" fillId="6" fontId="7" numFmtId="0" xfId="0" applyAlignment="1" applyFont="1">
      <alignment readingOrder="0"/>
    </xf>
    <xf borderId="0" fillId="6" fontId="7" numFmtId="0" xfId="0" applyFont="1"/>
    <xf borderId="0" fillId="5" fontId="11" numFmtId="164" xfId="0" applyAlignment="1" applyFont="1" applyNumberFormat="1">
      <alignment horizontal="center" readingOrder="0"/>
    </xf>
    <xf borderId="0" fillId="5" fontId="11" numFmtId="0" xfId="0" applyAlignment="1" applyFont="1">
      <alignment horizontal="center" readingOrder="0"/>
    </xf>
    <xf borderId="3" fillId="5" fontId="1" numFmtId="0" xfId="0" applyAlignment="1" applyBorder="1" applyFont="1">
      <alignment horizontal="center" readingOrder="0"/>
    </xf>
    <xf borderId="3" fillId="5" fontId="1" numFmtId="164" xfId="0" applyAlignment="1" applyBorder="1" applyFont="1" applyNumberFormat="1">
      <alignment horizontal="center" readingOrder="0"/>
    </xf>
    <xf borderId="3" fillId="5" fontId="1" numFmtId="0" xfId="0" applyAlignment="1" applyBorder="1" applyFont="1">
      <alignment horizontal="left" readingOrder="0"/>
    </xf>
    <xf borderId="3" fillId="5" fontId="12" numFmtId="0" xfId="0" applyAlignment="1" applyBorder="1" applyFont="1">
      <alignment horizontal="center" readingOrder="0"/>
    </xf>
    <xf borderId="3" fillId="5" fontId="8" numFmtId="0" xfId="0" applyAlignment="1" applyBorder="1" applyFont="1">
      <alignment horizontal="center" readingOrder="0"/>
    </xf>
    <xf borderId="4" fillId="5" fontId="8" numFmtId="0" xfId="0" applyAlignment="1" applyBorder="1" applyFont="1">
      <alignment horizontal="center" readingOrder="0"/>
    </xf>
    <xf borderId="4" fillId="5" fontId="7" numFmtId="0" xfId="0" applyBorder="1" applyFont="1"/>
    <xf borderId="3" fillId="5" fontId="7" numFmtId="0" xfId="0" applyBorder="1" applyFont="1"/>
    <xf borderId="0" fillId="2" fontId="1" numFmtId="0" xfId="0" applyAlignment="1" applyFont="1">
      <alignment horizontal="center" readingOrder="0"/>
    </xf>
    <xf borderId="0" fillId="5" fontId="5" numFmtId="0" xfId="0" applyAlignment="1" applyFont="1">
      <alignment horizontal="center" readingOrder="0"/>
    </xf>
    <xf quotePrefix="1" borderId="0" fillId="5" fontId="3" numFmtId="0" xfId="0" applyAlignment="1" applyFont="1">
      <alignment horizontal="center" readingOrder="0"/>
    </xf>
    <xf borderId="0" fillId="2" fontId="6" numFmtId="0" xfId="0" applyAlignment="1" applyFont="1">
      <alignment horizontal="center" readingOrder="0"/>
    </xf>
    <xf borderId="0" fillId="2" fontId="5" numFmtId="0" xfId="0" applyAlignment="1" applyFont="1">
      <alignment horizontal="center" readingOrder="0"/>
    </xf>
    <xf borderId="0" fillId="5" fontId="1" numFmtId="0" xfId="0" applyAlignment="1" applyFont="1">
      <alignment horizontal="left" readingOrder="0"/>
    </xf>
    <xf borderId="0" fillId="5" fontId="1" numFmtId="0" xfId="0" applyAlignment="1" applyFont="1">
      <alignment horizontal="center" readingOrder="0"/>
    </xf>
    <xf borderId="0" fillId="2" fontId="1" numFmtId="0" xfId="0" applyAlignment="1" applyFont="1">
      <alignment horizontal="left" readingOrder="0"/>
    </xf>
    <xf borderId="0" fillId="2" fontId="1" numFmtId="0" xfId="0" applyAlignment="1" applyFont="1">
      <alignment horizontal="center" readingOrder="0"/>
    </xf>
    <xf borderId="0" fillId="5" fontId="3" numFmtId="0" xfId="0" applyAlignment="1" applyFont="1">
      <alignment readingOrder="0"/>
    </xf>
    <xf borderId="0" fillId="2" fontId="3" numFmtId="0" xfId="0" applyAlignment="1" applyFont="1">
      <alignment readingOrder="0"/>
    </xf>
    <xf borderId="2" fillId="5" fontId="1" numFmtId="0" xfId="0" applyAlignment="1" applyBorder="1" applyFont="1">
      <alignment horizontal="center" readingOrder="0"/>
    </xf>
    <xf borderId="2" fillId="5" fontId="1" numFmtId="164" xfId="0" applyAlignment="1" applyBorder="1" applyFont="1" applyNumberFormat="1">
      <alignment horizontal="center" readingOrder="0"/>
    </xf>
    <xf borderId="2" fillId="5" fontId="1" numFmtId="0" xfId="0" applyAlignment="1" applyBorder="1" applyFont="1">
      <alignment horizontal="left" readingOrder="0"/>
    </xf>
    <xf borderId="2" fillId="5" fontId="3" numFmtId="0" xfId="0" applyAlignment="1" applyBorder="1" applyFont="1">
      <alignment horizontal="center" readingOrder="0"/>
    </xf>
    <xf borderId="2" fillId="5" fontId="8" numFmtId="0" xfId="0" applyAlignment="1" applyBorder="1" applyFont="1">
      <alignment horizontal="center" readingOrder="0"/>
    </xf>
    <xf borderId="5" fillId="5" fontId="8" numFmtId="0" xfId="0" applyAlignment="1" applyBorder="1" applyFont="1">
      <alignment horizontal="center" readingOrder="0"/>
    </xf>
    <xf borderId="5" fillId="5" fontId="7" numFmtId="0" xfId="0" applyBorder="1" applyFont="1"/>
    <xf borderId="2" fillId="5" fontId="7" numFmtId="0" xfId="0" applyBorder="1" applyFont="1"/>
    <xf borderId="0" fillId="2" fontId="1" numFmtId="164" xfId="0" applyAlignment="1" applyFont="1" applyNumberFormat="1">
      <alignment horizontal="center"/>
    </xf>
    <xf borderId="0" fillId="2" fontId="1" numFmtId="0" xfId="0" applyAlignment="1" applyFont="1">
      <alignment horizontal="left"/>
    </xf>
    <xf borderId="0" fillId="2" fontId="1" numFmtId="0" xfId="0" applyAlignment="1" applyFont="1">
      <alignment horizontal="center"/>
    </xf>
    <xf borderId="0" fillId="0" fontId="13" numFmtId="0" xfId="0" applyAlignment="1" applyFont="1">
      <alignment readingOrder="0"/>
    </xf>
    <xf borderId="0" fillId="0" fontId="3" numFmtId="0" xfId="0" applyFont="1"/>
    <xf borderId="6" fillId="0" fontId="14" numFmtId="0" xfId="0" applyAlignment="1" applyBorder="1" applyFont="1">
      <alignment horizontal="center" readingOrder="0"/>
    </xf>
    <xf borderId="7" fillId="0" fontId="7" numFmtId="0" xfId="0" applyBorder="1" applyFont="1"/>
    <xf borderId="8" fillId="0" fontId="7" numFmtId="0" xfId="0" applyBorder="1" applyFont="1"/>
    <xf borderId="0" fillId="6" fontId="3" numFmtId="0" xfId="0" applyFont="1"/>
    <xf borderId="6" fillId="0" fontId="15" numFmtId="0" xfId="0" applyAlignment="1" applyBorder="1" applyFont="1">
      <alignment horizontal="center" readingOrder="0"/>
    </xf>
    <xf borderId="9" fillId="0" fontId="16" numFmtId="0" xfId="0" applyAlignment="1" applyBorder="1" applyFont="1">
      <alignment horizontal="center" readingOrder="0"/>
    </xf>
    <xf borderId="4" fillId="0" fontId="7" numFmtId="0" xfId="0" applyBorder="1" applyFont="1"/>
    <xf borderId="9" fillId="3" fontId="15" numFmtId="168" xfId="0" applyAlignment="1" applyBorder="1" applyFont="1" applyNumberFormat="1">
      <alignment horizontal="center" readingOrder="0"/>
    </xf>
    <xf borderId="10" fillId="0" fontId="7" numFmtId="0" xfId="0" applyBorder="1" applyFont="1"/>
    <xf borderId="5" fillId="0" fontId="7" numFmtId="0" xfId="0" applyBorder="1" applyFont="1"/>
    <xf borderId="0" fillId="7" fontId="17" numFmtId="0" xfId="0" applyAlignment="1" applyFill="1" applyFont="1">
      <alignment horizontal="center" readingOrder="0"/>
    </xf>
    <xf borderId="0" fillId="0" fontId="17" numFmtId="0" xfId="0" applyFont="1"/>
    <xf borderId="9" fillId="0" fontId="14" numFmtId="0" xfId="0" applyAlignment="1" applyBorder="1" applyFont="1">
      <alignment horizontal="center" readingOrder="0"/>
    </xf>
    <xf borderId="9" fillId="0" fontId="18" numFmtId="0" xfId="0" applyAlignment="1" applyBorder="1" applyFont="1">
      <alignment horizontal="center"/>
    </xf>
    <xf borderId="0" fillId="0" fontId="17" numFmtId="0" xfId="0" applyAlignment="1" applyFont="1">
      <alignment horizontal="center" readingOrder="0"/>
    </xf>
    <xf borderId="7" fillId="0" fontId="14" numFmtId="0" xfId="0" applyAlignment="1" applyBorder="1" applyFont="1">
      <alignment horizontal="center" readingOrder="0"/>
    </xf>
    <xf borderId="5" fillId="0" fontId="5" numFmtId="0" xfId="0" applyAlignment="1" applyBorder="1" applyFont="1">
      <alignment horizontal="center" readingOrder="0"/>
    </xf>
    <xf borderId="5" fillId="0" fontId="5" numFmtId="164" xfId="0" applyAlignment="1" applyBorder="1" applyFont="1" applyNumberFormat="1">
      <alignment horizontal="center" readingOrder="0"/>
    </xf>
    <xf borderId="2" fillId="2" fontId="6" numFmtId="0" xfId="0" applyAlignment="1" applyBorder="1" applyFont="1">
      <alignment horizontal="center" readingOrder="0"/>
    </xf>
    <xf borderId="10" fillId="0" fontId="5" numFmtId="0" xfId="0" applyAlignment="1" applyBorder="1" applyFont="1">
      <alignment horizontal="center" readingOrder="0"/>
    </xf>
    <xf borderId="5" fillId="2" fontId="17" numFmtId="0" xfId="0" applyAlignment="1" applyBorder="1" applyFont="1">
      <alignment horizontal="center" readingOrder="0"/>
    </xf>
    <xf borderId="2" fillId="2" fontId="5" numFmtId="0" xfId="0" applyAlignment="1" applyBorder="1" applyFont="1">
      <alignment horizontal="center" readingOrder="0"/>
    </xf>
    <xf borderId="0" fillId="0" fontId="7" numFmtId="0" xfId="0" applyAlignment="1" applyFont="1">
      <alignment readingOrder="0"/>
    </xf>
    <xf borderId="1" fillId="0" fontId="1" numFmtId="0" xfId="0" applyAlignment="1" applyBorder="1" applyFont="1">
      <alignment horizontal="center"/>
    </xf>
    <xf borderId="1" fillId="0" fontId="1" numFmtId="164" xfId="0" applyAlignment="1" applyBorder="1" applyFont="1" applyNumberFormat="1">
      <alignment horizontal="center"/>
    </xf>
    <xf borderId="0" fillId="0" fontId="1" numFmtId="0" xfId="0" applyAlignment="1" applyFont="1">
      <alignment horizontal="center"/>
    </xf>
    <xf borderId="11" fillId="0" fontId="1" numFmtId="0" xfId="0" applyAlignment="1" applyBorder="1" applyFont="1">
      <alignment horizontal="center"/>
    </xf>
    <xf borderId="1" fillId="0" fontId="3" numFmtId="0" xfId="0" applyAlignment="1" applyBorder="1" applyFont="1">
      <alignment horizontal="center"/>
    </xf>
    <xf borderId="1" fillId="2" fontId="1" numFmtId="0" xfId="0" applyAlignment="1" applyBorder="1" applyFont="1">
      <alignment horizontal="center"/>
    </xf>
    <xf borderId="1" fillId="2" fontId="1" numFmtId="164" xfId="0" applyAlignment="1" applyBorder="1" applyFont="1" applyNumberFormat="1">
      <alignment horizontal="center"/>
    </xf>
    <xf borderId="0" fillId="2" fontId="1" numFmtId="0" xfId="0" applyAlignment="1" applyFont="1">
      <alignment horizontal="center"/>
    </xf>
    <xf borderId="11" fillId="2" fontId="1" numFmtId="0" xfId="0" applyAlignment="1" applyBorder="1" applyFont="1">
      <alignment horizontal="center"/>
    </xf>
    <xf borderId="1" fillId="2" fontId="3" numFmtId="0" xfId="0" applyAlignment="1" applyBorder="1" applyFont="1">
      <alignment horizontal="center"/>
    </xf>
  </cellXfs>
  <cellStyles count="1">
    <cellStyle xfId="0" name="Normal" builtinId="0"/>
  </cellStyles>
  <dxfs count="19">
    <dxf>
      <font>
        <b/>
      </font>
      <fill>
        <patternFill patternType="solid">
          <fgColor rgb="FF00FF00"/>
          <bgColor rgb="FF00FF00"/>
        </patternFill>
      </fill>
      <border/>
    </dxf>
    <dxf>
      <font>
        <b/>
      </font>
      <fill>
        <patternFill patternType="solid">
          <fgColor rgb="FFFF0000"/>
          <bgColor rgb="FFFF0000"/>
        </patternFill>
      </fill>
      <border/>
    </dxf>
    <dxf>
      <font>
        <b/>
      </font>
      <fill>
        <patternFill patternType="solid">
          <fgColor rgb="FFB7B7B7"/>
          <bgColor rgb="FFB7B7B7"/>
        </patternFill>
      </fill>
      <border/>
    </dxf>
    <dxf>
      <font>
        <b/>
      </font>
      <fill>
        <patternFill patternType="solid">
          <fgColor rgb="FFFCE5CD"/>
          <bgColor rgb="FFFCE5CD"/>
        </patternFill>
      </fill>
      <border/>
    </dxf>
    <dxf>
      <font>
        <b/>
      </font>
      <fill>
        <patternFill patternType="solid">
          <fgColor rgb="FFF4CCCC"/>
          <bgColor rgb="FFF4CCCC"/>
        </patternFill>
      </fill>
      <border/>
    </dxf>
    <dxf>
      <font>
        <b/>
        <color rgb="FF000000"/>
      </font>
      <fill>
        <patternFill patternType="solid">
          <fgColor rgb="FFFCE5CD"/>
          <bgColor rgb="FFFCE5CD"/>
        </patternFill>
      </fill>
      <border/>
    </dxf>
    <dxf>
      <font>
        <b/>
        <color rgb="FF000000"/>
      </font>
      <fill>
        <patternFill patternType="solid">
          <fgColor rgb="FFFF0000"/>
          <bgColor rgb="FFFF0000"/>
        </patternFill>
      </fill>
      <border/>
    </dxf>
    <dxf>
      <font>
        <b/>
      </font>
      <fill>
        <patternFill patternType="solid">
          <fgColor rgb="FFFFF2CC"/>
          <bgColor rgb="FFFFF2CC"/>
        </patternFill>
      </fill>
      <border/>
    </dxf>
    <dxf>
      <font>
        <b/>
      </font>
      <fill>
        <patternFill patternType="solid">
          <fgColor rgb="FFD5A6BD"/>
          <bgColor rgb="FFD5A6BD"/>
        </patternFill>
      </fill>
      <border/>
    </dxf>
    <dxf>
      <font>
        <b/>
      </font>
      <fill>
        <patternFill patternType="solid">
          <fgColor rgb="FF999999"/>
          <bgColor rgb="FF999999"/>
        </patternFill>
      </fill>
      <border/>
    </dxf>
    <dxf>
      <font>
        <b/>
      </font>
      <fill>
        <patternFill patternType="solid">
          <fgColor rgb="FFB7E1CD"/>
          <bgColor rgb="FFB7E1CD"/>
        </patternFill>
      </fill>
      <border/>
    </dxf>
    <dxf>
      <font>
        <b/>
      </font>
      <fill>
        <patternFill patternType="solid">
          <fgColor rgb="FF00FFFF"/>
          <bgColor rgb="FF00FFFF"/>
        </patternFill>
      </fill>
      <border/>
    </dxf>
    <dxf>
      <font>
        <b/>
      </font>
      <fill>
        <patternFill patternType="solid">
          <fgColor rgb="FFD9EAD3"/>
          <bgColor rgb="FFD9EAD3"/>
        </patternFill>
      </fill>
      <border/>
    </dxf>
    <dxf>
      <font>
        <b/>
      </font>
      <fill>
        <patternFill patternType="solid">
          <fgColor rgb="FFF9CB9C"/>
          <bgColor rgb="FFF9CB9C"/>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BBC8CE"/>
          <bgColor rgb="FFBBC8CE"/>
        </patternFill>
      </fill>
      <border/>
    </dxf>
  </dxfs>
  <tableStyles count="1">
    <tableStyle count="4" pivot="0" name="index-style">
      <tableStyleElement dxfId="15" type="headerRow"/>
      <tableStyleElement dxfId="16" type="firstRowStripe"/>
      <tableStyleElement dxfId="17" type="secondRowStripe"/>
      <tableStyleElement dxfId="18"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17:H149" displayName="Table_1" id="1">
  <tableColumns count="6">
    <tableColumn name="編號_x000a_TranID" id="1"/>
    <tableColumn name="日期_x000a_TimeStamp" id="2"/>
    <tableColumn name="申請職位／及所屬機構公司_x000a_Data / Content" id="3"/>
    <tableColumn name="申請結果_x000a_Result" id="4"/>
    <tableColumn name="詳細_x000a_Explanation" id="5"/>
    <tableColumn name="工種_x000a_Job_x000a_Sectors" id="6"/>
  </tableColumns>
  <tableStyleInfo name="index-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1" max="1" width="11.57"/>
    <col customWidth="1" min="2" max="2" width="2.57"/>
    <col customWidth="1" min="3" max="3" width="10.0"/>
    <col customWidth="1" min="4" max="4" width="16.86"/>
    <col customWidth="1" min="5" max="5" width="51.71"/>
    <col customWidth="1" min="6" max="6" width="49.14"/>
    <col customWidth="1" min="7" max="7" width="46.14"/>
    <col customWidth="1" min="8" max="8" width="17.71"/>
    <col customWidth="1" min="9" max="9" width="2.71"/>
  </cols>
  <sheetData>
    <row r="1">
      <c r="A1" s="96"/>
      <c r="G1" s="97"/>
      <c r="I1" s="36"/>
    </row>
    <row r="2">
      <c r="G2" s="97"/>
      <c r="I2" s="36"/>
      <c r="M2" s="98" t="s">
        <v>261</v>
      </c>
      <c r="N2" s="99"/>
      <c r="O2" s="99"/>
      <c r="P2" s="99"/>
      <c r="Q2" s="99"/>
      <c r="R2" s="100"/>
    </row>
    <row r="3" ht="13.5" customHeight="1">
      <c r="B3" s="63"/>
      <c r="C3" s="63"/>
      <c r="D3" s="63"/>
      <c r="E3" s="63"/>
      <c r="F3" s="63"/>
      <c r="G3" s="101"/>
      <c r="H3" s="63"/>
      <c r="I3" s="63"/>
      <c r="J3" s="63"/>
      <c r="K3" s="63"/>
      <c r="L3" s="63"/>
      <c r="M3" s="63"/>
      <c r="N3" s="63"/>
      <c r="O3" s="63"/>
      <c r="P3" s="63"/>
      <c r="Q3" s="63"/>
      <c r="R3" s="63"/>
      <c r="S3" s="63"/>
      <c r="T3" s="63"/>
      <c r="U3" s="63"/>
    </row>
    <row r="4">
      <c r="B4" s="63"/>
      <c r="G4" s="97"/>
      <c r="I4" s="63"/>
    </row>
    <row r="5">
      <c r="B5" s="63"/>
      <c r="D5" s="102" t="s">
        <v>262</v>
      </c>
      <c r="E5" s="99"/>
      <c r="F5" s="99"/>
      <c r="G5" s="100"/>
      <c r="I5" s="63"/>
    </row>
    <row r="6">
      <c r="B6" s="63"/>
      <c r="G6" s="97"/>
      <c r="I6" s="63"/>
    </row>
    <row r="7">
      <c r="B7" s="63"/>
      <c r="D7" s="103" t="s">
        <v>263</v>
      </c>
      <c r="E7" s="104"/>
      <c r="F7" s="105">
        <v>43405.0</v>
      </c>
      <c r="G7" s="104"/>
      <c r="I7" s="63"/>
    </row>
    <row r="8">
      <c r="B8" s="63"/>
      <c r="D8" s="106"/>
      <c r="E8" s="107"/>
      <c r="F8" s="106"/>
      <c r="G8" s="107"/>
      <c r="I8" s="63"/>
    </row>
    <row r="9">
      <c r="B9" s="63"/>
      <c r="D9" s="108" t="s">
        <v>264</v>
      </c>
      <c r="I9" s="63"/>
    </row>
    <row r="10">
      <c r="B10" s="63"/>
      <c r="D10" s="103" t="s">
        <v>265</v>
      </c>
      <c r="E10" s="104"/>
      <c r="F10" s="105">
        <v>43616.0</v>
      </c>
      <c r="G10" s="104"/>
      <c r="I10" s="63"/>
      <c r="P10" s="109"/>
    </row>
    <row r="11">
      <c r="B11" s="63"/>
      <c r="D11" s="106"/>
      <c r="E11" s="107"/>
      <c r="F11" s="106"/>
      <c r="G11" s="107"/>
      <c r="I11" s="63"/>
    </row>
    <row r="12">
      <c r="B12" s="63"/>
      <c r="G12" s="97"/>
      <c r="I12" s="63"/>
    </row>
    <row r="13">
      <c r="B13" s="63"/>
      <c r="D13" s="110" t="s">
        <v>266</v>
      </c>
      <c r="E13" s="104"/>
      <c r="F13" s="111">
        <f>COUNTIFS(data_blockchain!B5:B104,"&gt;="&amp; F7,data_blockchain!B5:B104,"&lt;="&amp;F10)</f>
        <v>62</v>
      </c>
      <c r="G13" s="104"/>
      <c r="H13" s="112"/>
      <c r="I13" s="63"/>
    </row>
    <row r="14">
      <c r="B14" s="63"/>
      <c r="D14" s="106"/>
      <c r="E14" s="107"/>
      <c r="F14" s="106"/>
      <c r="G14" s="107"/>
      <c r="H14" s="112"/>
      <c r="I14" s="63"/>
    </row>
    <row r="15">
      <c r="B15" s="63"/>
      <c r="G15" s="97"/>
      <c r="I15" s="63"/>
    </row>
    <row r="16">
      <c r="B16" s="63"/>
      <c r="C16" s="113" t="s">
        <v>267</v>
      </c>
      <c r="D16" s="99"/>
      <c r="E16" s="99"/>
      <c r="F16" s="99"/>
      <c r="G16" s="99"/>
      <c r="H16" s="99"/>
      <c r="I16" s="63"/>
    </row>
    <row r="17">
      <c r="B17" s="63"/>
      <c r="C17" s="114" t="s">
        <v>268</v>
      </c>
      <c r="D17" s="115" t="s">
        <v>25</v>
      </c>
      <c r="E17" s="116" t="s">
        <v>26</v>
      </c>
      <c r="F17" s="117" t="s">
        <v>28</v>
      </c>
      <c r="G17" s="118" t="s">
        <v>30</v>
      </c>
      <c r="H17" s="119" t="s">
        <v>31</v>
      </c>
      <c r="I17" s="63"/>
    </row>
    <row r="18">
      <c r="A18" s="120" t="s">
        <v>269</v>
      </c>
      <c r="B18" s="63"/>
      <c r="C18" s="121">
        <f>IFERROR(__xludf.DUMMYFUNCTION("query(data_blockchain!A3:F116,""select A,B,C,D,E,F where B &gt;= date '""&amp;TEXT(F7,""yyyy-mm-dd"")&amp;""' and B &lt;= date '""&amp;TEXT(F10,""yyyy-mm-dd"")&amp;""'"")"),39.0)</f>
        <v>39</v>
      </c>
      <c r="D18" s="122">
        <f>IFERROR(__xludf.DUMMYFUNCTION("""COMPUTED_VALUE"""),43422.0)</f>
        <v>43422</v>
      </c>
      <c r="E18" s="123" t="str">
        <f>IFERROR(__xludf.DUMMYFUNCTION("""COMPUTED_VALUE"""),"初創行政見習生--遊戲開發員
香港青年協會
$11000 / Month
0900 - 1800")</f>
        <v>初創行政見習生--遊戲開發員
香港青年協會
$11000 / Month
0900 - 1800</v>
      </c>
      <c r="F18" s="124" t="str">
        <f>IFERROR(__xludf.DUMMYFUNCTION("""COMPUTED_VALUE"""),"沒有回應 -- No Respond")</f>
        <v>沒有回應 -- No Respond</v>
      </c>
      <c r="G18" s="125" t="str">
        <f>IFERROR(__xludf.DUMMYFUNCTION("""COMPUTED_VALUE"""),"N/A")</f>
        <v>N/A</v>
      </c>
      <c r="H18" s="123" t="str">
        <f>IFERROR(__xludf.DUMMYFUNCTION("""COMPUTED_VALUE"""),"Game")</f>
        <v>Game</v>
      </c>
      <c r="I18" s="63"/>
    </row>
    <row r="19">
      <c r="B19" s="63"/>
      <c r="C19" s="121">
        <f>IFERROR(__xludf.DUMMYFUNCTION("""COMPUTED_VALUE"""),40.0)</f>
        <v>40</v>
      </c>
      <c r="D19" s="122">
        <f>IFERROR(__xludf.DUMMYFUNCTION("""COMPUTED_VALUE"""),43422.0)</f>
        <v>43422</v>
      </c>
      <c r="E19" s="123" t="str">
        <f>IFERROR(__xludf.DUMMYFUNCTION("""COMPUTED_VALUE"""),"Game Designer
XIAO MA KE JI
HK 13000 / Month
0900 - 1800 Sha Tin
")</f>
        <v>Game Designer
XIAO MA KE JI
HK 13000 / Month
0900 - 1800 Sha Tin
</v>
      </c>
      <c r="F19" s="124" t="str">
        <f>IFERROR(__xludf.DUMMYFUNCTION("""COMPUTED_VALUE"""),"已婉拒 Refused")</f>
        <v>已婉拒 Refused</v>
      </c>
      <c r="G19" s="125" t="str">
        <f>IFERROR(__xludf.DUMMYFUNCTION("""COMPUTED_VALUE"""),"Suspected Job
Being ""invited"" by linkedin.")</f>
        <v>Suspected Job
Being "invited" by linkedin.</v>
      </c>
      <c r="H19" s="123" t="str">
        <f>IFERROR(__xludf.DUMMYFUNCTION("""COMPUTED_VALUE"""),"Game")</f>
        <v>Game</v>
      </c>
      <c r="I19" s="63"/>
    </row>
    <row r="20">
      <c r="B20" s="63"/>
      <c r="C20" s="121">
        <f>IFERROR(__xludf.DUMMYFUNCTION("""COMPUTED_VALUE"""),41.0)</f>
        <v>41</v>
      </c>
      <c r="D20" s="122">
        <f>IFERROR(__xludf.DUMMYFUNCTION("""COMPUTED_VALUE"""),43427.0)</f>
        <v>43427</v>
      </c>
      <c r="E20" s="123" t="str">
        <f>IFERROR(__xludf.DUMMYFUNCTION("""COMPUTED_VALUE"""),"Game Designer
Planet J
$14500 / Month Offer
Degree / Master Level 
0900 - 1800 Office Job")</f>
        <v>Game Designer
Planet J
$14500 / Month Offer
Degree / Master Level 
0900 - 1800 Office Job</v>
      </c>
      <c r="F20" s="124" t="str">
        <f>IFERROR(__xludf.DUMMYFUNCTION("""COMPUTED_VALUE"""),"有出席面試機會 -- Interview Attended")</f>
        <v>有出席面試機會 -- Interview Attended</v>
      </c>
      <c r="G20" s="125" t="str">
        <f>IFERROR(__xludf.DUMMYFUNCTION("""COMPUTED_VALUE"""),"29 11 2018")</f>
        <v>29 11 2018</v>
      </c>
      <c r="H20" s="123" t="str">
        <f>IFERROR(__xludf.DUMMYFUNCTION("""COMPUTED_VALUE"""),"Game")</f>
        <v>Game</v>
      </c>
      <c r="I20" s="63"/>
    </row>
    <row r="21">
      <c r="B21" s="63"/>
      <c r="C21" s="121">
        <f>IFERROR(__xludf.DUMMYFUNCTION("""COMPUTED_VALUE"""),42.0)</f>
        <v>42</v>
      </c>
      <c r="D21" s="122">
        <f>IFERROR(__xludf.DUMMYFUNCTION("""COMPUTED_VALUE"""),43440.0)</f>
        <v>43440</v>
      </c>
      <c r="E21" s="123" t="str">
        <f>IFERROR(__xludf.DUMMYFUNCTION("""COMPUTED_VALUE"""),"香港青年協會約見")</f>
        <v>香港青年協會約見</v>
      </c>
      <c r="F21" s="124" t="str">
        <f>IFERROR(__xludf.DUMMYFUNCTION("""COMPUTED_VALUE"""),"已出席 -- Partake")</f>
        <v>已出席 -- Partake</v>
      </c>
      <c r="G21" s="125" t="str">
        <f>IFERROR(__xludf.DUMMYFUNCTION("""COMPUTED_VALUE"""),"N/A")</f>
        <v>N/A</v>
      </c>
      <c r="H21" s="123" t="str">
        <f>IFERROR(__xludf.DUMMYFUNCTION("""COMPUTED_VALUE"""),"Parttake-Event")</f>
        <v>Parttake-Event</v>
      </c>
      <c r="I21" s="63"/>
    </row>
    <row r="22">
      <c r="B22" s="63"/>
      <c r="C22" s="121">
        <f>IFERROR(__xludf.DUMMYFUNCTION("""COMPUTED_VALUE"""),43.0)</f>
        <v>43</v>
      </c>
      <c r="D22" s="122">
        <f>IFERROR(__xludf.DUMMYFUNCTION("""COMPUTED_VALUE"""),43444.0)</f>
        <v>43444</v>
      </c>
      <c r="E22" s="123" t="str">
        <f>IFERROR(__xludf.DUMMYFUNCTION("""COMPUTED_VALUE"""),"數學導師
Eyelevel, JobsDB
Forgot Salary
1530 - 1700
")</f>
        <v>數學導師
Eyelevel, JobsDB
Forgot Salary
1530 - 1700
</v>
      </c>
      <c r="F22" s="124" t="str">
        <f>IFERROR(__xludf.DUMMYFUNCTION("""COMPUTED_VALUE"""),"有出席面試機會 -- Interview Attended")</f>
        <v>有出席面試機會 -- Interview Attended</v>
      </c>
      <c r="G22" s="125" t="str">
        <f>IFERROR(__xludf.DUMMYFUNCTION("""COMPUTED_VALUE"""),"電話面試")</f>
        <v>電話面試</v>
      </c>
      <c r="H22" s="123" t="str">
        <f>IFERROR(__xludf.DUMMYFUNCTION("""COMPUTED_VALUE"""),"Education")</f>
        <v>Education</v>
      </c>
      <c r="I22" s="63"/>
    </row>
    <row r="23">
      <c r="B23" s="63"/>
      <c r="C23" s="121">
        <f>IFERROR(__xludf.DUMMYFUNCTION("""COMPUTED_VALUE"""),44.0)</f>
        <v>44</v>
      </c>
      <c r="D23" s="122">
        <f>IFERROR(__xludf.DUMMYFUNCTION("""COMPUTED_VALUE"""),43444.0)</f>
        <v>43444</v>
      </c>
      <c r="E23" s="123" t="str">
        <f>IFERROR(__xludf.DUMMYFUNCTION("""COMPUTED_VALUE"""),"3rd Grad-support @ HKDEA")</f>
        <v>3rd Grad-support @ HKDEA</v>
      </c>
      <c r="F23" s="124" t="str">
        <f>IFERROR(__xludf.DUMMYFUNCTION("""COMPUTED_VALUE"""),"已出席 -- Partake")</f>
        <v>已出席 -- Partake</v>
      </c>
      <c r="G23" s="125" t="str">
        <f>IFERROR(__xludf.DUMMYFUNCTION("""COMPUTED_VALUE"""),"N/A")</f>
        <v>N/A</v>
      </c>
      <c r="H23" s="123" t="str">
        <f>IFERROR(__xludf.DUMMYFUNCTION("""COMPUTED_VALUE"""),"Parttake-Event")</f>
        <v>Parttake-Event</v>
      </c>
      <c r="I23" s="63"/>
      <c r="J23" s="36"/>
      <c r="K23" s="36"/>
      <c r="L23" s="36"/>
      <c r="M23" s="36"/>
      <c r="N23" s="36"/>
      <c r="O23" s="36"/>
      <c r="P23" s="36"/>
      <c r="Q23" s="36"/>
      <c r="R23" s="36"/>
      <c r="S23" s="36"/>
      <c r="T23" s="36"/>
      <c r="U23" s="36"/>
    </row>
    <row r="24">
      <c r="B24" s="63"/>
      <c r="C24" s="121">
        <f>IFERROR(__xludf.DUMMYFUNCTION("""COMPUTED_VALUE"""),45.0)</f>
        <v>45</v>
      </c>
      <c r="D24" s="122">
        <f>IFERROR(__xludf.DUMMYFUNCTION("""COMPUTED_VALUE"""),43447.0)</f>
        <v>43447</v>
      </c>
      <c r="E24" s="123" t="str">
        <f>IFERROR(__xludf.DUMMYFUNCTION("""COMPUTED_VALUE"""),"福利工作員
香港小童群益會
$13000 / Month
No state working time")</f>
        <v>福利工作員
香港小童群益會
$13000 / Month
No state working time</v>
      </c>
      <c r="F24" s="124" t="str">
        <f>IFERROR(__xludf.DUMMYFUNCTION("""COMPUTED_VALUE"""),"沒有回應 -- No Respond")</f>
        <v>沒有回應 -- No Respond</v>
      </c>
      <c r="G24" s="125" t="str">
        <f>IFERROR(__xludf.DUMMYFUNCTION("""COMPUTED_VALUE"""),"N/A")</f>
        <v>N/A</v>
      </c>
      <c r="H24" s="123" t="str">
        <f>IFERROR(__xludf.DUMMYFUNCTION("""COMPUTED_VALUE"""),"Clerk")</f>
        <v>Clerk</v>
      </c>
      <c r="I24" s="63"/>
    </row>
    <row r="25">
      <c r="B25" s="63"/>
      <c r="C25" s="121">
        <f>IFERROR(__xludf.DUMMYFUNCTION("""COMPUTED_VALUE"""),46.0)</f>
        <v>46</v>
      </c>
      <c r="D25" s="122">
        <f>IFERROR(__xludf.DUMMYFUNCTION("""COMPUTED_VALUE"""),43448.0)</f>
        <v>43448</v>
      </c>
      <c r="E25" s="123" t="str">
        <f>IFERROR(__xludf.DUMMYFUNCTION("""COMPUTED_VALUE"""),"Phone call in
IT Position
Six DegreeLink")</f>
        <v>Phone call in
IT Position
Six DegreeLink</v>
      </c>
      <c r="F25" s="124" t="str">
        <f>IFERROR(__xludf.DUMMYFUNCTION("""COMPUTED_VALUE"""),"已出席 -- Partake")</f>
        <v>已出席 -- Partake</v>
      </c>
      <c r="G25" s="125" t="str">
        <f>IFERROR(__xludf.DUMMYFUNCTION("""COMPUTED_VALUE"""),"N/A")</f>
        <v>N/A</v>
      </c>
      <c r="H25" s="123" t="str">
        <f>IFERROR(__xludf.DUMMYFUNCTION("""COMPUTED_VALUE"""),"IT")</f>
        <v>IT</v>
      </c>
      <c r="I25" s="63"/>
    </row>
    <row r="26">
      <c r="B26" s="63"/>
      <c r="C26" s="121">
        <f>IFERROR(__xludf.DUMMYFUNCTION("""COMPUTED_VALUE"""),47.0)</f>
        <v>47</v>
      </c>
      <c r="D26" s="122">
        <f>IFERROR(__xludf.DUMMYFUNCTION("""COMPUTED_VALUE"""),43451.0)</f>
        <v>43451</v>
      </c>
      <c r="E26" s="123" t="str">
        <f>IFERROR(__xludf.DUMMYFUNCTION("""COMPUTED_VALUE"""),"[Invited]
Programmer
BIAO XI Technology Limited
Missing Salary
Missing Working Time
")</f>
        <v>[Invited]
Programmer
BIAO XI Technology Limited
Missing Salary
Missing Working Time
</v>
      </c>
      <c r="F26" s="124" t="str">
        <f>IFERROR(__xludf.DUMMYFUNCTION("""COMPUTED_VALUE"""),"已婉拒 Refused")</f>
        <v>已婉拒 Refused</v>
      </c>
      <c r="G26" s="125" t="str">
        <f>IFERROR(__xludf.DUMMYFUNCTION("""COMPUTED_VALUE"""),"Suspected Job
Being ""invited"" by linkedin.")</f>
        <v>Suspected Job
Being "invited" by linkedin.</v>
      </c>
      <c r="H26" s="123" t="str">
        <f>IFERROR(__xludf.DUMMYFUNCTION("""COMPUTED_VALUE"""),"IT")</f>
        <v>IT</v>
      </c>
      <c r="I26" s="63"/>
    </row>
    <row r="27">
      <c r="B27" s="63"/>
      <c r="C27" s="121">
        <f>IFERROR(__xludf.DUMMYFUNCTION("""COMPUTED_VALUE"""),48.0)</f>
        <v>48</v>
      </c>
      <c r="D27" s="122">
        <f>IFERROR(__xludf.DUMMYFUNCTION("""COMPUTED_VALUE"""),43457.0)</f>
        <v>43457</v>
      </c>
      <c r="E27" s="123" t="str">
        <f>IFERROR(__xludf.DUMMYFUNCTION("""COMPUTED_VALUE"""),"IT Support
香港小童群益會
$ 15000 / Month
0900 - 1730")</f>
        <v>IT Support
香港小童群益會
$ 15000 / Month
0900 - 1730</v>
      </c>
      <c r="F27" s="124" t="str">
        <f>IFERROR(__xludf.DUMMYFUNCTION("""COMPUTED_VALUE"""),"沒有回應 -- No Respond")</f>
        <v>沒有回應 -- No Respond</v>
      </c>
      <c r="G27" s="125" t="str">
        <f>IFERROR(__xludf.DUMMYFUNCTION("""COMPUTED_VALUE"""),"N/A")</f>
        <v>N/A</v>
      </c>
      <c r="H27" s="123" t="str">
        <f>IFERROR(__xludf.DUMMYFUNCTION("""COMPUTED_VALUE"""),"IT")</f>
        <v>IT</v>
      </c>
      <c r="I27" s="63"/>
    </row>
    <row r="28">
      <c r="B28" s="63"/>
      <c r="C28" s="121">
        <f>IFERROR(__xludf.DUMMYFUNCTION("""COMPUTED_VALUE"""),49.0)</f>
        <v>49</v>
      </c>
      <c r="D28" s="122">
        <f>IFERROR(__xludf.DUMMYFUNCTION("""COMPUTED_VALUE"""),43472.0)</f>
        <v>43472</v>
      </c>
      <c r="E28" s="123" t="str">
        <f>IFERROR(__xludf.DUMMYFUNCTION("""COMPUTED_VALUE"""),"青協 珊姑約見
旺角青年就業起點
")</f>
        <v>青協 珊姑約見
旺角青年就業起點
</v>
      </c>
      <c r="F28" s="124" t="str">
        <f>IFERROR(__xludf.DUMMYFUNCTION("""COMPUTED_VALUE"""),"已出席 -- Partake")</f>
        <v>已出席 -- Partake</v>
      </c>
      <c r="G28" s="125" t="str">
        <f>IFERROR(__xludf.DUMMYFUNCTION("""COMPUTED_VALUE"""),"N/A")</f>
        <v>N/A</v>
      </c>
      <c r="H28" s="123" t="str">
        <f>IFERROR(__xludf.DUMMYFUNCTION("""COMPUTED_VALUE"""),"Parttake-Event")</f>
        <v>Parttake-Event</v>
      </c>
      <c r="I28" s="63"/>
    </row>
    <row r="29">
      <c r="B29" s="63"/>
      <c r="C29" s="121">
        <f>IFERROR(__xludf.DUMMYFUNCTION("""COMPUTED_VALUE"""),50.0)</f>
        <v>50</v>
      </c>
      <c r="D29" s="122">
        <f>IFERROR(__xludf.DUMMYFUNCTION("""COMPUTED_VALUE"""),43472.0)</f>
        <v>43472</v>
      </c>
      <c r="E29" s="123" t="str">
        <f>IFERROR(__xludf.DUMMYFUNCTION("""COMPUTED_VALUE"""),"旺角青年就業起點
網絡安全講座 報名")</f>
        <v>旺角青年就業起點
網絡安全講座 報名</v>
      </c>
      <c r="F29" s="124" t="str">
        <f>IFERROR(__xludf.DUMMYFUNCTION("""COMPUTED_VALUE"""),"已出席 -- Partake")</f>
        <v>已出席 -- Partake</v>
      </c>
      <c r="G29" s="125" t="str">
        <f>IFERROR(__xludf.DUMMYFUNCTION("""COMPUTED_VALUE"""),"N/A")</f>
        <v>N/A</v>
      </c>
      <c r="H29" s="123" t="str">
        <f>IFERROR(__xludf.DUMMYFUNCTION("""COMPUTED_VALUE"""),"Parttake-Event")</f>
        <v>Parttake-Event</v>
      </c>
      <c r="I29" s="63"/>
    </row>
    <row r="30">
      <c r="B30" s="63"/>
      <c r="C30" s="121">
        <f>IFERROR(__xludf.DUMMYFUNCTION("""COMPUTED_VALUE"""),51.0)</f>
        <v>51</v>
      </c>
      <c r="D30" s="122">
        <f>IFERROR(__xludf.DUMMYFUNCTION("""COMPUTED_VALUE"""),43472.0)</f>
        <v>43472</v>
      </c>
      <c r="E30" s="123" t="str">
        <f>IFERROR(__xludf.DUMMYFUNCTION("""COMPUTED_VALUE"""),"旺角青年就業起點
桌遊導師證書課程報名")</f>
        <v>旺角青年就業起點
桌遊導師證書課程報名</v>
      </c>
      <c r="F30" s="124" t="str">
        <f>IFERROR(__xludf.DUMMYFUNCTION("""COMPUTED_VALUE"""),"已出席 -- Partake")</f>
        <v>已出席 -- Partake</v>
      </c>
      <c r="G30" s="125" t="str">
        <f>IFERROR(__xludf.DUMMYFUNCTION("""COMPUTED_VALUE"""),"N/A")</f>
        <v>N/A</v>
      </c>
      <c r="H30" s="123" t="str">
        <f>IFERROR(__xludf.DUMMYFUNCTION("""COMPUTED_VALUE"""),"Parttake-Event")</f>
        <v>Parttake-Event</v>
      </c>
      <c r="I30" s="63"/>
    </row>
    <row r="31">
      <c r="B31" s="63"/>
      <c r="C31" s="121">
        <f>IFERROR(__xludf.DUMMYFUNCTION("""COMPUTED_VALUE"""),52.0)</f>
        <v>52</v>
      </c>
      <c r="D31" s="122">
        <f>IFERROR(__xludf.DUMMYFUNCTION("""COMPUTED_VALUE"""),43473.0)</f>
        <v>43473</v>
      </c>
      <c r="E31" s="123" t="str">
        <f>IFERROR(__xludf.DUMMYFUNCTION("""COMPUTED_VALUE"""),"選民登記助理 41554
西貢民政事務處
$56.5 / Hour (Additional $3.6 per form; Ceil to $992 )
0900 - 2300pm (8Hours)
")</f>
        <v>選民登記助理 41554
西貢民政事務處
$56.5 / Hour (Additional $3.6 per form; Ceil to $992 )
0900 - 2300pm (8Hours)
</v>
      </c>
      <c r="F31" s="124" t="str">
        <f>IFERROR(__xludf.DUMMYFUNCTION("""COMPUTED_VALUE"""),"有出席面試機會 -- Interview Attended")</f>
        <v>有出席面試機會 -- Interview Attended</v>
      </c>
      <c r="G31" s="125" t="str">
        <f>IFERROR(__xludf.DUMMYFUNCTION("""COMPUTED_VALUE"""),"此工為派傳單；非寫字樓工
20022019 Interviewed")</f>
        <v>此工為派傳單；非寫字樓工
20022019 Interviewed</v>
      </c>
      <c r="H31" s="123" t="str">
        <f>IFERROR(__xludf.DUMMYFUNCTION("""COMPUTED_VALUE"""),"Government")</f>
        <v>Government</v>
      </c>
      <c r="I31" s="63"/>
    </row>
    <row r="32">
      <c r="B32" s="63"/>
      <c r="C32" s="121">
        <f>IFERROR(__xludf.DUMMYFUNCTION("""COMPUTED_VALUE"""),53.0)</f>
        <v>53</v>
      </c>
      <c r="D32" s="122">
        <f>IFERROR(__xludf.DUMMYFUNCTION("""COMPUTED_VALUE"""),43477.0)</f>
        <v>43477</v>
      </c>
      <c r="E32" s="123" t="str">
        <f>IFERROR(__xludf.DUMMYFUNCTION("""COMPUTED_VALUE"""),"葵芳青年就業起點
網絡安全講座")</f>
        <v>葵芳青年就業起點
網絡安全講座</v>
      </c>
      <c r="F32" s="124" t="str">
        <f>IFERROR(__xludf.DUMMYFUNCTION("""COMPUTED_VALUE"""),"已出席 -- Partake")</f>
        <v>已出席 -- Partake</v>
      </c>
      <c r="G32" s="125" t="str">
        <f>IFERROR(__xludf.DUMMYFUNCTION("""COMPUTED_VALUE"""),"N/A")</f>
        <v>N/A</v>
      </c>
      <c r="H32" s="123" t="str">
        <f>IFERROR(__xludf.DUMMYFUNCTION("""COMPUTED_VALUE"""),"Parttake-Event")</f>
        <v>Parttake-Event</v>
      </c>
      <c r="I32" s="63"/>
    </row>
    <row r="33">
      <c r="B33" s="63"/>
      <c r="C33" s="121">
        <f>IFERROR(__xludf.DUMMYFUNCTION("""COMPUTED_VALUE"""),54.0)</f>
        <v>54</v>
      </c>
      <c r="D33" s="122">
        <f>IFERROR(__xludf.DUMMYFUNCTION("""COMPUTED_VALUE"""),43477.0)</f>
        <v>43477</v>
      </c>
      <c r="E33" s="123" t="str">
        <f>IFERROR(__xludf.DUMMYFUNCTION("""COMPUTED_VALUE"""),"葵芳青年就業起點
職業潛能評估")</f>
        <v>葵芳青年就業起點
職業潛能評估</v>
      </c>
      <c r="F33" s="124" t="str">
        <f>IFERROR(__xludf.DUMMYFUNCTION("""COMPUTED_VALUE"""),"已出席 -- Partake")</f>
        <v>已出席 -- Partake</v>
      </c>
      <c r="G33" s="125" t="str">
        <f>IFERROR(__xludf.DUMMYFUNCTION("""COMPUTED_VALUE"""),"N/A")</f>
        <v>N/A</v>
      </c>
      <c r="H33" s="123" t="str">
        <f>IFERROR(__xludf.DUMMYFUNCTION("""COMPUTED_VALUE"""),"Parttake-Event")</f>
        <v>Parttake-Event</v>
      </c>
      <c r="I33" s="63"/>
    </row>
    <row r="34">
      <c r="B34" s="63"/>
      <c r="C34" s="121">
        <f>IFERROR(__xludf.DUMMYFUNCTION("""COMPUTED_VALUE"""),55.0)</f>
        <v>55</v>
      </c>
      <c r="D34" s="122">
        <f>IFERROR(__xludf.DUMMYFUNCTION("""COMPUTED_VALUE"""),43480.0)</f>
        <v>43480</v>
      </c>
      <c r="E34" s="123" t="str">
        <f>IFERROR(__xludf.DUMMYFUNCTION("""COMPUTED_VALUE"""),"城市大學 SCOPE
初級網頁設計人員基礎證書
筆試 面試")</f>
        <v>城市大學 SCOPE
初級網頁設計人員基礎證書
筆試 面試</v>
      </c>
      <c r="F34" s="124" t="str">
        <f>IFERROR(__xludf.DUMMYFUNCTION("""COMPUTED_VALUE"""),"通過 Pass")</f>
        <v>通過 Pass</v>
      </c>
      <c r="G34" s="125" t="str">
        <f>IFERROR(__xludf.DUMMYFUNCTION("""COMPUTED_VALUE"""),"N/A")</f>
        <v>N/A</v>
      </c>
      <c r="H34" s="123" t="str">
        <f>IFERROR(__xludf.DUMMYFUNCTION("""COMPUTED_VALUE"""),"Academic")</f>
        <v>Academic</v>
      </c>
      <c r="I34" s="63"/>
    </row>
    <row r="35">
      <c r="B35" s="63"/>
      <c r="C35" s="121">
        <f>IFERROR(__xludf.DUMMYFUNCTION("""COMPUTED_VALUE"""),56.0)</f>
        <v>56</v>
      </c>
      <c r="D35" s="122">
        <f>IFERROR(__xludf.DUMMYFUNCTION("""COMPUTED_VALUE"""),43484.0)</f>
        <v>43484</v>
      </c>
      <c r="E35" s="123" t="str">
        <f>IFERROR(__xludf.DUMMYFUNCTION("""COMPUTED_VALUE"""),"遴選
葵芳青年就業起點
網絡安全 課程")</f>
        <v>遴選
葵芳青年就業起點
網絡安全 課程</v>
      </c>
      <c r="F35" s="124" t="str">
        <f>IFERROR(__xludf.DUMMYFUNCTION("""COMPUTED_VALUE"""),"通過 Pass")</f>
        <v>通過 Pass</v>
      </c>
      <c r="G35" s="125" t="str">
        <f>IFERROR(__xludf.DUMMYFUNCTION("""COMPUTED_VALUE"""),"N/A")</f>
        <v>N/A</v>
      </c>
      <c r="H35" s="123" t="str">
        <f>IFERROR(__xludf.DUMMYFUNCTION("""COMPUTED_VALUE"""),"Parttake-Event")</f>
        <v>Parttake-Event</v>
      </c>
      <c r="I35" s="63"/>
    </row>
    <row r="36">
      <c r="B36" s="63"/>
      <c r="C36" s="121">
        <f>IFERROR(__xludf.DUMMYFUNCTION("""COMPUTED_VALUE"""),57.0)</f>
        <v>57</v>
      </c>
      <c r="D36" s="122">
        <f>IFERROR(__xludf.DUMMYFUNCTION("""COMPUTED_VALUE"""),43508.0)</f>
        <v>43508</v>
      </c>
      <c r="E36" s="123" t="str">
        <f>IFERROR(__xludf.DUMMYFUNCTION("""COMPUTED_VALUE"""),"甲子園 展翅合辦
資訊科技助理證書課程")</f>
        <v>甲子園 展翅合辦
資訊科技助理證書課程</v>
      </c>
      <c r="F36" s="124" t="str">
        <f>IFERROR(__xludf.DUMMYFUNCTION("""COMPUTED_VALUE"""),"家人拒絕 -- Family Refused")</f>
        <v>家人拒絕 -- Family Refused</v>
      </c>
      <c r="G36" s="125" t="str">
        <f>IFERROR(__xludf.DUMMYFUNCTION("""COMPUTED_VALUE"""),"中途沒再上
12/2 [上] 行業介紹
[下] 小學英文 Printer / Desk
13/2 [上] Networking (Node)
[下] Gametools Documentation Reading
14/2 [上] Scratch(貓) Programming
[下] Windows Installation
15/2 [上] AppInventor 2
[下] Windows IME Config; Firewall Basic Config")</f>
        <v>中途沒再上
12/2 [上] 行業介紹
[下] 小學英文 Printer / Desk
13/2 [上] Networking (Node)
[下] Gametools Documentation Reading
14/2 [上] Scratch(貓) Programming
[下] Windows Installation
15/2 [上] AppInventor 2
[下] Windows IME Config; Firewall Basic Config</v>
      </c>
      <c r="H36" s="123" t="str">
        <f>IFERROR(__xludf.DUMMYFUNCTION("""COMPUTED_VALUE"""),"Academic")</f>
        <v>Academic</v>
      </c>
      <c r="I36" s="63"/>
    </row>
    <row r="37">
      <c r="B37" s="63"/>
      <c r="C37" s="121">
        <f>IFERROR(__xludf.DUMMYFUNCTION("""COMPUTED_VALUE"""),58.0)</f>
        <v>58</v>
      </c>
      <c r="D37" s="122">
        <f>IFERROR(__xludf.DUMMYFUNCTION("""COMPUTED_VALUE"""),43518.0)</f>
        <v>43518</v>
      </c>
      <c r="E37" s="123" t="str">
        <f>IFERROR(__xludf.DUMMYFUNCTION("""COMPUTED_VALUE"""),"功輔班導師
青協黃寬洋青年空間
$112 / Hours
3pm - 5pm
")</f>
        <v>功輔班導師
青協黃寬洋青年空間
$112 / Hours
3pm - 5pm
</v>
      </c>
      <c r="F37" s="124" t="str">
        <f>IFERROR(__xludf.DUMMYFUNCTION("""COMPUTED_VALUE"""),"沒有回應 -- No Respond")</f>
        <v>沒有回應 -- No Respond</v>
      </c>
      <c r="G37" s="125" t="str">
        <f>IFERROR(__xludf.DUMMYFUNCTION("""COMPUTED_VALUE"""),"N/A")</f>
        <v>N/A</v>
      </c>
      <c r="H37" s="123" t="str">
        <f>IFERROR(__xludf.DUMMYFUNCTION("""COMPUTED_VALUE"""),"Education")</f>
        <v>Education</v>
      </c>
      <c r="I37" s="63"/>
      <c r="J37" s="63"/>
      <c r="K37" s="63"/>
      <c r="L37" s="63"/>
      <c r="M37" s="63"/>
      <c r="N37" s="63"/>
      <c r="O37" s="63"/>
      <c r="P37" s="63"/>
      <c r="Q37" s="63"/>
      <c r="R37" s="63"/>
      <c r="S37" s="63"/>
      <c r="T37" s="63"/>
      <c r="U37" s="63"/>
    </row>
    <row r="38">
      <c r="B38" s="63"/>
      <c r="C38" s="121">
        <f>IFERROR(__xludf.DUMMYFUNCTION("""COMPUTED_VALUE"""),59.0)</f>
        <v>59</v>
      </c>
      <c r="D38" s="122">
        <f>IFERROR(__xludf.DUMMYFUNCTION("""COMPUTED_VALUE"""),43518.0)</f>
        <v>43518</v>
      </c>
      <c r="E38" s="123" t="str">
        <f>IFERROR(__xludf.DUMMYFUNCTION("""COMPUTED_VALUE"""),"功輔班導師
青協將軍澳青年空間
$75 / Hours 
3pm - 5pm
")</f>
        <v>功輔班導師
青協將軍澳青年空間
$75 / Hours 
3pm - 5pm
</v>
      </c>
      <c r="F38" s="124" t="str">
        <f>IFERROR(__xludf.DUMMYFUNCTION("""COMPUTED_VALUE"""),"沒有回應 -- No Respond")</f>
        <v>沒有回應 -- No Respond</v>
      </c>
      <c r="G38" s="125" t="str">
        <f>IFERROR(__xludf.DUMMYFUNCTION("""COMPUTED_VALUE"""),"N/A")</f>
        <v>N/A</v>
      </c>
      <c r="H38" s="123" t="str">
        <f>IFERROR(__xludf.DUMMYFUNCTION("""COMPUTED_VALUE"""),"Education")</f>
        <v>Education</v>
      </c>
      <c r="I38" s="63"/>
    </row>
    <row r="39">
      <c r="B39" s="63"/>
      <c r="C39" s="121">
        <f>IFERROR(__xludf.DUMMYFUNCTION("""COMPUTED_VALUE"""),60.0)</f>
        <v>60</v>
      </c>
      <c r="D39" s="122">
        <f>IFERROR(__xludf.DUMMYFUNCTION("""COMPUTED_VALUE"""),43519.0)</f>
        <v>43519</v>
      </c>
      <c r="E39" s="123" t="str">
        <f>IFERROR(__xludf.DUMMYFUNCTION("""COMPUTED_VALUE"""),"葵芳青年就業起點
中英文辦工室應用及打字比賽
")</f>
        <v>葵芳青年就業起點
中英文辦工室應用及打字比賽
</v>
      </c>
      <c r="F39" s="124" t="str">
        <f>IFERROR(__xludf.DUMMYFUNCTION("""COMPUTED_VALUE"""),"已出席 -- Partake")</f>
        <v>已出席 -- Partake</v>
      </c>
      <c r="G39" s="125" t="str">
        <f>IFERROR(__xludf.DUMMYFUNCTION("""COMPUTED_VALUE"""),"4th?")</f>
        <v>4th?</v>
      </c>
      <c r="H39" s="123" t="str">
        <f>IFERROR(__xludf.DUMMYFUNCTION("""COMPUTED_VALUE"""),"Parttake-Event")</f>
        <v>Parttake-Event</v>
      </c>
      <c r="I39" s="63"/>
    </row>
    <row r="40">
      <c r="B40" s="63"/>
      <c r="C40" s="121">
        <f>IFERROR(__xludf.DUMMYFUNCTION("""COMPUTED_VALUE"""),61.0)</f>
        <v>61</v>
      </c>
      <c r="D40" s="122">
        <f>IFERROR(__xludf.DUMMYFUNCTION("""COMPUTED_VALUE"""),43522.0)</f>
        <v>43522</v>
      </c>
      <c r="E40" s="123" t="str">
        <f>IFERROR(__xludf.DUMMYFUNCTION("""COMPUTED_VALUE"""),"Teacher / Tutor
童行社
3pm - 4:30pm
$ 80 - 150 / Hours
")</f>
        <v>Teacher / Tutor
童行社
3pm - 4:30pm
$ 80 - 150 / Hours
</v>
      </c>
      <c r="F40" s="124" t="str">
        <f>IFERROR(__xludf.DUMMYFUNCTION("""COMPUTED_VALUE"""),"沒有回應 -- No Respond")</f>
        <v>沒有回應 -- No Respond</v>
      </c>
      <c r="G40" s="125" t="str">
        <f>IFERROR(__xludf.DUMMYFUNCTION("""COMPUTED_VALUE"""),"N/A")</f>
        <v>N/A</v>
      </c>
      <c r="H40" s="123" t="str">
        <f>IFERROR(__xludf.DUMMYFUNCTION("""COMPUTED_VALUE"""),"Education")</f>
        <v>Education</v>
      </c>
      <c r="I40" s="63"/>
    </row>
    <row r="41">
      <c r="B41" s="63"/>
      <c r="C41" s="121">
        <f>IFERROR(__xludf.DUMMYFUNCTION("""COMPUTED_VALUE"""),62.0)</f>
        <v>62</v>
      </c>
      <c r="D41" s="122">
        <f>IFERROR(__xludf.DUMMYFUNCTION("""COMPUTED_VALUE"""),43525.0)</f>
        <v>43525</v>
      </c>
      <c r="E41" s="123" t="str">
        <f>IFERROR(__xludf.DUMMYFUNCTION("""COMPUTED_VALUE"""),"Part-time Tutor TKO
One Plus one Educational Center
$50 - 70 / Hours
4pm - 8pm
")</f>
        <v>Part-time Tutor TKO
One Plus one Educational Center
$50 - 70 / Hours
4pm - 8pm
</v>
      </c>
      <c r="F41" s="124" t="str">
        <f>IFERROR(__xludf.DUMMYFUNCTION("""COMPUTED_VALUE"""),"已婉拒 Refused")</f>
        <v>已婉拒 Refused</v>
      </c>
      <c r="G41" s="125" t="str">
        <f>IFERROR(__xludf.DUMMYFUNCTION("""COMPUTED_VALUE"""),"跟本並非該區工作")</f>
        <v>跟本並非該區工作</v>
      </c>
      <c r="H41" s="123" t="str">
        <f>IFERROR(__xludf.DUMMYFUNCTION("""COMPUTED_VALUE"""),"Education")</f>
        <v>Education</v>
      </c>
      <c r="I41" s="63"/>
    </row>
    <row r="42">
      <c r="B42" s="63"/>
      <c r="C42" s="121">
        <f>IFERROR(__xludf.DUMMYFUNCTION("""COMPUTED_VALUE"""),63.0)</f>
        <v>63</v>
      </c>
      <c r="D42" s="122">
        <f>IFERROR(__xludf.DUMMYFUNCTION("""COMPUTED_VALUE"""),43526.0)</f>
        <v>43526</v>
      </c>
      <c r="E42" s="123" t="str">
        <f>IFERROR(__xludf.DUMMYFUNCTION("""COMPUTED_VALUE"""),"Cyberport Jobs Fair
Unity Game Developer (Analysis Programmer)
Anchor Point Limited
$23000 / Month
0900 - 1800")</f>
        <v>Cyberport Jobs Fair
Unity Game Developer (Analysis Programmer)
Anchor Point Limited
$23000 / Month
0900 - 1800</v>
      </c>
      <c r="F42" s="124" t="str">
        <f>IFERROR(__xludf.DUMMYFUNCTION("""COMPUTED_VALUE"""),"有出席面試機會 -- Interview Attended")</f>
        <v>有出席面試機會 -- Interview Attended</v>
      </c>
      <c r="G42" s="125" t="str">
        <f>IFERROR(__xludf.DUMMYFUNCTION("""COMPUTED_VALUE"""),"Js, JQuery, CSS, HTML, PhP (Mixture)
45 mins, open-book
Q1) Add two num
Q2) Add row on html but dont edit html
Q3) Add row and can add num
6 ppls; 1 master, 3 bsc, 2 hd
1 hd success, other fail
interviewer said ""Test candidates are / aren't 正常人""
Interv"&amp;"iewed 11/03/2019")</f>
        <v>Js, JQuery, CSS, HTML, PhP (Mixture)
45 mins, open-book
Q1) Add two num
Q2) Add row on html but dont edit html
Q3) Add row and can add num
6 ppls; 1 master, 3 bsc, 2 hd
1 hd success, other fail
interviewer said "Test candidates are / aren't 正常人"
Interviewed 11/03/2019</v>
      </c>
      <c r="H42" s="123" t="str">
        <f>IFERROR(__xludf.DUMMYFUNCTION("""COMPUTED_VALUE"""),"IT")</f>
        <v>IT</v>
      </c>
      <c r="I42" s="63"/>
    </row>
    <row r="43">
      <c r="B43" s="63"/>
      <c r="C43" s="121">
        <f>IFERROR(__xludf.DUMMYFUNCTION("""COMPUTED_VALUE"""),64.0)</f>
        <v>64</v>
      </c>
      <c r="D43" s="122">
        <f>IFERROR(__xludf.DUMMYFUNCTION("""COMPUTED_VALUE"""),43526.0)</f>
        <v>43526</v>
      </c>
      <c r="E43" s="123" t="str">
        <f>IFERROR(__xludf.DUMMYFUNCTION("""COMPUTED_VALUE"""),"Cyberport Jobs Fair
Unity Game Developer
ESport International Group
Not state salary
Not State working time
")</f>
        <v>Cyberport Jobs Fair
Unity Game Developer
ESport International Group
Not state salary
Not State working time
</v>
      </c>
      <c r="F43" s="124" t="str">
        <f>IFERROR(__xludf.DUMMYFUNCTION("""COMPUTED_VALUE"""),"有出席面試機會 -- Interview Attended")</f>
        <v>有出席面試機會 -- Interview Attended</v>
      </c>
      <c r="G43" s="125" t="str">
        <f>IFERROR(__xludf.DUMMYFUNCTION("""COMPUTED_VALUE"""),"兩文三語見工 大陸公司
Q1) we want build a system that ""related and similar"" to CGA, Mong Kok? 
Do you have exp on web-based system development?
Q2) Do you have any exp on web-app development?
//Interviewed 2/3/2019")</f>
        <v>兩文三語見工 大陸公司
Q1) we want build a system that "related and similar" to CGA, Mong Kok? 
Do you have exp on web-based system development?
Q2) Do you have any exp on web-app development?
//Interviewed 2/3/2019</v>
      </c>
      <c r="H43" s="123" t="str">
        <f>IFERROR(__xludf.DUMMYFUNCTION("""COMPUTED_VALUE"""),"IT")</f>
        <v>IT</v>
      </c>
      <c r="I43" s="63"/>
    </row>
    <row r="44">
      <c r="B44" s="63"/>
      <c r="C44" s="121">
        <f>IFERROR(__xludf.DUMMYFUNCTION("""COMPUTED_VALUE"""),65.0)</f>
        <v>65</v>
      </c>
      <c r="D44" s="122">
        <f>IFERROR(__xludf.DUMMYFUNCTION("""COMPUTED_VALUE"""),43526.0)</f>
        <v>43526</v>
      </c>
      <c r="E44" s="123" t="str">
        <f>IFERROR(__xludf.DUMMYFUNCTION("""COMPUTED_VALUE"""),"Cyberport Jobs Fair
Internship of Developer
AVA Technology
Not state working time and salary
")</f>
        <v>Cyberport Jobs Fair
Internship of Developer
AVA Technology
Not state working time and salary
</v>
      </c>
      <c r="F44" s="124" t="str">
        <f>IFERROR(__xludf.DUMMYFUNCTION("""COMPUTED_VALUE"""),"沒有回應 -- No Respond")</f>
        <v>沒有回應 -- No Respond</v>
      </c>
      <c r="G44" s="125" t="str">
        <f>IFERROR(__xludf.DUMMYFUNCTION("""COMPUTED_VALUE"""),"N/A")</f>
        <v>N/A</v>
      </c>
      <c r="H44" s="123" t="str">
        <f>IFERROR(__xludf.DUMMYFUNCTION("""COMPUTED_VALUE"""),"IT")</f>
        <v>IT</v>
      </c>
      <c r="I44" s="63"/>
    </row>
    <row r="45">
      <c r="B45" s="63"/>
      <c r="C45" s="121">
        <f>IFERROR(__xludf.DUMMYFUNCTION("""COMPUTED_VALUE"""),66.0)</f>
        <v>66</v>
      </c>
      <c r="D45" s="122">
        <f>IFERROR(__xludf.DUMMYFUNCTION("""COMPUTED_VALUE"""),43526.0)</f>
        <v>43526</v>
      </c>
      <c r="E45" s="123" t="str">
        <f>IFERROR(__xludf.DUMMYFUNCTION("""COMPUTED_VALUE"""),"Cyberport Jobs Fair
Game Designer
Gamespace Limited
$15000 / Month
0900 - 1800 @Cyberport
")</f>
        <v>Cyberport Jobs Fair
Game Designer
Gamespace Limited
$15000 / Month
0900 - 1800 @Cyberport
</v>
      </c>
      <c r="F45" s="124" t="str">
        <f>IFERROR(__xludf.DUMMYFUNCTION("""COMPUTED_VALUE"""),"沒有回應 -- No Respond")</f>
        <v>沒有回應 -- No Respond</v>
      </c>
      <c r="G45" s="125" t="str">
        <f>IFERROR(__xludf.DUMMYFUNCTION("""COMPUTED_VALUE"""),"N/A")</f>
        <v>N/A</v>
      </c>
      <c r="H45" s="123" t="str">
        <f>IFERROR(__xludf.DUMMYFUNCTION("""COMPUTED_VALUE"""),"Game")</f>
        <v>Game</v>
      </c>
      <c r="I45" s="63"/>
    </row>
    <row r="46">
      <c r="B46" s="63"/>
      <c r="C46" s="121">
        <f>IFERROR(__xludf.DUMMYFUNCTION("""COMPUTED_VALUE"""),67.0)</f>
        <v>67</v>
      </c>
      <c r="D46" s="122">
        <f>IFERROR(__xludf.DUMMYFUNCTION("""COMPUTED_VALUE"""),43526.0)</f>
        <v>43526</v>
      </c>
      <c r="E46" s="123" t="str">
        <f>IFERROR(__xludf.DUMMYFUNCTION("""COMPUTED_VALUE"""),"Cyberport Jobs Fair
Game Developer
Gamespace Limited
$16500 / Month
0900 - 1800 @Cyberport
")</f>
        <v>Cyberport Jobs Fair
Game Developer
Gamespace Limited
$16500 / Month
0900 - 1800 @Cyberport
</v>
      </c>
      <c r="F46" s="124" t="str">
        <f>IFERROR(__xludf.DUMMYFUNCTION("""COMPUTED_VALUE"""),"沒有回應 -- No Respond")</f>
        <v>沒有回應 -- No Respond</v>
      </c>
      <c r="G46" s="125" t="str">
        <f>IFERROR(__xludf.DUMMYFUNCTION("""COMPUTED_VALUE"""),"N/A")</f>
        <v>N/A</v>
      </c>
      <c r="H46" s="123" t="str">
        <f>IFERROR(__xludf.DUMMYFUNCTION("""COMPUTED_VALUE"""),"Game")</f>
        <v>Game</v>
      </c>
      <c r="I46" s="63"/>
    </row>
    <row r="47">
      <c r="B47" s="63"/>
      <c r="C47" s="121">
        <f>IFERROR(__xludf.DUMMYFUNCTION("""COMPUTED_VALUE"""),68.0)</f>
        <v>68</v>
      </c>
      <c r="D47" s="122">
        <f>IFERROR(__xludf.DUMMYFUNCTION("""COMPUTED_VALUE"""),43531.0)</f>
        <v>43531</v>
      </c>
      <c r="E47" s="123" t="str">
        <f>IFERROR(__xludf.DUMMYFUNCTION("""COMPUTED_VALUE"""),"Teacher / Tutor
Baptist Oi Kwan Social Service HKE Family Dev Service CTR
$70 - $140 / Hours,  TKO
3pm - 6pm
")</f>
        <v>Teacher / Tutor
Baptist Oi Kwan Social Service HKE Family Dev Service CTR
$70 - $140 / Hours,  TKO
3pm - 6pm
</v>
      </c>
      <c r="F47" s="124" t="str">
        <f>IFERROR(__xludf.DUMMYFUNCTION("""COMPUTED_VALUE"""),"有出席面試機會 -- Interview Attended")</f>
        <v>有出席面試機會 -- Interview Attended</v>
      </c>
      <c r="G47" s="125" t="str">
        <f>IFERROR(__xludf.DUMMYFUNCTION("""COMPUTED_VALUE"""),"N/A")</f>
        <v>N/A</v>
      </c>
      <c r="H47" s="123" t="str">
        <f>IFERROR(__xludf.DUMMYFUNCTION("""COMPUTED_VALUE"""),"Education")</f>
        <v>Education</v>
      </c>
      <c r="I47" s="63"/>
    </row>
    <row r="48">
      <c r="B48" s="63"/>
      <c r="C48" s="121">
        <f>IFERROR(__xludf.DUMMYFUNCTION("""COMPUTED_VALUE"""),69.0)</f>
        <v>69</v>
      </c>
      <c r="D48" s="122">
        <f>IFERROR(__xludf.DUMMYFUNCTION("""COMPUTED_VALUE"""),43533.0)</f>
        <v>43533</v>
      </c>
      <c r="E48" s="123" t="str">
        <f>IFERROR(__xludf.DUMMYFUNCTION("""COMPUTED_VALUE"""),"遴選
葵芳青年就業起點
桌遊導師證書課程")</f>
        <v>遴選
葵芳青年就業起點
桌遊導師證書課程</v>
      </c>
      <c r="F48" s="124" t="str">
        <f>IFERROR(__xludf.DUMMYFUNCTION("""COMPUTED_VALUE"""),"不通過 Fail")</f>
        <v>不通過 Fail</v>
      </c>
      <c r="G48" s="125" t="str">
        <f>IFERROR(__xludf.DUMMYFUNCTION("""COMPUTED_VALUE"""),"N/A")</f>
        <v>N/A</v>
      </c>
      <c r="H48" s="123" t="str">
        <f>IFERROR(__xludf.DUMMYFUNCTION("""COMPUTED_VALUE"""),"Parttake-Event")</f>
        <v>Parttake-Event</v>
      </c>
      <c r="I48" s="63"/>
    </row>
    <row r="49">
      <c r="B49" s="63"/>
      <c r="C49" s="121">
        <f>IFERROR(__xludf.DUMMYFUNCTION("""COMPUTED_VALUE"""),70.0)</f>
        <v>70</v>
      </c>
      <c r="D49" s="122">
        <f>IFERROR(__xludf.DUMMYFUNCTION("""COMPUTED_VALUE"""),43534.0)</f>
        <v>43534</v>
      </c>
      <c r="E49" s="123" t="str">
        <f>IFERROR(__xludf.DUMMYFUNCTION("""COMPUTED_VALUE"""),"民政事務總署
中文寫作比賽 2019")</f>
        <v>民政事務總署
中文寫作比賽 2019</v>
      </c>
      <c r="F49" s="124" t="str">
        <f>IFERROR(__xludf.DUMMYFUNCTION("""COMPUTED_VALUE"""),"已出席 -- Partake")</f>
        <v>已出席 -- Partake</v>
      </c>
      <c r="G49" s="125" t="str">
        <f>IFERROR(__xludf.DUMMYFUNCTION("""COMPUTED_VALUE"""),"N/A")</f>
        <v>N/A</v>
      </c>
      <c r="H49" s="123" t="str">
        <f>IFERROR(__xludf.DUMMYFUNCTION("""COMPUTED_VALUE"""),"Parttake-Event")</f>
        <v>Parttake-Event</v>
      </c>
      <c r="I49" s="63"/>
    </row>
    <row r="50">
      <c r="B50" s="63"/>
      <c r="C50" s="121">
        <f>IFERROR(__xludf.DUMMYFUNCTION("""COMPUTED_VALUE"""),71.0)</f>
        <v>71</v>
      </c>
      <c r="D50" s="122">
        <f>IFERROR(__xludf.DUMMYFUNCTION("""COMPUTED_VALUE"""),43537.0)</f>
        <v>43537</v>
      </c>
      <c r="E50" s="123" t="str">
        <f>IFERROR(__xludf.DUMMYFUNCTION("""COMPUTED_VALUE"""),"Tutor
Beanstalk Education
$50 - $ 80 / Hours
2pm - 6pm
")</f>
        <v>Tutor
Beanstalk Education
$50 - $ 80 / Hours
2pm - 6pm
</v>
      </c>
      <c r="F50" s="124" t="str">
        <f>IFERROR(__xludf.DUMMYFUNCTION("""COMPUTED_VALUE"""),"已婉拒 Refused")</f>
        <v>已婉拒 Refused</v>
      </c>
      <c r="G50" s="125" t="str">
        <f>IFERROR(__xludf.DUMMYFUNCTION("""COMPUTED_VALUE"""),"現代小學士 彩虹匯八坊
$ 65
Too far, too low wage
跟本並非該區工作")</f>
        <v>現代小學士 彩虹匯八坊
$ 65
Too far, too low wage
跟本並非該區工作</v>
      </c>
      <c r="H50" s="123" t="str">
        <f>IFERROR(__xludf.DUMMYFUNCTION("""COMPUTED_VALUE"""),"Education")</f>
        <v>Education</v>
      </c>
      <c r="I50" s="63"/>
    </row>
    <row r="51">
      <c r="B51" s="63"/>
      <c r="C51" s="121">
        <f>IFERROR(__xludf.DUMMYFUNCTION("""COMPUTED_VALUE"""),72.0)</f>
        <v>72</v>
      </c>
      <c r="D51" s="122">
        <f>IFERROR(__xludf.DUMMYFUNCTION("""COMPUTED_VALUE"""),43537.0)</f>
        <v>43537</v>
      </c>
      <c r="E51" s="123" t="str">
        <f>IFERROR(__xludf.DUMMYFUNCTION("""COMPUTED_VALUE"""),"半職導師
名賢教育有限公司
$6000 - 7000
4pm - 8pm
")</f>
        <v>半職導師
名賢教育有限公司
$6000 - 7000
4pm - 8pm
</v>
      </c>
      <c r="F51" s="124" t="str">
        <f>IFERROR(__xludf.DUMMYFUNCTION("""COMPUTED_VALUE"""),"沒有回應 -- No Respond")</f>
        <v>沒有回應 -- No Respond</v>
      </c>
      <c r="G51" s="125" t="str">
        <f>IFERROR(__xludf.DUMMYFUNCTION("""COMPUTED_VALUE"""),"N/A")</f>
        <v>N/A</v>
      </c>
      <c r="H51" s="123" t="str">
        <f>IFERROR(__xludf.DUMMYFUNCTION("""COMPUTED_VALUE"""),"Education")</f>
        <v>Education</v>
      </c>
      <c r="I51" s="63"/>
    </row>
    <row r="52">
      <c r="B52" s="63"/>
      <c r="C52" s="126">
        <f>IFERROR(__xludf.DUMMYFUNCTION("""COMPUTED_VALUE"""),73.0)</f>
        <v>73</v>
      </c>
      <c r="D52" s="127">
        <f>IFERROR(__xludf.DUMMYFUNCTION("""COMPUTED_VALUE"""),43537.0)</f>
        <v>43537</v>
      </c>
      <c r="E52" s="128" t="str">
        <f>IFERROR(__xludf.DUMMYFUNCTION("""COMPUTED_VALUE"""),"Tutor
1+1 Education Lim TKO
$ 70 / Hour
3pm - 6pm
")</f>
        <v>Tutor
1+1 Education Lim TKO
$ 70 / Hour
3pm - 6pm
</v>
      </c>
      <c r="F52" s="129" t="str">
        <f>IFERROR(__xludf.DUMMYFUNCTION("""COMPUTED_VALUE"""),"已婉拒 Refused")</f>
        <v>已婉拒 Refused</v>
      </c>
      <c r="G52" s="130" t="str">
        <f>IFERROR(__xludf.DUMMYFUNCTION("""COMPUTED_VALUE"""),"Too far away, too low wage
跟本並非該區工作")</f>
        <v>Too far away, too low wage
跟本並非該區工作</v>
      </c>
      <c r="H52" s="128" t="str">
        <f>IFERROR(__xludf.DUMMYFUNCTION("""COMPUTED_VALUE"""),"Education")</f>
        <v>Education</v>
      </c>
      <c r="I52" s="63"/>
    </row>
    <row r="53">
      <c r="B53" s="63"/>
      <c r="C53" s="121">
        <f>IFERROR(__xludf.DUMMYFUNCTION("""COMPUTED_VALUE"""),74.0)</f>
        <v>74</v>
      </c>
      <c r="D53" s="122">
        <f>IFERROR(__xludf.DUMMYFUNCTION("""COMPUTED_VALUE"""),43537.0)</f>
        <v>43537</v>
      </c>
      <c r="E53" s="123" t="str">
        <f>IFERROR(__xludf.DUMMYFUNCTION("""COMPUTED_VALUE"""),"Teacher
德田補習學校
$55 - 70 / Hours
4pm - 8pm
")</f>
        <v>Teacher
德田補習學校
$55 - 70 / Hours
4pm - 8pm
</v>
      </c>
      <c r="F53" s="124" t="str">
        <f>IFERROR(__xludf.DUMMYFUNCTION("""COMPUTED_VALUE"""),"有出席面試機會 -- Interview Attended")</f>
        <v>有出席面試機會 -- Interview Attended</v>
      </c>
      <c r="G53" s="125" t="str">
        <f>IFERROR(__xludf.DUMMYFUNCTION("""COMPUTED_VALUE"""),"// 好忙//")</f>
        <v>// 好忙//</v>
      </c>
      <c r="H53" s="123" t="str">
        <f>IFERROR(__xludf.DUMMYFUNCTION("""COMPUTED_VALUE"""),"Education")</f>
        <v>Education</v>
      </c>
      <c r="I53" s="63"/>
    </row>
    <row r="54">
      <c r="B54" s="63"/>
      <c r="C54" s="121">
        <f>IFERROR(__xludf.DUMMYFUNCTION("""COMPUTED_VALUE"""),75.0)</f>
        <v>75</v>
      </c>
      <c r="D54" s="122">
        <f>IFERROR(__xludf.DUMMYFUNCTION("""COMPUTED_VALUE"""),43541.0)</f>
        <v>43541</v>
      </c>
      <c r="E54" s="123" t="str">
        <f>IFERROR(__xludf.DUMMYFUNCTION("""COMPUTED_VALUE"""),"Maths Tutor
數研俊彥補習中心
$12000 - 14000 / Month
1:45pm - 8pm
")</f>
        <v>Maths Tutor
數研俊彥補習中心
$12000 - 14000 / Month
1:45pm - 8pm
</v>
      </c>
      <c r="F54" s="124" t="str">
        <f>IFERROR(__xludf.DUMMYFUNCTION("""COMPUTED_VALUE"""),"大材小用 -- Overqualified")</f>
        <v>大材小用 -- Overqualified</v>
      </c>
      <c r="G54" s="125" t="str">
        <f>IFERROR(__xludf.DUMMYFUNCTION("""COMPUTED_VALUE"""),"N/A")</f>
        <v>N/A</v>
      </c>
      <c r="H54" s="123" t="str">
        <f>IFERROR(__xludf.DUMMYFUNCTION("""COMPUTED_VALUE"""),"Education")</f>
        <v>Education</v>
      </c>
      <c r="I54" s="63"/>
    </row>
    <row r="55">
      <c r="B55" s="63"/>
      <c r="C55" s="121">
        <f>IFERROR(__xludf.DUMMYFUNCTION("""COMPUTED_VALUE"""),76.0)</f>
        <v>76</v>
      </c>
      <c r="D55" s="122">
        <f>IFERROR(__xludf.DUMMYFUNCTION("""COMPUTED_VALUE"""),43541.0)</f>
        <v>43541</v>
      </c>
      <c r="E55" s="123" t="str">
        <f>IFERROR(__xludf.DUMMYFUNCTION("""COMPUTED_VALUE"""),"Maths Tutor
數研陽光(天晉)補習中心
$12000 - $15000 / Month
10 am - 7:45pm
")</f>
        <v>Maths Tutor
數研陽光(天晉)補習中心
$12000 - $15000 / Month
10 am - 7:45pm
</v>
      </c>
      <c r="F55" s="124" t="str">
        <f>IFERROR(__xludf.DUMMYFUNCTION("""COMPUTED_VALUE"""),"大材小用 -- Overqualified")</f>
        <v>大材小用 -- Overqualified</v>
      </c>
      <c r="G55" s="125" t="str">
        <f>IFERROR(__xludf.DUMMYFUNCTION("""COMPUTED_VALUE"""),"N/A")</f>
        <v>N/A</v>
      </c>
      <c r="H55" s="123" t="str">
        <f>IFERROR(__xludf.DUMMYFUNCTION("""COMPUTED_VALUE"""),"Education")</f>
        <v>Education</v>
      </c>
      <c r="I55" s="63"/>
    </row>
    <row r="56">
      <c r="B56" s="63"/>
      <c r="C56" s="121">
        <f>IFERROR(__xludf.DUMMYFUNCTION("""COMPUTED_VALUE"""),77.0)</f>
        <v>77</v>
      </c>
      <c r="D56" s="122">
        <f>IFERROR(__xludf.DUMMYFUNCTION("""COMPUTED_VALUE"""),43544.0)</f>
        <v>43544</v>
      </c>
      <c r="E56" s="123" t="str">
        <f>IFERROR(__xludf.DUMMYFUNCTION("""COMPUTED_VALUE"""),"一級技術支援服務主任
炮台山金文泰中學
$15186 / Month
Gov Office Hours")</f>
        <v>一級技術支援服務主任
炮台山金文泰中學
$15186 / Month
Gov Office Hours</v>
      </c>
      <c r="F56" s="124" t="str">
        <f>IFERROR(__xludf.DUMMYFUNCTION("""COMPUTED_VALUE"""),"沒有回應 -- No Respond")</f>
        <v>沒有回應 -- No Respond</v>
      </c>
      <c r="G56" s="125" t="str">
        <f>IFERROR(__xludf.DUMMYFUNCTION("""COMPUTED_VALUE"""),"N/A")</f>
        <v>N/A</v>
      </c>
      <c r="H56" s="123" t="str">
        <f>IFERROR(__xludf.DUMMYFUNCTION("""COMPUTED_VALUE"""),"Government")</f>
        <v>Government</v>
      </c>
      <c r="I56" s="63"/>
    </row>
    <row r="57">
      <c r="B57" s="63"/>
      <c r="C57" s="121">
        <f>IFERROR(__xludf.DUMMYFUNCTION("""COMPUTED_VALUE"""),78.0)</f>
        <v>78</v>
      </c>
      <c r="D57" s="122">
        <f>IFERROR(__xludf.DUMMYFUNCTION("""COMPUTED_VALUE"""),43547.0)</f>
        <v>43547</v>
      </c>
      <c r="E57" s="123" t="str">
        <f>IFERROR(__xludf.DUMMYFUNCTION("""COMPUTED_VALUE"""),"合約文員 41517
大學教育資助委員會秘書處
$13435  / Month
Gov Office Hours
")</f>
        <v>合約文員 41517
大學教育資助委員會秘書處
$13435  / Month
Gov Office Hours
</v>
      </c>
      <c r="F57" s="124" t="str">
        <f>IFERROR(__xludf.DUMMYFUNCTION("""COMPUTED_VALUE"""),"沒有回應 -- No Respond")</f>
        <v>沒有回應 -- No Respond</v>
      </c>
      <c r="G57" s="125" t="str">
        <f>IFERROR(__xludf.DUMMYFUNCTION("""COMPUTED_VALUE"""),"N/A")</f>
        <v>N/A</v>
      </c>
      <c r="H57" s="123" t="str">
        <f>IFERROR(__xludf.DUMMYFUNCTION("""COMPUTED_VALUE"""),"Government")</f>
        <v>Government</v>
      </c>
      <c r="I57" s="63"/>
    </row>
    <row r="58">
      <c r="B58" s="63"/>
      <c r="C58" s="121">
        <f>IFERROR(__xludf.DUMMYFUNCTION("""COMPUTED_VALUE"""),79.0)</f>
        <v>79</v>
      </c>
      <c r="D58" s="122">
        <f>IFERROR(__xludf.DUMMYFUNCTION("""COMPUTED_VALUE"""),43547.0)</f>
        <v>43547</v>
      </c>
      <c r="E58" s="123" t="str">
        <f>IFERROR(__xludf.DUMMYFUNCTION("""COMPUTED_VALUE"""),"常務助理
政制及內地事務局--選舉事務處所屬
$12270 / Month
0900 - 1800
")</f>
        <v>常務助理
政制及內地事務局--選舉事務處所屬
$12270 / Month
0900 - 1800
</v>
      </c>
      <c r="F58" s="124" t="str">
        <f>IFERROR(__xludf.DUMMYFUNCTION("""COMPUTED_VALUE"""),"已收到申請 Acknowledgement of Application")</f>
        <v>已收到申請 Acknowledgement of Application</v>
      </c>
      <c r="G58" s="125" t="str">
        <f>IFERROR(__xludf.DUMMYFUNCTION("""COMPUTED_VALUE"""),"8/5/2019
收到申請覆函")</f>
        <v>8/5/2019
收到申請覆函</v>
      </c>
      <c r="H58" s="123" t="str">
        <f>IFERROR(__xludf.DUMMYFUNCTION("""COMPUTED_VALUE"""),"Government")</f>
        <v>Government</v>
      </c>
      <c r="I58" s="63"/>
    </row>
    <row r="59">
      <c r="B59" s="63"/>
      <c r="C59" s="121">
        <f>IFERROR(__xludf.DUMMYFUNCTION("""COMPUTED_VALUE"""),80.0)</f>
        <v>80</v>
      </c>
      <c r="D59" s="122">
        <f>IFERROR(__xludf.DUMMYFUNCTION("""COMPUTED_VALUE"""),43548.0)</f>
        <v>43548</v>
      </c>
      <c r="E59" s="123" t="str">
        <f>IFERROR(__xludf.DUMMYFUNCTION("""COMPUTED_VALUE"""),"常務助理
選舉事務處 政制及內地事務局
$12270 / Month
Gov Office Time
")</f>
        <v>常務助理
選舉事務處 政制及內地事務局
$12270 / Month
Gov Office Time
</v>
      </c>
      <c r="F59" s="124" t="str">
        <f>IFERROR(__xludf.DUMMYFUNCTION("""COMPUTED_VALUE"""),"仍在發展 -- Developmenting")</f>
        <v>仍在發展 -- Developmenting</v>
      </c>
      <c r="G59" s="125" t="str">
        <f>IFERROR(__xludf.DUMMYFUNCTION("""COMPUTED_VALUE"""),"Letter of Application Acknowledgement
11/6/2019
Interview and Computer Skill Test
(13/F, KITEC)")</f>
        <v>Letter of Application Acknowledgement
11/6/2019
Interview and Computer Skill Test
(13/F, KITEC)</v>
      </c>
      <c r="H59" s="123" t="str">
        <f>IFERROR(__xludf.DUMMYFUNCTION("""COMPUTED_VALUE"""),"Government")</f>
        <v>Government</v>
      </c>
      <c r="I59" s="63"/>
    </row>
    <row r="60">
      <c r="B60" s="63"/>
      <c r="C60" s="121">
        <f>IFERROR(__xludf.DUMMYFUNCTION("""COMPUTED_VALUE"""),81.0)</f>
        <v>81</v>
      </c>
      <c r="D60" s="122">
        <f>IFERROR(__xludf.DUMMYFUNCTION("""COMPUTED_VALUE"""),43556.0)</f>
        <v>43556</v>
      </c>
      <c r="E60" s="123" t="str">
        <f>IFERROR(__xludf.DUMMYFUNCTION("""COMPUTED_VALUE"""),"CRE / BLT Application")</f>
        <v>CRE / BLT Application</v>
      </c>
      <c r="F60" s="124" t="str">
        <f>IFERROR(__xludf.DUMMYFUNCTION("""COMPUTED_VALUE"""),"主辦方拒絕 Host Rejected")</f>
        <v>主辦方拒絕 Host Rejected</v>
      </c>
      <c r="G60" s="125" t="str">
        <f>IFERROR(__xludf.DUMMYFUNCTION("""COMPUTED_VALUE"""),"8 Apr 2019 Denied, lack of degree; but with appreciation with brave.")</f>
        <v>8 Apr 2019 Denied, lack of degree; but with appreciation with brave.</v>
      </c>
      <c r="H60" s="123" t="str">
        <f>IFERROR(__xludf.DUMMYFUNCTION("""COMPUTED_VALUE"""),"")</f>
        <v/>
      </c>
      <c r="I60" s="63"/>
    </row>
    <row r="61">
      <c r="B61" s="63"/>
      <c r="C61" s="121">
        <f>IFERROR(__xludf.DUMMYFUNCTION("""COMPUTED_VALUE"""),82.0)</f>
        <v>82</v>
      </c>
      <c r="D61" s="122">
        <f>IFERROR(__xludf.DUMMYFUNCTION("""COMPUTED_VALUE"""),43557.0)</f>
        <v>43557</v>
      </c>
      <c r="E61" s="123" t="str">
        <f>IFERROR(__xludf.DUMMYFUNCTION("""COMPUTED_VALUE"""),"合約文員
民政事務總處——專責事務組
$12170/Month
0900 - 1800
")</f>
        <v>合約文員
民政事務總處——專責事務組
$12170/Month
0900 - 1800
</v>
      </c>
      <c r="F61" s="124" t="str">
        <f>IFERROR(__xludf.DUMMYFUNCTION("""COMPUTED_VALUE"""),"已收到申請 Acknowledgement of Application")</f>
        <v>已收到申請 Acknowledgement of Application</v>
      </c>
      <c r="G61" s="125" t="str">
        <f>IFERROR(__xludf.DUMMYFUNCTION("""COMPUTED_VALUE"""),"=9/5/2019
收到申請覆函")</f>
        <v>=9/5/2019
收到申請覆函</v>
      </c>
      <c r="H61" s="123" t="str">
        <f>IFERROR(__xludf.DUMMYFUNCTION("""COMPUTED_VALUE"""),"Government")</f>
        <v>Government</v>
      </c>
      <c r="I61" s="63"/>
    </row>
    <row r="62">
      <c r="B62" s="63"/>
      <c r="C62" s="121">
        <f>IFERROR(__xludf.DUMMYFUNCTION("""COMPUTED_VALUE"""),83.0)</f>
        <v>83</v>
      </c>
      <c r="D62" s="122">
        <f>IFERROR(__xludf.DUMMYFUNCTION("""COMPUTED_VALUE"""),43557.0)</f>
        <v>43557</v>
      </c>
      <c r="E62" s="123" t="str">
        <f>IFERROR(__xludf.DUMMYFUNCTION("""COMPUTED_VALUE"""),"合約文員 41565
專責事務組 民政事務總署
$12170 / Month
Gov Office Time")</f>
        <v>合約文員 41565
專責事務組 民政事務總署
$12170 / Month
Gov Office Time</v>
      </c>
      <c r="F62" s="124" t="str">
        <f>IFERROR(__xludf.DUMMYFUNCTION("""COMPUTED_VALUE"""),"已收到申請 Acknowledgement of Application")</f>
        <v>已收到申請 Acknowledgement of Application</v>
      </c>
      <c r="G62" s="125" t="str">
        <f>IFERROR(__xludf.DUMMYFUNCTION("""COMPUTED_VALUE"""),"Letter of Application Acknowledgement 038
")</f>
        <v>Letter of Application Acknowledgement 038
</v>
      </c>
      <c r="H62" s="123" t="str">
        <f>IFERROR(__xludf.DUMMYFUNCTION("""COMPUTED_VALUE"""),"Government")</f>
        <v>Government</v>
      </c>
      <c r="I62" s="63"/>
    </row>
    <row r="63">
      <c r="B63" s="63"/>
      <c r="C63" s="121">
        <f>IFERROR(__xludf.DUMMYFUNCTION("""COMPUTED_VALUE"""),84.0)</f>
        <v>84</v>
      </c>
      <c r="D63" s="122">
        <f>IFERROR(__xludf.DUMMYFUNCTION("""COMPUTED_VALUE"""),43567.0)</f>
        <v>43567</v>
      </c>
      <c r="E63" s="123" t="str">
        <f>IFERROR(__xludf.DUMMYFUNCTION("""COMPUTED_VALUE"""),"Data Center Operations Assistant
HKEAA
Salary and working time not stated
Contract up to 31 Aug 2019
")</f>
        <v>Data Center Operations Assistant
HKEAA
Salary and working time not stated
Contract up to 31 Aug 2019
</v>
      </c>
      <c r="F63" s="124" t="str">
        <f>IFERROR(__xludf.DUMMYFUNCTION("""COMPUTED_VALUE"""),"家人拒絕 -- Family Refused")</f>
        <v>家人拒絕 -- Family Refused</v>
      </c>
      <c r="G63" s="125" t="str">
        <f>IFERROR(__xludf.DUMMYFUNCTION("""COMPUTED_VALUE"""),"N/A")</f>
        <v>N/A</v>
      </c>
      <c r="H63" s="123" t="str">
        <f>IFERROR(__xludf.DUMMYFUNCTION("""COMPUTED_VALUE"""),"Government")</f>
        <v>Government</v>
      </c>
      <c r="I63" s="63"/>
    </row>
    <row r="64">
      <c r="B64" s="63"/>
      <c r="C64" s="121">
        <f>IFERROR(__xludf.DUMMYFUNCTION("""COMPUTED_VALUE"""),85.0)</f>
        <v>85</v>
      </c>
      <c r="D64" s="122">
        <f>IFERROR(__xludf.DUMMYFUNCTION("""COMPUTED_VALUE"""),43567.0)</f>
        <v>43567</v>
      </c>
      <c r="E64" s="123" t="str">
        <f>IFERROR(__xludf.DUMMYFUNCTION("""COMPUTED_VALUE"""),"兼職中心助理 (將軍澳)
HKEAA 考評局
Salary and working time not stated
")</f>
        <v>兼職中心助理 (將軍澳)
HKEAA 考評局
Salary and working time not stated
</v>
      </c>
      <c r="F64" s="124" t="str">
        <f>IFERROR(__xludf.DUMMYFUNCTION("""COMPUTED_VALUE"""),"沒有回應 -- No Respond")</f>
        <v>沒有回應 -- No Respond</v>
      </c>
      <c r="G64" s="125" t="str">
        <f>IFERROR(__xludf.DUMMYFUNCTION("""COMPUTED_VALUE"""),"N/A")</f>
        <v>N/A</v>
      </c>
      <c r="H64" s="123" t="str">
        <f>IFERROR(__xludf.DUMMYFUNCTION("""COMPUTED_VALUE"""),"Government")</f>
        <v>Government</v>
      </c>
      <c r="I64" s="63"/>
    </row>
    <row r="65">
      <c r="B65" s="63"/>
      <c r="C65" s="121">
        <f>IFERROR(__xludf.DUMMYFUNCTION("""COMPUTED_VALUE"""),86.0)</f>
        <v>86</v>
      </c>
      <c r="D65" s="122">
        <f>IFERROR(__xludf.DUMMYFUNCTION("""COMPUTED_VALUE"""),43567.0)</f>
        <v>43567</v>
      </c>
      <c r="E65" s="123" t="str">
        <f>IFERROR(__xludf.DUMMYFUNCTION("""COMPUTED_VALUE"""),"Term Executive Assistant II/III
O/LVL/Term EA2_3/04/19
HKIVE (Lee Wai Lee)
Salary not stated (Offer $14000)
Working Time Not Stated
")</f>
        <v>Term Executive Assistant II/III
O/LVL/Term EA2_3/04/19
HKIVE (Lee Wai Lee)
Salary not stated (Offer $14000)
Working Time Not Stated
</v>
      </c>
      <c r="F65" s="124" t="str">
        <f>IFERROR(__xludf.DUMMYFUNCTION("""COMPUTED_VALUE"""),"有出席面試機會 -- Interview Attended")</f>
        <v>有出席面試機會 -- Interview Attended</v>
      </c>
      <c r="G65" s="125" t="str">
        <f>IFERROR(__xludf.DUMMYFUNCTION("""COMPUTED_VALUE"""),"//Computer Skill Test on 8 May 2019 3:15pm
//Shortlisted
//Interviewed on 17 May 2019")</f>
        <v>//Computer Skill Test on 8 May 2019 3:15pm
//Shortlisted
//Interviewed on 17 May 2019</v>
      </c>
      <c r="H65" s="123" t="str">
        <f>IFERROR(__xludf.DUMMYFUNCTION("""COMPUTED_VALUE"""),"Clerk")</f>
        <v>Clerk</v>
      </c>
      <c r="I65" s="63"/>
    </row>
    <row r="66">
      <c r="B66" s="63"/>
      <c r="C66" s="121">
        <f>IFERROR(__xludf.DUMMYFUNCTION("""COMPUTED_VALUE"""),87.0)</f>
        <v>87</v>
      </c>
      <c r="D66" s="122">
        <f>IFERROR(__xludf.DUMMYFUNCTION("""COMPUTED_VALUE"""),43577.0)</f>
        <v>43577</v>
      </c>
      <c r="E66" s="123" t="str">
        <f>IFERROR(__xludf.DUMMYFUNCTION("""COMPUTED_VALUE"""),"Internship of Assessment Technology and Research
HKEAA
Salary and working time not stated
")</f>
        <v>Internship of Assessment Technology and Research
HKEAA
Salary and working time not stated
</v>
      </c>
      <c r="F66" s="124" t="str">
        <f>IFERROR(__xludf.DUMMYFUNCTION("""COMPUTED_VALUE"""),"沒有回應 -- No Respond")</f>
        <v>沒有回應 -- No Respond</v>
      </c>
      <c r="G66" s="125" t="str">
        <f>IFERROR(__xludf.DUMMYFUNCTION("""COMPUTED_VALUE"""),"N/A")</f>
        <v>N/A</v>
      </c>
      <c r="H66" s="123" t="str">
        <f>IFERROR(__xludf.DUMMYFUNCTION("""COMPUTED_VALUE"""),"Government")</f>
        <v>Government</v>
      </c>
      <c r="I66" s="63"/>
    </row>
    <row r="67">
      <c r="B67" s="63"/>
      <c r="C67" s="121">
        <f>IFERROR(__xludf.DUMMYFUNCTION("""COMPUTED_VALUE"""),88.0)</f>
        <v>88</v>
      </c>
      <c r="D67" s="122">
        <f>IFERROR(__xludf.DUMMYFUNCTION("""COMPUTED_VALUE"""),43577.0)</f>
        <v>43577</v>
      </c>
      <c r="E67" s="123" t="str">
        <f>IFERROR(__xludf.DUMMYFUNCTION("""COMPUTED_VALUE"""),"WorldSkills 2019 Application
1) Game Level Programming
2) 3D Modelling and Art")</f>
        <v>WorldSkills 2019 Application
1) Game Level Programming
2) 3D Modelling and Art</v>
      </c>
      <c r="F67" s="124" t="str">
        <f>IFERROR(__xludf.DUMMYFUNCTION("""COMPUTED_VALUE"""),"已收到申請 Acknowledgement of Application")</f>
        <v>已收到申請 Acknowledgement of Application</v>
      </c>
      <c r="G67" s="125" t="str">
        <f>IFERROR(__xludf.DUMMYFUNCTION("""COMPUTED_VALUE"""),"25 Apr 2019 -- 
Receive Application, Reviewing")</f>
        <v>25 Apr 2019 -- 
Receive Application, Reviewing</v>
      </c>
      <c r="H67" s="123" t="str">
        <f>IFERROR(__xludf.DUMMYFUNCTION("""COMPUTED_VALUE"""),"Parttake-Event")</f>
        <v>Parttake-Event</v>
      </c>
      <c r="I67" s="63"/>
    </row>
    <row r="68">
      <c r="B68" s="63"/>
      <c r="C68" s="121">
        <f>IFERROR(__xludf.DUMMYFUNCTION("""COMPUTED_VALUE"""),89.0)</f>
        <v>89</v>
      </c>
      <c r="D68" s="122">
        <f>IFERROR(__xludf.DUMMYFUNCTION("""COMPUTED_VALUE"""),43577.0)</f>
        <v>43577</v>
      </c>
      <c r="E68" s="123" t="str">
        <f>IFERROR(__xludf.DUMMYFUNCTION("""COMPUTED_VALUE"""),"手機遊戲測試員
利達網絡有限公司 CR 2593244
Latersoft
$500 / Day
10am - 6pm
1wk working contract
")</f>
        <v>手機遊戲測試員
利達網絡有限公司 CR 2593244
Latersoft
$500 / Day
10am - 6pm
1wk working contract
</v>
      </c>
      <c r="F68" s="124" t="str">
        <f>IFERROR(__xludf.DUMMYFUNCTION("""COMPUTED_VALUE"""),"有出席面試機會 -- Interview Attended")</f>
        <v>有出席面試機會 -- Interview Attended</v>
      </c>
      <c r="G68" s="125" t="str">
        <f>IFERROR(__xludf.DUMMYFUNCTION("""COMPUTED_VALUE"""),"23Apr2019 -- Interviewed by email
Q1) Played what game in list? 
Darksoul, bloodborne, dead rising, devil may cry.
Q2) PUBG Mobile, Identity 5, 崩3, Darkness Rise
Q3) PS4, XBOX, Switch, 
PS1, PS2, PS3, SuperNitendo, STUM, N64, NES
Q4) Android / IOS")</f>
        <v>23Apr2019 -- Interviewed by email
Q1) Played what game in list? 
Darksoul, bloodborne, dead rising, devil may cry.
Q2) PUBG Mobile, Identity 5, 崩3, Darkness Rise
Q3) PS4, XBOX, Switch, 
PS1, PS2, PS3, SuperNitendo, STUM, N64, NES
Q4) Android / IOS</v>
      </c>
      <c r="H68" s="123" t="str">
        <f>IFERROR(__xludf.DUMMYFUNCTION("""COMPUTED_VALUE"""),"Game")</f>
        <v>Game</v>
      </c>
      <c r="I68" s="63"/>
    </row>
    <row r="69">
      <c r="B69" s="63"/>
      <c r="C69" s="121">
        <f>IFERROR(__xludf.DUMMYFUNCTION("""COMPUTED_VALUE"""),90.0)</f>
        <v>90</v>
      </c>
      <c r="D69" s="122">
        <f>IFERROR(__xludf.DUMMYFUNCTION("""COMPUTED_VALUE"""),43578.0)</f>
        <v>43578</v>
      </c>
      <c r="E69" s="123" t="str">
        <f>IFERROR(__xludf.DUMMYFUNCTION("""COMPUTED_VALUE"""),"項目統籌
觀塘民政事務署--民政事務總署
$15650 / Month
Gov Office Time
")</f>
        <v>項目統籌
觀塘民政事務署--民政事務總署
$15650 / Month
Gov Office Time
</v>
      </c>
      <c r="F69" s="124" t="str">
        <f>IFERROR(__xludf.DUMMYFUNCTION("""COMPUTED_VALUE"""),"沒有回應 -- No Respond")</f>
        <v>沒有回應 -- No Respond</v>
      </c>
      <c r="G69" s="125" t="str">
        <f>IFERROR(__xludf.DUMMYFUNCTION("""COMPUTED_VALUE"""),"N/A")</f>
        <v>N/A</v>
      </c>
      <c r="H69" s="123" t="str">
        <f>IFERROR(__xludf.DUMMYFUNCTION("""COMPUTED_VALUE"""),"Government")</f>
        <v>Government</v>
      </c>
      <c r="I69" s="63"/>
    </row>
    <row r="70">
      <c r="B70" s="63"/>
      <c r="C70" s="121">
        <f>IFERROR(__xludf.DUMMYFUNCTION("""COMPUTED_VALUE"""),91.0)</f>
        <v>91</v>
      </c>
      <c r="D70" s="122">
        <f>IFERROR(__xludf.DUMMYFUNCTION("""COMPUTED_VALUE"""),43579.0)</f>
        <v>43579</v>
      </c>
      <c r="E70" s="123" t="str">
        <f>IFERROR(__xludf.DUMMYFUNCTION("""COMPUTED_VALUE"""),"圖書館助理
基督教宣道會宣基小學
$12000 - 13000
0800 - 1700 長短週
")</f>
        <v>圖書館助理
基督教宣道會宣基小學
$12000 - 13000
0800 - 1700 長短週
</v>
      </c>
      <c r="F70" s="124" t="str">
        <f>IFERROR(__xludf.DUMMYFUNCTION("""COMPUTED_VALUE"""),"質疑宗教與個人能力之間的關係 -- Religion Related")</f>
        <v>質疑宗教與個人能力之間的關係 -- Religion Related</v>
      </c>
      <c r="G70" s="125" t="str">
        <f>IFERROR(__xludf.DUMMYFUNCTION("""COMPUTED_VALUE"""),"15 May 2019 -- Interviewed in Library")</f>
        <v>15 May 2019 -- Interviewed in Library</v>
      </c>
      <c r="H70" s="123" t="str">
        <f>IFERROR(__xludf.DUMMYFUNCTION("""COMPUTED_VALUE"""),"Clerk")</f>
        <v>Clerk</v>
      </c>
      <c r="I70" s="63"/>
    </row>
    <row r="71">
      <c r="B71" s="63"/>
      <c r="C71" s="121">
        <f>IFERROR(__xludf.DUMMYFUNCTION("""COMPUTED_VALUE"""),92.0)</f>
        <v>92</v>
      </c>
      <c r="D71" s="122">
        <f>IFERROR(__xludf.DUMMYFUNCTION("""COMPUTED_VALUE"""),43580.0)</f>
        <v>43580</v>
      </c>
      <c r="E71" s="123" t="str">
        <f>IFERROR(__xludf.DUMMYFUNCTION("""COMPUTED_VALUE"""),"YETP office, Government Call-in
We have two jobs want to introduce to you.
I) Internship of Airplane Maintenance -- Chek Lap Kok --  $10840 / Month
II) Internship of Storage Operator (II) -- Yeun Long -- $9800 / Month")</f>
        <v>YETP office, Government Call-in
We have two jobs want to introduce to you.
I) Internship of Airplane Maintenance -- Chek Lap Kok --  $10840 / Month
II) Internship of Storage Operator (II) -- Yeun Long -- $9800 / Month</v>
      </c>
      <c r="F71" s="124" t="str">
        <f>IFERROR(__xludf.DUMMYFUNCTION("""COMPUTED_VALUE"""),"已婉拒 Refused")</f>
        <v>已婉拒 Refused</v>
      </c>
      <c r="G71" s="125" t="str">
        <f>IFERROR(__xludf.DUMMYFUNCTION("""COMPUTED_VALUE"""),"Too far away, and too low wage
Take too much travel expense and time")</f>
        <v>Too far away, and too low wage
Take too much travel expense and time</v>
      </c>
      <c r="H71" s="123" t="str">
        <f>IFERROR(__xludf.DUMMYFUNCTION("""COMPUTED_VALUE"""),"Government")</f>
        <v>Government</v>
      </c>
      <c r="I71" s="63"/>
    </row>
    <row r="72">
      <c r="B72" s="63"/>
      <c r="C72" s="121">
        <f>IFERROR(__xludf.DUMMYFUNCTION("""COMPUTED_VALUE"""),93.0)</f>
        <v>93</v>
      </c>
      <c r="D72" s="122">
        <f>IFERROR(__xludf.DUMMYFUNCTION("""COMPUTED_VALUE"""),43580.0)</f>
        <v>43580</v>
      </c>
      <c r="E72" s="123" t="str">
        <f>IFERROR(__xludf.DUMMYFUNCTION("""COMPUTED_VALUE"""),"葵芳青年就業起點
CV360
11052019 1430-1630
")</f>
        <v>葵芳青年就業起點
CV360
11052019 1430-1630
</v>
      </c>
      <c r="F72" s="124" t="str">
        <f>IFERROR(__xludf.DUMMYFUNCTION("""COMPUTED_VALUE"""),"主動取消 Cancelled (Self)")</f>
        <v>主動取消 Cancelled (Self)</v>
      </c>
      <c r="G72" s="125" t="str">
        <f>IFERROR(__xludf.DUMMYFUNCTION("""COMPUTED_VALUE"""),"N/A")</f>
        <v>N/A</v>
      </c>
      <c r="H72" s="123" t="str">
        <f>IFERROR(__xludf.DUMMYFUNCTION("""COMPUTED_VALUE"""),"Parttake-Event")</f>
        <v>Parttake-Event</v>
      </c>
      <c r="I72" s="63"/>
    </row>
    <row r="73">
      <c r="B73" s="63"/>
      <c r="C73" s="121">
        <f>IFERROR(__xludf.DUMMYFUNCTION("""COMPUTED_VALUE"""),94.0)</f>
        <v>94</v>
      </c>
      <c r="D73" s="122">
        <f>IFERROR(__xludf.DUMMYFUNCTION("""COMPUTED_VALUE"""),43581.0)</f>
        <v>43581</v>
      </c>
      <c r="E73" s="123" t="str">
        <f>IFERROR(__xludf.DUMMYFUNCTION("""COMPUTED_VALUE"""),"電競實習支援計劃
查詢")</f>
        <v>電競實習支援計劃
查詢</v>
      </c>
      <c r="F73" s="124" t="str">
        <f>IFERROR(__xludf.DUMMYFUNCTION("""COMPUTED_VALUE"""),"已完成 -- Completed")</f>
        <v>已完成 -- Completed</v>
      </c>
      <c r="G73" s="125" t="str">
        <f>IFERROR(__xludf.DUMMYFUNCTION("""COMPUTED_VALUE"""),"N/A")</f>
        <v>N/A</v>
      </c>
      <c r="H73" s="123" t="str">
        <f>IFERROR(__xludf.DUMMYFUNCTION("""COMPUTED_VALUE"""),"Parttake-Event")</f>
        <v>Parttake-Event</v>
      </c>
      <c r="I73" s="63"/>
    </row>
    <row r="74">
      <c r="B74" s="63"/>
      <c r="C74" s="121">
        <f>IFERROR(__xludf.DUMMYFUNCTION("""COMPUTED_VALUE"""),95.0)</f>
        <v>95</v>
      </c>
      <c r="D74" s="122">
        <f>IFERROR(__xludf.DUMMYFUNCTION("""COMPUTED_VALUE"""),43582.0)</f>
        <v>43582</v>
      </c>
      <c r="E74" s="123" t="str">
        <f>IFERROR(__xludf.DUMMYFUNCTION("""COMPUTED_VALUE"""),"文員 41696
政府統計處--普查人口統計科/
策劃科(I/II)/貿易資料處理組/住戶開支統計審查組
$13430
Gov Office Time")</f>
        <v>文員 41696
政府統計處--普查人口統計科/
策劃科(I/II)/貿易資料處理組/住戶開支統計審查組
$13430
Gov Office Time</v>
      </c>
      <c r="F74" s="124" t="str">
        <f>IFERROR(__xludf.DUMMYFUNCTION("""COMPUTED_VALUE"""),"沒有回應 -- No Respond")</f>
        <v>沒有回應 -- No Respond</v>
      </c>
      <c r="G74" s="125" t="str">
        <f>IFERROR(__xludf.DUMMYFUNCTION("""COMPUTED_VALUE"""),"N/A")</f>
        <v>N/A</v>
      </c>
      <c r="H74" s="123" t="str">
        <f>IFERROR(__xludf.DUMMYFUNCTION("""COMPUTED_VALUE"""),"Government")</f>
        <v>Government</v>
      </c>
      <c r="I74" s="63"/>
    </row>
    <row r="75">
      <c r="B75" s="63"/>
      <c r="C75" s="121">
        <f>IFERROR(__xludf.DUMMYFUNCTION("""COMPUTED_VALUE"""),96.0)</f>
        <v>96</v>
      </c>
      <c r="D75" s="122">
        <f>IFERROR(__xludf.DUMMYFUNCTION("""COMPUTED_VALUE"""),43583.0)</f>
        <v>43583</v>
      </c>
      <c r="E75" s="123" t="str">
        <f>IFERROR(__xludf.DUMMYFUNCTION("""COMPUTED_VALUE"""),"產品分類助理
VAC0113842
貿易發展局
$12000 / Month
Gov Office Time")</f>
        <v>產品分類助理
VAC0113842
貿易發展局
$12000 / Month
Gov Office Time</v>
      </c>
      <c r="F75" s="124" t="str">
        <f>IFERROR(__xludf.DUMMYFUNCTION("""COMPUTED_VALUE"""),"仍在發展 -- Developmenting")</f>
        <v>仍在發展 -- Developmenting</v>
      </c>
      <c r="G75" s="125" t="str">
        <f>IFERROR(__xludf.DUMMYFUNCTION("""COMPUTED_VALUE"""),"24 May 2019 -- 招聘日Interview")</f>
        <v>24 May 2019 -- 招聘日Interview</v>
      </c>
      <c r="H75" s="123" t="str">
        <f>IFERROR(__xludf.DUMMYFUNCTION("""COMPUTED_VALUE"""),"Government")</f>
        <v>Government</v>
      </c>
      <c r="I75" s="63"/>
    </row>
    <row r="76">
      <c r="B76" s="63"/>
      <c r="C76" s="121">
        <f>IFERROR(__xludf.DUMMYFUNCTION("""COMPUTED_VALUE"""),97.0)</f>
        <v>97</v>
      </c>
      <c r="D76" s="122">
        <f>IFERROR(__xludf.DUMMYFUNCTION("""COMPUTED_VALUE"""),43583.0)</f>
        <v>43583</v>
      </c>
      <c r="E76" s="123" t="str">
        <f>IFERROR(__xludf.DUMMYFUNCTION("""COMPUTED_VALUE"""),"網頁編輯員
VAC0113844
貿易發展局
$12000 / Month
Gov Office Time
")</f>
        <v>網頁編輯員
VAC0113844
貿易發展局
$12000 / Month
Gov Office Time
</v>
      </c>
      <c r="F76" s="124" t="str">
        <f>IFERROR(__xludf.DUMMYFUNCTION("""COMPUTED_VALUE"""),"仍在發展 -- Developmenting")</f>
        <v>仍在發展 -- Developmenting</v>
      </c>
      <c r="G76" s="125" t="str">
        <f>IFERROR(__xludf.DUMMYFUNCTION("""COMPUTED_VALUE"""),"24 May 2019 -- 招聘日Interview")</f>
        <v>24 May 2019 -- 招聘日Interview</v>
      </c>
      <c r="H76" s="123" t="str">
        <f>IFERROR(__xludf.DUMMYFUNCTION("""COMPUTED_VALUE"""),"Government")</f>
        <v>Government</v>
      </c>
      <c r="I76" s="63"/>
    </row>
    <row r="77">
      <c r="B77" s="63"/>
      <c r="C77" s="121">
        <f>IFERROR(__xludf.DUMMYFUNCTION("""COMPUTED_VALUE"""),98.0)</f>
        <v>98</v>
      </c>
      <c r="D77" s="122">
        <f>IFERROR(__xludf.DUMMYFUNCTION("""COMPUTED_VALUE"""),43586.0)</f>
        <v>43586</v>
      </c>
      <c r="E77" s="123" t="str">
        <f>IFERROR(__xludf.DUMMYFUNCTION("""COMPUTED_VALUE"""),"Transport Services Assistant (I)
Transport Department, HKSARG
$ 13260 / Month
5 day; 44 hours
")</f>
        <v>Transport Services Assistant (I)
Transport Department, HKSARG
$ 13260 / Month
5 day; 44 hours
</v>
      </c>
      <c r="F77" s="124" t="str">
        <f>IFERROR(__xludf.DUMMYFUNCTION("""COMPUTED_VALUE"""),"已收到申請 Acknowledgement of Application")</f>
        <v>已收到申請 Acknowledgement of Application</v>
      </c>
      <c r="G77" s="125" t="str">
        <f>IFERROR(__xludf.DUMMYFUNCTION("""COMPUTED_VALUE"""),"10/5/2019
Receive Acknowledgement of Application letter
000037")</f>
        <v>10/5/2019
Receive Acknowledgement of Application letter
000037</v>
      </c>
      <c r="H77" s="123" t="str">
        <f>IFERROR(__xludf.DUMMYFUNCTION("""COMPUTED_VALUE"""),"Government")</f>
        <v>Government</v>
      </c>
      <c r="I77" s="63"/>
    </row>
    <row r="78">
      <c r="B78" s="63"/>
      <c r="C78" s="121">
        <f>IFERROR(__xludf.DUMMYFUNCTION("""COMPUTED_VALUE"""),99.0)</f>
        <v>99</v>
      </c>
      <c r="D78" s="122">
        <f>IFERROR(__xludf.DUMMYFUNCTION("""COMPUTED_VALUE"""),43589.0)</f>
        <v>43589</v>
      </c>
      <c r="E78" s="123" t="str">
        <f>IFERROR(__xludf.DUMMYFUNCTION("""COMPUTED_VALUE"""),"葵芳青年就業起點
管理及策略團隊培訓 桌遊活動
04/05/2019 1130-1830")</f>
        <v>葵芳青年就業起點
管理及策略團隊培訓 桌遊活動
04/05/2019 1130-1830</v>
      </c>
      <c r="F78" s="124" t="str">
        <f>IFERROR(__xludf.DUMMYFUNCTION("""COMPUTED_VALUE"""),"主辦取消 Cancelled (Org)")</f>
        <v>主辦取消 Cancelled (Org)</v>
      </c>
      <c r="G78" s="125" t="str">
        <f>IFERROR(__xludf.DUMMYFUNCTION("""COMPUTED_VALUE"""),"3 May 2019 因人數不足取消活動")</f>
        <v>3 May 2019 因人數不足取消活動</v>
      </c>
      <c r="H78" s="123" t="str">
        <f>IFERROR(__xludf.DUMMYFUNCTION("""COMPUTED_VALUE"""),"Parttake-Event")</f>
        <v>Parttake-Event</v>
      </c>
      <c r="I78" s="63"/>
    </row>
    <row r="79">
      <c r="B79" s="63"/>
      <c r="C79" s="121">
        <f>IFERROR(__xludf.DUMMYFUNCTION("""COMPUTED_VALUE"""),100.0)</f>
        <v>100</v>
      </c>
      <c r="D79" s="122">
        <f>IFERROR(__xludf.DUMMYFUNCTION("""COMPUTED_VALUE"""),43600.0)</f>
        <v>43600</v>
      </c>
      <c r="E79" s="123" t="str">
        <f>IFERROR(__xludf.DUMMYFUNCTION("""COMPUTED_VALUE"""),"HK Cantonese Linguistic Analyst
Wistron Information Tech and Service Limited
查冊 CR 0886150
$13000 - 15000
0900 - 1800 , 5day work bank hoilday
OT Pay, No exp reqire
")</f>
        <v>HK Cantonese Linguistic Analyst
Wistron Information Tech and Service Limited
查冊 CR 0886150
$13000 - 15000
0900 - 1800 , 5day work bank hoilday
OT Pay, No exp reqire
</v>
      </c>
      <c r="F79" s="124" t="str">
        <f>IFERROR(__xludf.DUMMYFUNCTION("""COMPUTED_VALUE"""),"沒有回應 -- No Respond")</f>
        <v>沒有回應 -- No Respond</v>
      </c>
      <c r="G79" s="125" t="str">
        <f>IFERROR(__xludf.DUMMYFUNCTION("""COMPUTED_VALUE"""),"N/A")</f>
        <v>N/A</v>
      </c>
      <c r="H79" s="123" t="str">
        <f>IFERROR(__xludf.DUMMYFUNCTION("""COMPUTED_VALUE"""),"IT")</f>
        <v>IT</v>
      </c>
      <c r="I79" s="63"/>
    </row>
    <row r="80">
      <c r="B80" s="63"/>
      <c r="C80" s="121">
        <f>IFERROR(__xludf.DUMMYFUNCTION("""COMPUTED_VALUE"""),101.0)</f>
        <v>101</v>
      </c>
      <c r="D80" s="122">
        <f>IFERROR(__xludf.DUMMYFUNCTION("""COMPUTED_VALUE"""),43602.0)</f>
        <v>43602</v>
      </c>
      <c r="E80" s="123" t="str">
        <f>IFERROR(__xludf.DUMMYFUNCTION("""COMPUTED_VALUE"""),"電競實習支援計劃
履歷 及 相關文件翻譯工序
")</f>
        <v>電競實習支援計劃
履歷 及 相關文件翻譯工序
</v>
      </c>
      <c r="F80" s="124" t="str">
        <f>IFERROR(__xludf.DUMMYFUNCTION("""COMPUTED_VALUE"""),"已完成 -- Completed")</f>
        <v>已完成 -- Completed</v>
      </c>
      <c r="G80" s="125" t="str">
        <f>IFERROR(__xludf.DUMMYFUNCTION("""COMPUTED_VALUE"""),"N/A")</f>
        <v>N/A</v>
      </c>
      <c r="H80" s="123" t="str">
        <f>IFERROR(__xludf.DUMMYFUNCTION("""COMPUTED_VALUE"""),"")</f>
        <v/>
      </c>
      <c r="I80" s="63"/>
    </row>
    <row r="81">
      <c r="B81" s="63"/>
      <c r="C81" s="121">
        <f>IFERROR(__xludf.DUMMYFUNCTION("""COMPUTED_VALUE"""),102.0)</f>
        <v>102</v>
      </c>
      <c r="D81" s="122">
        <f>IFERROR(__xludf.DUMMYFUNCTION("""COMPUTED_VALUE"""),43604.0)</f>
        <v>43604</v>
      </c>
      <c r="E81" s="123" t="str">
        <f>IFERROR(__xludf.DUMMYFUNCTION("""COMPUTED_VALUE"""),"[Direct Call-in]
Bond-West Job Agency
Game Developer (Unity 3D)
$16000 (Non-nego, Offer)
10am - 7pm
12 Month + Bonus
")</f>
        <v>[Direct Call-in]
Bond-West Job Agency
Game Developer (Unity 3D)
$16000 (Non-nego, Offer)
10am - 7pm
12 Month + Bonus
</v>
      </c>
      <c r="F81" s="124" t="str">
        <f>IFERROR(__xludf.DUMMYFUNCTION("""COMPUTED_VALUE"""),"已婉拒 Refused")</f>
        <v>已婉拒 Refused</v>
      </c>
      <c r="G81" s="125" t="str">
        <f>IFERROR(__xludf.DUMMYFUNCTION("""COMPUTED_VALUE"""),"(Jobs Ads can find on JobsDB Website)
(Agency and Client seeking candidates at same time)")</f>
        <v>(Jobs Ads can find on JobsDB Website)
(Agency and Client seeking candidates at same time)</v>
      </c>
      <c r="H81" s="123" t="str">
        <f>IFERROR(__xludf.DUMMYFUNCTION("""COMPUTED_VALUE"""),"Game")</f>
        <v>Game</v>
      </c>
      <c r="I81" s="63"/>
    </row>
    <row r="82">
      <c r="B82" s="63"/>
      <c r="C82" s="121">
        <f>IFERROR(__xludf.DUMMYFUNCTION("""COMPUTED_VALUE"""),103.0)</f>
        <v>103</v>
      </c>
      <c r="D82" s="122">
        <f>IFERROR(__xludf.DUMMYFUNCTION("""COMPUTED_VALUE"""),43604.0)</f>
        <v>43604</v>
      </c>
      <c r="E82" s="123" t="str">
        <f>IFERROR(__xludf.DUMMYFUNCTION("""COMPUTED_VALUE"""),"文字版履歷表")</f>
        <v>文字版履歷表</v>
      </c>
      <c r="F82" s="124" t="str">
        <f>IFERROR(__xludf.DUMMYFUNCTION("""COMPUTED_VALUE"""),"已完成 -- Completed")</f>
        <v>已完成 -- Completed</v>
      </c>
      <c r="G82" s="125" t="str">
        <f>IFERROR(__xludf.DUMMYFUNCTION("""COMPUTED_VALUE"""),"N/A")</f>
        <v>N/A</v>
      </c>
      <c r="H82" s="123" t="str">
        <f>IFERROR(__xludf.DUMMYFUNCTION("""COMPUTED_VALUE"""),"")</f>
        <v/>
      </c>
      <c r="I82" s="63"/>
    </row>
    <row r="83">
      <c r="B83" s="63"/>
      <c r="C83" s="121">
        <f>IFERROR(__xludf.DUMMYFUNCTION("""COMPUTED_VALUE"""),104.0)</f>
        <v>104</v>
      </c>
      <c r="D83" s="122">
        <f>IFERROR(__xludf.DUMMYFUNCTION("""COMPUTED_VALUE"""),43604.0)</f>
        <v>43604</v>
      </c>
      <c r="E83" s="123" t="str">
        <f>IFERROR(__xludf.DUMMYFUNCTION("""COMPUTED_VALUE"""),"個人網頁 -- 第一試行版本")</f>
        <v>個人網頁 -- 第一試行版本</v>
      </c>
      <c r="F83" s="124" t="str">
        <f>IFERROR(__xludf.DUMMYFUNCTION("""COMPUTED_VALUE"""),"已完成 -- Completed")</f>
        <v>已完成 -- Completed</v>
      </c>
      <c r="G83" s="125" t="str">
        <f>IFERROR(__xludf.DUMMYFUNCTION("""COMPUTED_VALUE"""),"N/A")</f>
        <v>N/A</v>
      </c>
      <c r="H83" s="123" t="str">
        <f>IFERROR(__xludf.DUMMYFUNCTION("""COMPUTED_VALUE"""),"")</f>
        <v/>
      </c>
      <c r="I83" s="63"/>
    </row>
    <row r="84">
      <c r="B84" s="63"/>
      <c r="C84" s="121">
        <f>IFERROR(__xludf.DUMMYFUNCTION("""COMPUTED_VALUE"""),105.0)</f>
        <v>105</v>
      </c>
      <c r="D84" s="122">
        <f>IFERROR(__xludf.DUMMYFUNCTION("""COMPUTED_VALUE"""),43607.0)</f>
        <v>43607</v>
      </c>
      <c r="E84" s="123" t="str">
        <f>IFERROR(__xludf.DUMMYFUNCTION("""COMPUTED_VALUE"""),"資訊科技支援主任
觀塘官立小學(秀明道)
$19030
0845 - 1730
Gov Office Hour
Renewable Contact
")</f>
        <v>資訊科技支援主任
觀塘官立小學(秀明道)
$19030
0845 - 1730
Gov Office Hour
Renewable Contact
</v>
      </c>
      <c r="F84" s="124" t="str">
        <f>IFERROR(__xludf.DUMMYFUNCTION("""COMPUTED_VALUE"""),"有出席第二次面試機會 -- 2nd Interview Attended")</f>
        <v>有出席第二次面試機會 -- 2nd Interview Attended</v>
      </c>
      <c r="G84" s="125" t="str">
        <f>IFERROR(__xludf.DUMMYFUNCTION("""COMPUTED_VALUE"""),"
(Interview on 27 May 2019)
(CST conducted on 27 May 2019)
(2nd Interview on 29 May 2019)")</f>
        <v>
(Interview on 27 May 2019)
(CST conducted on 27 May 2019)
(2nd Interview on 29 May 2019)</v>
      </c>
      <c r="H84" s="123" t="str">
        <f>IFERROR(__xludf.DUMMYFUNCTION("""COMPUTED_VALUE"""),"Government")</f>
        <v>Government</v>
      </c>
      <c r="I84" s="63"/>
    </row>
    <row r="85">
      <c r="B85" s="63"/>
      <c r="C85" s="121">
        <f>IFERROR(__xludf.DUMMYFUNCTION("""COMPUTED_VALUE"""),106.0)</f>
        <v>106</v>
      </c>
      <c r="D85" s="122">
        <f>IFERROR(__xludf.DUMMYFUNCTION("""COMPUTED_VALUE"""),43608.0)</f>
        <v>43608</v>
      </c>
      <c r="E85" s="123" t="str">
        <f>IFERROR(__xludf.DUMMYFUNCTION("""COMPUTED_VALUE"""),"Administrative Assistant
Labour Department
VAC0114092
$10400
0900 - 1800
Gov Office Time")</f>
        <v>Administrative Assistant
Labour Department
VAC0114092
$10400
0900 - 1800
Gov Office Time</v>
      </c>
      <c r="F85" s="124" t="str">
        <f>IFERROR(__xludf.DUMMYFUNCTION("""COMPUTED_VALUE"""),"有出席面試機會 -- Interview Attended")</f>
        <v>有出席面試機會 -- Interview Attended</v>
      </c>
      <c r="G85" s="125" t="str">
        <f>IFERROR(__xludf.DUMMYFUNCTION("""COMPUTED_VALUE"""),"N/A")</f>
        <v>N/A</v>
      </c>
      <c r="H85" s="123" t="str">
        <f>IFERROR(__xludf.DUMMYFUNCTION("""COMPUTED_VALUE"""),"Clerk")</f>
        <v>Clerk</v>
      </c>
      <c r="I85" s="63"/>
    </row>
    <row r="86">
      <c r="B86" s="63"/>
      <c r="C86" s="121">
        <f>IFERROR(__xludf.DUMMYFUNCTION("""COMPUTED_VALUE"""),107.0)</f>
        <v>107</v>
      </c>
      <c r="D86" s="122">
        <f>IFERROR(__xludf.DUMMYFUNCTION("""COMPUTED_VALUE"""),43608.0)</f>
        <v>43608</v>
      </c>
      <c r="E86" s="123" t="str">
        <f>IFERROR(__xludf.DUMMYFUNCTION("""COMPUTED_VALUE"""),"Photo Retoucher
Hong Kong Trade Development Council
VAC0113843
$12000
Gov Office Time
")</f>
        <v>Photo Retoucher
Hong Kong Trade Development Council
VAC0113843
$12000
Gov Office Time
</v>
      </c>
      <c r="F86" s="124" t="str">
        <f>IFERROR(__xludf.DUMMYFUNCTION("""COMPUTED_VALUE"""),"仍在發展 -- Developmenting")</f>
        <v>仍在發展 -- Developmenting</v>
      </c>
      <c r="G86" s="125" t="str">
        <f>IFERROR(__xludf.DUMMYFUNCTION("""COMPUTED_VALUE"""),"N/A")</f>
        <v>N/A</v>
      </c>
      <c r="H86" s="123" t="str">
        <f>IFERROR(__xludf.DUMMYFUNCTION("""COMPUTED_VALUE"""),"Clerk")</f>
        <v>Clerk</v>
      </c>
      <c r="I86" s="63"/>
    </row>
    <row r="87">
      <c r="B87" s="63"/>
      <c r="C87" s="121">
        <f>IFERROR(__xludf.DUMMYFUNCTION("""COMPUTED_VALUE"""),108.0)</f>
        <v>108</v>
      </c>
      <c r="D87" s="122">
        <f>IFERROR(__xludf.DUMMYFUNCTION("""COMPUTED_VALUE"""),43608.0)</f>
        <v>43608</v>
      </c>
      <c r="E87" s="123" t="str">
        <f>IFERROR(__xludf.DUMMYFUNCTION("""COMPUTED_VALUE"""),"展翅青見計劃 -- 電子教。學支援計劃
申請")</f>
        <v>展翅青見計劃 -- 電子教。學支援計劃
申請</v>
      </c>
      <c r="F87" s="124" t="str">
        <f>IFERROR(__xludf.DUMMYFUNCTION("""COMPUTED_VALUE"""),"仍在發展 -- Developmenting")</f>
        <v>仍在發展 -- Developmenting</v>
      </c>
      <c r="G87" s="125" t="str">
        <f>IFERROR(__xludf.DUMMYFUNCTION("""COMPUTED_VALUE"""),"申請")</f>
        <v>申請</v>
      </c>
      <c r="H87" s="123" t="str">
        <f>IFERROR(__xludf.DUMMYFUNCTION("""COMPUTED_VALUE"""),"Parttake-Event")</f>
        <v>Parttake-Event</v>
      </c>
      <c r="I87" s="63"/>
    </row>
    <row r="88">
      <c r="B88" s="63"/>
      <c r="C88" s="121">
        <f>IFERROR(__xludf.DUMMYFUNCTION("""COMPUTED_VALUE"""),109.0)</f>
        <v>109</v>
      </c>
      <c r="D88" s="122">
        <f>IFERROR(__xludf.DUMMYFUNCTION("""COMPUTED_VALUE"""),43611.0)</f>
        <v>43611</v>
      </c>
      <c r="E88" s="123" t="str">
        <f>IFERROR(__xludf.DUMMYFUNCTION("""COMPUTED_VALUE"""),"第44屆全港青年學藝大賽
全港青年翻譯比賽 18 - 19
參賽")</f>
        <v>第44屆全港青年學藝大賽
全港青年翻譯比賽 18 - 19
參賽</v>
      </c>
      <c r="F88" s="124" t="str">
        <f>IFERROR(__xludf.DUMMYFUNCTION("""COMPUTED_VALUE"""),"已出席 -- Partake")</f>
        <v>已出席 -- Partake</v>
      </c>
      <c r="G88" s="125" t="str">
        <f>IFERROR(__xludf.DUMMYFUNCTION("""COMPUTED_VALUE"""),"參賽")</f>
        <v>參賽</v>
      </c>
      <c r="H88" s="123" t="str">
        <f>IFERROR(__xludf.DUMMYFUNCTION("""COMPUTED_VALUE"""),"Parttake-Event")</f>
        <v>Parttake-Event</v>
      </c>
      <c r="I88" s="63"/>
    </row>
    <row r="89">
      <c r="B89" s="63"/>
      <c r="C89" s="121">
        <f>IFERROR(__xludf.DUMMYFUNCTION("""COMPUTED_VALUE"""),110.0)</f>
        <v>110</v>
      </c>
      <c r="D89" s="122">
        <f>IFERROR(__xludf.DUMMYFUNCTION("""COMPUTED_VALUE"""),43612.0)</f>
        <v>43612</v>
      </c>
      <c r="E89" s="123" t="str">
        <f>IFERROR(__xludf.DUMMYFUNCTION("""COMPUTED_VALUE"""),"電競實習支援計劃
CV 及 Supporting Doc Send via email")</f>
        <v>電競實習支援計劃
CV 及 Supporting Doc Send via email</v>
      </c>
      <c r="F89" s="124" t="str">
        <f>IFERROR(__xludf.DUMMYFUNCTION("""COMPUTED_VALUE"""),"已完成 -- Completed")</f>
        <v>已完成 -- Completed</v>
      </c>
      <c r="G89" s="125" t="str">
        <f>IFERROR(__xludf.DUMMYFUNCTION("""COMPUTED_VALUE"""),"N/A")</f>
        <v>N/A</v>
      </c>
      <c r="H89" s="123" t="str">
        <f>IFERROR(__xludf.DUMMYFUNCTION("""COMPUTED_VALUE"""),"Parttake-Event")</f>
        <v>Parttake-Event</v>
      </c>
      <c r="I89" s="63"/>
    </row>
    <row r="90">
      <c r="B90" s="63"/>
      <c r="C90" s="121">
        <f>IFERROR(__xludf.DUMMYFUNCTION("""COMPUTED_VALUE"""),111.0)</f>
        <v>111</v>
      </c>
      <c r="D90" s="122">
        <f>IFERROR(__xludf.DUMMYFUNCTION("""COMPUTED_VALUE"""),43612.0)</f>
        <v>43612</v>
      </c>
      <c r="E90" s="123" t="str">
        <f>IFERROR(__xludf.DUMMYFUNCTION("""COMPUTED_VALUE"""),"電競實習支援計劃
履歷 及 相關文件翻譯工序
中英文翻譯對照版本")</f>
        <v>電競實習支援計劃
履歷 及 相關文件翻譯工序
中英文翻譯對照版本</v>
      </c>
      <c r="F90" s="124" t="str">
        <f>IFERROR(__xludf.DUMMYFUNCTION("""COMPUTED_VALUE"""),"已完成 -- Completed")</f>
        <v>已完成 -- Completed</v>
      </c>
      <c r="G90" s="125" t="str">
        <f>IFERROR(__xludf.DUMMYFUNCTION("""COMPUTED_VALUE"""),"中英文翻譯對照版本")</f>
        <v>中英文翻譯對照版本</v>
      </c>
      <c r="H90" s="123" t="str">
        <f>IFERROR(__xludf.DUMMYFUNCTION("""COMPUTED_VALUE"""),"Parttake-Event")</f>
        <v>Parttake-Event</v>
      </c>
      <c r="I90" s="63"/>
    </row>
    <row r="91">
      <c r="B91" s="63"/>
      <c r="C91" s="121">
        <f>IFERROR(__xludf.DUMMYFUNCTION("""COMPUTED_VALUE"""),112.0)</f>
        <v>112</v>
      </c>
      <c r="D91" s="122">
        <f>IFERROR(__xludf.DUMMYFUNCTION("""COMPUTED_VALUE"""),43613.0)</f>
        <v>43613</v>
      </c>
      <c r="E91" s="123" t="str">
        <f>IFERROR(__xludf.DUMMYFUNCTION("""COMPUTED_VALUE"""),"3rd Fresh Graduate Support Scheme
2019  -- 3rd CEO Master Talk
Job and Career Talk Show
")</f>
        <v>3rd Fresh Graduate Support Scheme
2019  -- 3rd CEO Master Talk
Job and Career Talk Show
</v>
      </c>
      <c r="F91" s="124" t="str">
        <f>IFERROR(__xludf.DUMMYFUNCTION("""COMPUTED_VALUE"""),"已出席 -- Partake")</f>
        <v>已出席 -- Partake</v>
      </c>
      <c r="G91" s="125" t="str">
        <f>IFERROR(__xludf.DUMMYFUNCTION("""COMPUTED_VALUE"""),"N/A")</f>
        <v>N/A</v>
      </c>
      <c r="H91" s="123" t="str">
        <f>IFERROR(__xludf.DUMMYFUNCTION("""COMPUTED_VALUE"""),"Parttake-Event")</f>
        <v>Parttake-Event</v>
      </c>
      <c r="I91" s="63"/>
    </row>
    <row r="92">
      <c r="B92" s="63"/>
      <c r="C92" s="121"/>
      <c r="D92" s="121"/>
      <c r="E92" s="123"/>
      <c r="F92" s="124"/>
      <c r="G92" s="125"/>
      <c r="H92" s="123"/>
      <c r="I92" s="63"/>
    </row>
    <row r="93">
      <c r="B93" s="63"/>
      <c r="C93" s="121"/>
      <c r="D93" s="121"/>
      <c r="E93" s="123"/>
      <c r="F93" s="124"/>
      <c r="G93" s="125"/>
      <c r="H93" s="123"/>
      <c r="I93" s="63"/>
    </row>
    <row r="94">
      <c r="B94" s="63"/>
      <c r="C94" s="121"/>
      <c r="D94" s="121"/>
      <c r="E94" s="123"/>
      <c r="F94" s="124"/>
      <c r="G94" s="125"/>
      <c r="H94" s="123"/>
      <c r="I94" s="63"/>
    </row>
    <row r="95">
      <c r="B95" s="63"/>
      <c r="C95" s="121"/>
      <c r="D95" s="121"/>
      <c r="E95" s="123"/>
      <c r="F95" s="124"/>
      <c r="G95" s="125"/>
      <c r="H95" s="123"/>
      <c r="I95" s="63"/>
    </row>
    <row r="96">
      <c r="B96" s="63"/>
      <c r="C96" s="121"/>
      <c r="D96" s="121"/>
      <c r="E96" s="123"/>
      <c r="F96" s="124"/>
      <c r="G96" s="125"/>
      <c r="H96" s="123"/>
      <c r="I96" s="63"/>
    </row>
    <row r="97">
      <c r="B97" s="63"/>
      <c r="C97" s="121"/>
      <c r="D97" s="121"/>
      <c r="E97" s="123"/>
      <c r="F97" s="124"/>
      <c r="G97" s="125"/>
      <c r="H97" s="123"/>
      <c r="I97" s="63"/>
    </row>
    <row r="98">
      <c r="B98" s="63"/>
      <c r="C98" s="121"/>
      <c r="D98" s="121"/>
      <c r="E98" s="123"/>
      <c r="F98" s="124"/>
      <c r="G98" s="125"/>
      <c r="H98" s="123"/>
      <c r="I98" s="63"/>
    </row>
    <row r="99">
      <c r="B99" s="63"/>
      <c r="C99" s="121"/>
      <c r="D99" s="121"/>
      <c r="E99" s="123"/>
      <c r="F99" s="124"/>
      <c r="G99" s="125"/>
      <c r="H99" s="123"/>
      <c r="I99" s="63"/>
    </row>
    <row r="100">
      <c r="B100" s="63"/>
      <c r="C100" s="121"/>
      <c r="D100" s="121"/>
      <c r="E100" s="123"/>
      <c r="F100" s="124"/>
      <c r="G100" s="125"/>
      <c r="H100" s="123"/>
      <c r="I100" s="63"/>
    </row>
    <row r="101">
      <c r="B101" s="63"/>
      <c r="C101" s="121"/>
      <c r="D101" s="121"/>
      <c r="E101" s="123"/>
      <c r="F101" s="124"/>
      <c r="G101" s="125"/>
      <c r="H101" s="123"/>
      <c r="I101" s="63"/>
    </row>
    <row r="102">
      <c r="B102" s="63"/>
      <c r="C102" s="121"/>
      <c r="D102" s="121"/>
      <c r="E102" s="123"/>
      <c r="F102" s="124"/>
      <c r="G102" s="125"/>
      <c r="H102" s="123"/>
      <c r="I102" s="63"/>
    </row>
    <row r="103">
      <c r="B103" s="63"/>
      <c r="C103" s="121"/>
      <c r="D103" s="121"/>
      <c r="E103" s="123"/>
      <c r="F103" s="124"/>
      <c r="G103" s="125"/>
      <c r="H103" s="123"/>
      <c r="I103" s="63"/>
    </row>
    <row r="104">
      <c r="B104" s="63"/>
      <c r="C104" s="121"/>
      <c r="D104" s="121"/>
      <c r="E104" s="123"/>
      <c r="F104" s="124"/>
      <c r="G104" s="125"/>
      <c r="H104" s="123"/>
      <c r="I104" s="63"/>
    </row>
    <row r="105">
      <c r="B105" s="63"/>
      <c r="C105" s="121"/>
      <c r="D105" s="121"/>
      <c r="E105" s="123"/>
      <c r="F105" s="124"/>
      <c r="G105" s="125"/>
      <c r="H105" s="123"/>
      <c r="I105" s="63"/>
    </row>
    <row r="106">
      <c r="B106" s="63"/>
      <c r="C106" s="121"/>
      <c r="D106" s="121"/>
      <c r="E106" s="123"/>
      <c r="F106" s="124"/>
      <c r="G106" s="125"/>
      <c r="H106" s="123"/>
      <c r="I106" s="63"/>
    </row>
    <row r="107">
      <c r="B107" s="63"/>
      <c r="C107" s="121"/>
      <c r="D107" s="121"/>
      <c r="E107" s="123"/>
      <c r="F107" s="124"/>
      <c r="G107" s="125"/>
      <c r="H107" s="123"/>
      <c r="I107" s="63"/>
    </row>
    <row r="108">
      <c r="B108" s="63"/>
      <c r="C108" s="121"/>
      <c r="D108" s="121"/>
      <c r="E108" s="123"/>
      <c r="F108" s="124"/>
      <c r="G108" s="125"/>
      <c r="H108" s="123"/>
      <c r="I108" s="63"/>
    </row>
    <row r="109">
      <c r="B109" s="63"/>
      <c r="C109" s="121"/>
      <c r="D109" s="121"/>
      <c r="E109" s="123"/>
      <c r="F109" s="124"/>
      <c r="G109" s="125"/>
      <c r="H109" s="123"/>
      <c r="I109" s="63"/>
    </row>
    <row r="110">
      <c r="B110" s="63"/>
      <c r="C110" s="121"/>
      <c r="D110" s="121"/>
      <c r="E110" s="123"/>
      <c r="F110" s="124"/>
      <c r="G110" s="125"/>
      <c r="H110" s="123"/>
      <c r="I110" s="63"/>
    </row>
    <row r="111">
      <c r="B111" s="63"/>
      <c r="C111" s="121"/>
      <c r="D111" s="121"/>
      <c r="E111" s="123"/>
      <c r="F111" s="124"/>
      <c r="G111" s="125"/>
      <c r="H111" s="123"/>
      <c r="I111" s="63"/>
    </row>
    <row r="112">
      <c r="B112" s="63"/>
      <c r="C112" s="121"/>
      <c r="D112" s="121"/>
      <c r="E112" s="123"/>
      <c r="F112" s="124"/>
      <c r="G112" s="125"/>
      <c r="H112" s="123"/>
      <c r="I112" s="63"/>
    </row>
    <row r="113">
      <c r="B113" s="63"/>
      <c r="C113" s="121"/>
      <c r="D113" s="121"/>
      <c r="E113" s="123"/>
      <c r="F113" s="124"/>
      <c r="G113" s="125"/>
      <c r="H113" s="123"/>
      <c r="I113" s="63"/>
    </row>
    <row r="114">
      <c r="B114" s="63"/>
      <c r="C114" s="121"/>
      <c r="D114" s="121"/>
      <c r="E114" s="123"/>
      <c r="F114" s="124"/>
      <c r="G114" s="125"/>
      <c r="H114" s="123"/>
      <c r="I114" s="63"/>
    </row>
    <row r="115">
      <c r="B115" s="63"/>
      <c r="C115" s="121"/>
      <c r="D115" s="121"/>
      <c r="E115" s="123"/>
      <c r="F115" s="124"/>
      <c r="G115" s="125"/>
      <c r="H115" s="123"/>
      <c r="I115" s="63"/>
    </row>
    <row r="116">
      <c r="B116" s="63"/>
      <c r="C116" s="121"/>
      <c r="D116" s="121"/>
      <c r="E116" s="123"/>
      <c r="F116" s="124"/>
      <c r="G116" s="125"/>
      <c r="H116" s="123"/>
      <c r="I116" s="63"/>
    </row>
    <row r="117">
      <c r="B117" s="63"/>
      <c r="C117" s="121"/>
      <c r="D117" s="121"/>
      <c r="E117" s="123"/>
      <c r="F117" s="124"/>
      <c r="G117" s="125"/>
      <c r="H117" s="123"/>
      <c r="I117" s="63"/>
    </row>
    <row r="118">
      <c r="B118" s="63"/>
      <c r="C118" s="121"/>
      <c r="D118" s="121"/>
      <c r="E118" s="123"/>
      <c r="F118" s="124"/>
      <c r="G118" s="125"/>
      <c r="H118" s="123"/>
      <c r="I118" s="63"/>
    </row>
    <row r="119">
      <c r="B119" s="63"/>
      <c r="C119" s="121"/>
      <c r="D119" s="121"/>
      <c r="E119" s="123"/>
      <c r="F119" s="124"/>
      <c r="G119" s="125"/>
      <c r="H119" s="123"/>
      <c r="I119" s="63"/>
    </row>
    <row r="120">
      <c r="B120" s="63"/>
      <c r="C120" s="121"/>
      <c r="D120" s="121"/>
      <c r="E120" s="123"/>
      <c r="F120" s="124"/>
      <c r="G120" s="125"/>
      <c r="H120" s="123"/>
      <c r="I120" s="63"/>
    </row>
    <row r="121">
      <c r="B121" s="63"/>
      <c r="C121" s="121"/>
      <c r="D121" s="121"/>
      <c r="E121" s="123"/>
      <c r="F121" s="124"/>
      <c r="G121" s="125"/>
      <c r="H121" s="123"/>
      <c r="I121" s="63"/>
    </row>
    <row r="122">
      <c r="B122" s="63"/>
      <c r="C122" s="121"/>
      <c r="D122" s="121"/>
      <c r="E122" s="123"/>
      <c r="F122" s="124"/>
      <c r="G122" s="125"/>
      <c r="H122" s="123"/>
      <c r="I122" s="63"/>
    </row>
    <row r="123">
      <c r="B123" s="63"/>
      <c r="C123" s="121"/>
      <c r="D123" s="121"/>
      <c r="E123" s="123"/>
      <c r="F123" s="124"/>
      <c r="G123" s="125"/>
      <c r="H123" s="123"/>
      <c r="I123" s="63"/>
    </row>
    <row r="124">
      <c r="B124" s="63"/>
      <c r="C124" s="121"/>
      <c r="D124" s="121"/>
      <c r="E124" s="123"/>
      <c r="F124" s="124"/>
      <c r="G124" s="125"/>
      <c r="H124" s="123"/>
      <c r="I124" s="63"/>
    </row>
    <row r="125">
      <c r="B125" s="63"/>
      <c r="C125" s="121"/>
      <c r="D125" s="121"/>
      <c r="E125" s="123"/>
      <c r="F125" s="124"/>
      <c r="G125" s="125"/>
      <c r="H125" s="123"/>
      <c r="I125" s="63"/>
    </row>
    <row r="126">
      <c r="B126" s="63"/>
      <c r="C126" s="121"/>
      <c r="D126" s="121"/>
      <c r="E126" s="123"/>
      <c r="F126" s="124"/>
      <c r="G126" s="125"/>
      <c r="H126" s="123"/>
      <c r="I126" s="63"/>
    </row>
    <row r="127">
      <c r="B127" s="63"/>
      <c r="C127" s="121"/>
      <c r="D127" s="121"/>
      <c r="E127" s="123"/>
      <c r="F127" s="124"/>
      <c r="G127" s="125"/>
      <c r="H127" s="123"/>
      <c r="I127" s="63"/>
    </row>
    <row r="128">
      <c r="B128" s="63"/>
      <c r="C128" s="121"/>
      <c r="D128" s="121"/>
      <c r="E128" s="123"/>
      <c r="F128" s="124"/>
      <c r="G128" s="125"/>
      <c r="H128" s="123"/>
      <c r="I128" s="63"/>
    </row>
    <row r="129">
      <c r="B129" s="63"/>
      <c r="C129" s="121"/>
      <c r="D129" s="121"/>
      <c r="E129" s="123"/>
      <c r="F129" s="124"/>
      <c r="G129" s="125"/>
      <c r="H129" s="123"/>
      <c r="I129" s="63"/>
    </row>
    <row r="130">
      <c r="B130" s="63"/>
      <c r="C130" s="121"/>
      <c r="D130" s="121"/>
      <c r="E130" s="123"/>
      <c r="F130" s="124"/>
      <c r="G130" s="125"/>
      <c r="H130" s="123"/>
      <c r="I130" s="63"/>
    </row>
    <row r="131">
      <c r="B131" s="63"/>
      <c r="C131" s="121"/>
      <c r="D131" s="121"/>
      <c r="E131" s="123"/>
      <c r="F131" s="124"/>
      <c r="G131" s="125"/>
      <c r="H131" s="123"/>
      <c r="I131" s="63"/>
    </row>
    <row r="132">
      <c r="B132" s="63"/>
      <c r="C132" s="121"/>
      <c r="D132" s="121"/>
      <c r="E132" s="123"/>
      <c r="F132" s="124"/>
      <c r="G132" s="125"/>
      <c r="H132" s="123"/>
      <c r="I132" s="63"/>
    </row>
    <row r="133">
      <c r="B133" s="63"/>
      <c r="C133" s="121"/>
      <c r="D133" s="121"/>
      <c r="E133" s="123"/>
      <c r="F133" s="124"/>
      <c r="G133" s="125"/>
      <c r="H133" s="123"/>
      <c r="I133" s="63"/>
    </row>
    <row r="134">
      <c r="B134" s="63"/>
      <c r="C134" s="121"/>
      <c r="D134" s="121"/>
      <c r="E134" s="123"/>
      <c r="F134" s="124"/>
      <c r="G134" s="125"/>
      <c r="H134" s="123"/>
      <c r="I134" s="63"/>
    </row>
    <row r="135">
      <c r="B135" s="63"/>
      <c r="C135" s="121"/>
      <c r="D135" s="121"/>
      <c r="E135" s="123"/>
      <c r="F135" s="124"/>
      <c r="G135" s="125"/>
      <c r="H135" s="123"/>
      <c r="I135" s="63"/>
    </row>
    <row r="136">
      <c r="B136" s="63"/>
      <c r="C136" s="121"/>
      <c r="D136" s="121"/>
      <c r="E136" s="123"/>
      <c r="F136" s="124"/>
      <c r="G136" s="125"/>
      <c r="H136" s="123"/>
      <c r="I136" s="63"/>
    </row>
    <row r="137">
      <c r="B137" s="63"/>
      <c r="C137" s="121"/>
      <c r="D137" s="121"/>
      <c r="E137" s="123"/>
      <c r="F137" s="124"/>
      <c r="G137" s="125"/>
      <c r="H137" s="123"/>
      <c r="I137" s="63"/>
    </row>
    <row r="138">
      <c r="B138" s="63"/>
      <c r="C138" s="121"/>
      <c r="D138" s="121"/>
      <c r="E138" s="123"/>
      <c r="F138" s="124"/>
      <c r="G138" s="125"/>
      <c r="H138" s="123"/>
      <c r="I138" s="63"/>
    </row>
    <row r="139">
      <c r="B139" s="63"/>
      <c r="C139" s="121"/>
      <c r="D139" s="121"/>
      <c r="E139" s="123"/>
      <c r="F139" s="124"/>
      <c r="G139" s="125"/>
      <c r="H139" s="123"/>
      <c r="I139" s="63"/>
    </row>
    <row r="140">
      <c r="B140" s="63"/>
      <c r="C140" s="121"/>
      <c r="D140" s="121"/>
      <c r="E140" s="123"/>
      <c r="F140" s="124"/>
      <c r="G140" s="125"/>
      <c r="H140" s="123"/>
      <c r="I140" s="63"/>
    </row>
    <row r="141">
      <c r="B141" s="63"/>
      <c r="C141" s="121"/>
      <c r="D141" s="121"/>
      <c r="E141" s="123"/>
      <c r="F141" s="124"/>
      <c r="G141" s="125"/>
      <c r="H141" s="123"/>
      <c r="I141" s="63"/>
    </row>
    <row r="142">
      <c r="B142" s="63"/>
      <c r="C142" s="121"/>
      <c r="D142" s="121"/>
      <c r="E142" s="123"/>
      <c r="F142" s="124"/>
      <c r="G142" s="125"/>
      <c r="H142" s="123"/>
      <c r="I142" s="63"/>
    </row>
    <row r="143">
      <c r="B143" s="63"/>
      <c r="C143" s="121"/>
      <c r="D143" s="121"/>
      <c r="E143" s="123"/>
      <c r="F143" s="124"/>
      <c r="G143" s="125"/>
      <c r="H143" s="123"/>
      <c r="I143" s="63"/>
    </row>
    <row r="144">
      <c r="B144" s="63"/>
      <c r="C144" s="121"/>
      <c r="D144" s="121"/>
      <c r="E144" s="123"/>
      <c r="F144" s="124"/>
      <c r="G144" s="125"/>
      <c r="H144" s="123"/>
      <c r="I144" s="63"/>
    </row>
    <row r="145">
      <c r="B145" s="63"/>
      <c r="C145" s="121"/>
      <c r="D145" s="121"/>
      <c r="E145" s="123"/>
      <c r="F145" s="124"/>
      <c r="G145" s="125"/>
      <c r="H145" s="123"/>
      <c r="I145" s="63"/>
    </row>
    <row r="146">
      <c r="B146" s="63"/>
      <c r="C146" s="121"/>
      <c r="D146" s="121"/>
      <c r="E146" s="123"/>
      <c r="F146" s="124"/>
      <c r="G146" s="125"/>
      <c r="H146" s="123"/>
      <c r="I146" s="63"/>
    </row>
    <row r="147">
      <c r="B147" s="63"/>
      <c r="C147" s="121"/>
      <c r="D147" s="121"/>
      <c r="E147" s="123"/>
      <c r="F147" s="124"/>
      <c r="G147" s="125"/>
      <c r="H147" s="123"/>
      <c r="I147" s="63"/>
    </row>
    <row r="148">
      <c r="B148" s="63"/>
      <c r="C148" s="121"/>
      <c r="D148" s="121"/>
      <c r="E148" s="123"/>
      <c r="F148" s="124"/>
      <c r="G148" s="125"/>
      <c r="H148" s="123"/>
      <c r="I148" s="63"/>
    </row>
    <row r="149">
      <c r="B149" s="63"/>
      <c r="C149" s="121"/>
      <c r="D149" s="121"/>
      <c r="E149" s="123"/>
      <c r="F149" s="124"/>
      <c r="G149" s="125"/>
      <c r="H149" s="123"/>
      <c r="I149" s="63"/>
    </row>
    <row r="150">
      <c r="B150" s="63"/>
      <c r="C150" s="63"/>
      <c r="D150" s="63"/>
      <c r="E150" s="63"/>
      <c r="F150" s="63"/>
      <c r="G150" s="101"/>
      <c r="H150" s="63"/>
      <c r="I150" s="63"/>
    </row>
    <row r="151">
      <c r="G151" s="97"/>
      <c r="I151" s="36"/>
    </row>
  </sheetData>
  <mergeCells count="10">
    <mergeCell ref="D13:E14"/>
    <mergeCell ref="C16:H16"/>
    <mergeCell ref="D7:E8"/>
    <mergeCell ref="D9:G9"/>
    <mergeCell ref="D5:G5"/>
    <mergeCell ref="M2:R2"/>
    <mergeCell ref="F7:G8"/>
    <mergeCell ref="F10:G11"/>
    <mergeCell ref="F13:G14"/>
    <mergeCell ref="D10:E11"/>
  </mergeCells>
  <conditionalFormatting sqref="G17:H17">
    <cfRule type="cellIs" dxfId="0" priority="1" operator="equal">
      <formula>"T"</formula>
    </cfRule>
  </conditionalFormatting>
  <conditionalFormatting sqref="G17:H17">
    <cfRule type="cellIs" dxfId="1" priority="2" operator="equal">
      <formula>"F"</formula>
    </cfRule>
  </conditionalFormatting>
  <conditionalFormatting sqref="F17:F149">
    <cfRule type="colorScale" priority="3">
      <colorScale>
        <cfvo type="min"/>
        <cfvo type="max"/>
        <color rgb="FF57BB8A"/>
        <color rgb="FFFFFFFF"/>
      </colorScale>
    </cfRule>
  </conditionalFormatting>
  <dataValidations>
    <dataValidation type="date" allowBlank="1" showDropDown="1" showInputMessage="1" showErrorMessage="1" prompt="Enter a date between 1/1/2015 and 08/05/2019" sqref="F10">
      <formula1>42005.0</formula1>
      <formula2>43682.0</formula2>
    </dataValidation>
    <dataValidation type="date" allowBlank="1" showDropDown="1" showInputMessage="1" showErrorMessage="1" prompt="Enter a date between 1/1/2015 and 8/5/2019" sqref="F7">
      <formula1>42005.0</formula1>
      <formula2>43682.0</formula2>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2" width="13.57"/>
    <col customWidth="1" min="3" max="3" width="34.71"/>
    <col customWidth="1" min="4" max="4" width="55.43"/>
    <col customWidth="1" min="5" max="5" width="17.29"/>
    <col customWidth="1" min="6" max="6" width="9.57"/>
    <col customWidth="1" min="7" max="7" width="8.0"/>
    <col customWidth="1" min="8" max="8" width="6.0"/>
    <col customWidth="1" min="9" max="9" width="9.71"/>
    <col customWidth="1" min="10" max="10" width="17.29"/>
    <col customWidth="1" min="11" max="11" width="69.86"/>
    <col customWidth="1" min="12" max="12" width="52.14"/>
    <col customWidth="1" min="13" max="14" width="18.29"/>
  </cols>
  <sheetData>
    <row r="1">
      <c r="A1" s="1"/>
      <c r="B1" s="3"/>
      <c r="C1" s="5"/>
      <c r="D1" s="7"/>
      <c r="E1" s="9"/>
      <c r="F1" s="11"/>
      <c r="G1" s="14"/>
      <c r="H1" s="11"/>
      <c r="I1" s="11"/>
      <c r="J1" s="11"/>
      <c r="K1" s="11"/>
      <c r="L1" s="14"/>
      <c r="M1" s="11"/>
      <c r="N1" s="11"/>
    </row>
    <row r="2">
      <c r="A2" s="15" t="s">
        <v>24</v>
      </c>
      <c r="B2" s="16" t="s">
        <v>25</v>
      </c>
      <c r="C2" s="17" t="s">
        <v>26</v>
      </c>
      <c r="D2" s="15" t="s">
        <v>28</v>
      </c>
      <c r="E2" s="15" t="s">
        <v>30</v>
      </c>
      <c r="F2" s="15" t="s">
        <v>31</v>
      </c>
      <c r="G2" s="19" t="s">
        <v>32</v>
      </c>
      <c r="H2" s="15" t="s">
        <v>33</v>
      </c>
      <c r="I2" s="15" t="s">
        <v>34</v>
      </c>
      <c r="J2" s="15" t="s">
        <v>35</v>
      </c>
      <c r="K2" s="22" t="s">
        <v>37</v>
      </c>
      <c r="L2" s="19" t="s">
        <v>42</v>
      </c>
      <c r="M2" s="15"/>
      <c r="N2" s="15"/>
    </row>
    <row r="3">
      <c r="A3" s="24">
        <v>-1.0</v>
      </c>
      <c r="B3" s="26">
        <v>42006.0</v>
      </c>
      <c r="C3" s="27" t="s">
        <v>44</v>
      </c>
      <c r="D3" s="24"/>
      <c r="E3" s="29" t="str">
        <f t="shared" ref="E3:E6" si="1">IF(D3=$D$5,"N/A"," ")</f>
        <v> </v>
      </c>
      <c r="F3" s="31"/>
      <c r="G3" s="33"/>
      <c r="H3" s="31" t="s">
        <v>47</v>
      </c>
      <c r="I3" s="31"/>
      <c r="J3" s="31"/>
      <c r="K3" s="31" t="str">
        <f t="shared" ref="K3:K116" si="2">CONCATENATE($A3," ",$B3," ",$C3," ",$D3," ",$J3)</f>
        <v>-1 42006 Genesis block I  </v>
      </c>
      <c r="L3" s="35" t="str">
        <f t="shared" ref="L3:L116" si="3">computeSHA256(K3)</f>
        <v>l5qO0wlAtRvP/HIOu8zpKKaGyYzvM9Ezlth5+OuhrKM=</v>
      </c>
      <c r="M3" s="36"/>
      <c r="N3" s="36"/>
    </row>
    <row r="4">
      <c r="A4" s="38">
        <v>0.0</v>
      </c>
      <c r="B4" s="39">
        <v>42007.0</v>
      </c>
      <c r="C4" s="40" t="s">
        <v>79</v>
      </c>
      <c r="D4" s="38"/>
      <c r="E4" s="41" t="str">
        <f t="shared" si="1"/>
        <v> </v>
      </c>
      <c r="F4" s="42"/>
      <c r="G4" s="43"/>
      <c r="H4" s="44" t="str">
        <f t="shared" ref="H4:H116" si="4">IF(J4=L3,"T","F")</f>
        <v>T</v>
      </c>
      <c r="I4" s="44"/>
      <c r="J4" s="44" t="str">
        <f t="shared" ref="J4:J116" si="5">$L3</f>
        <v>l5qO0wlAtRvP/HIOu8zpKKaGyYzvM9Ezlth5+OuhrKM=</v>
      </c>
      <c r="K4" s="44" t="str">
        <f t="shared" si="2"/>
        <v>0 42007 Genesis block II  l5qO0wlAtRvP/HIOu8zpKKaGyYzvM9Ezlth5+OuhrKM=</v>
      </c>
      <c r="L4" s="45" t="str">
        <f t="shared" si="3"/>
        <v>Ocx4fe9CwULyluax10l2XXm3oNtriOsltyxScEtpXOs=</v>
      </c>
      <c r="M4" s="46"/>
      <c r="N4" s="47"/>
    </row>
    <row r="5">
      <c r="A5" s="24">
        <v>1.0</v>
      </c>
      <c r="B5" s="26">
        <v>42041.0</v>
      </c>
      <c r="C5" s="27" t="s">
        <v>43</v>
      </c>
      <c r="D5" s="24" t="s">
        <v>150</v>
      </c>
      <c r="E5" s="29" t="str">
        <f t="shared" si="1"/>
        <v>N/A</v>
      </c>
      <c r="F5" s="31" t="s">
        <v>151</v>
      </c>
      <c r="G5" s="33" t="str">
        <f t="shared" ref="G5:G116" si="6">month(B5)&amp;"/"&amp;year(B5)</f>
        <v>2/2015</v>
      </c>
      <c r="H5" s="31" t="str">
        <f t="shared" si="4"/>
        <v>T</v>
      </c>
      <c r="I5" s="31"/>
      <c r="J5" s="31" t="str">
        <f t="shared" si="5"/>
        <v>Ocx4fe9CwULyluax10l2XXm3oNtriOsltyxScEtpXOs=</v>
      </c>
      <c r="K5" s="31" t="str">
        <f t="shared" si="2"/>
        <v>1 42041 自修室助理 
Adecco Personnel Limited
$34 / Hrs
0900 - 1800
 沒有回應 -- No Respond Ocx4fe9CwULyluax10l2XXm3oNtriOsltyxScEtpXOs=</v>
      </c>
      <c r="L5" s="35" t="str">
        <f t="shared" si="3"/>
        <v>uHVYMR9bRO7rZtWFgpAzfFP2DF5aYvuZMvzMlaJJhmo=</v>
      </c>
      <c r="M5" s="36"/>
      <c r="N5" s="51"/>
    </row>
    <row r="6">
      <c r="A6" s="38">
        <v>2.0</v>
      </c>
      <c r="B6" s="39">
        <v>42148.0</v>
      </c>
      <c r="C6" s="40" t="s">
        <v>41</v>
      </c>
      <c r="D6" s="38" t="s">
        <v>150</v>
      </c>
      <c r="E6" s="41" t="str">
        <f t="shared" si="1"/>
        <v>N/A</v>
      </c>
      <c r="F6" s="44" t="s">
        <v>182</v>
      </c>
      <c r="G6" s="43" t="str">
        <f t="shared" si="6"/>
        <v>5/2015</v>
      </c>
      <c r="H6" s="44" t="str">
        <f t="shared" si="4"/>
        <v>T</v>
      </c>
      <c r="I6" s="44"/>
      <c r="J6" s="44" t="str">
        <f t="shared" si="5"/>
        <v>uHVYMR9bRO7rZtWFgpAzfFP2DF5aYvuZMvzMlaJJhmo=</v>
      </c>
      <c r="K6" s="44" t="str">
        <f t="shared" si="2"/>
        <v>2 42148 店務助理
中華書局  暑期工
$32/HRs
0900-2100
 沒有回應 -- No Respond uHVYMR9bRO7rZtWFgpAzfFP2DF5aYvuZMvzMlaJJhmo=</v>
      </c>
      <c r="L6" s="45" t="str">
        <f t="shared" si="3"/>
        <v>kUiVw5d1WpErYif4RXEcdhD3q0DW8T7UY7cQeIrUvc4=</v>
      </c>
      <c r="M6" s="46"/>
      <c r="N6" s="46"/>
    </row>
    <row r="7">
      <c r="A7" s="24">
        <v>3.0</v>
      </c>
      <c r="B7" s="26">
        <v>42505.0</v>
      </c>
      <c r="C7" s="27" t="s">
        <v>45</v>
      </c>
      <c r="D7" s="24" t="s">
        <v>150</v>
      </c>
      <c r="E7" s="52" t="s">
        <v>183</v>
      </c>
      <c r="F7" s="53" t="s">
        <v>151</v>
      </c>
      <c r="G7" s="33" t="str">
        <f t="shared" si="6"/>
        <v>5/2016</v>
      </c>
      <c r="H7" s="31" t="str">
        <f t="shared" si="4"/>
        <v>T</v>
      </c>
      <c r="I7" s="31"/>
      <c r="J7" s="31" t="str">
        <f t="shared" si="5"/>
        <v>kUiVw5d1WpErYif4RXEcdhD3q0DW8T7UY7cQeIrUvc4=</v>
      </c>
      <c r="K7" s="31" t="str">
        <f t="shared" si="2"/>
        <v>3 42505 動漫節工作人員
Cloud Personnal Limited
$90 / Hour Offer
Nego Time
 沒有回應 -- No Respond kUiVw5d1WpErYif4RXEcdhD3q0DW8T7UY7cQeIrUvc4=</v>
      </c>
      <c r="L7" s="35" t="str">
        <f t="shared" si="3"/>
        <v>N2erfT9uKhVGNMhW2PlLQ0GmP28wCODFblsGE22Nb7o=</v>
      </c>
      <c r="M7" s="36"/>
      <c r="N7" s="36"/>
    </row>
    <row r="8">
      <c r="A8" s="38">
        <v>4.0</v>
      </c>
      <c r="B8" s="39">
        <v>42505.0</v>
      </c>
      <c r="C8" s="40" t="s">
        <v>49</v>
      </c>
      <c r="D8" s="38" t="s">
        <v>150</v>
      </c>
      <c r="E8" s="58" t="s">
        <v>183</v>
      </c>
      <c r="F8" s="59" t="s">
        <v>188</v>
      </c>
      <c r="G8" s="43" t="str">
        <f t="shared" si="6"/>
        <v>5/2016</v>
      </c>
      <c r="H8" s="44" t="str">
        <f t="shared" si="4"/>
        <v>T</v>
      </c>
      <c r="I8" s="44"/>
      <c r="J8" s="44" t="str">
        <f t="shared" si="5"/>
        <v>N2erfT9uKhVGNMhW2PlLQ0GmP28wCODFblsGE22Nb7o=</v>
      </c>
      <c r="K8" s="44" t="str">
        <f t="shared" si="2"/>
        <v>4 42505 菁陽孩子教育有限公司
Tutor (兼職)
$90 / Hours (Offer)
3 - 7 pm
 沒有回應 -- No Respond N2erfT9uKhVGNMhW2PlLQ0GmP28wCODFblsGE22Nb7o=</v>
      </c>
      <c r="L8" s="45" t="str">
        <f t="shared" si="3"/>
        <v>IAKgGw7u9zhJMoTNcQLJC6anpd8HoPsvwsx1raXQiK0=</v>
      </c>
      <c r="M8" s="46"/>
      <c r="N8" s="46"/>
    </row>
    <row r="9">
      <c r="A9" s="24">
        <v>5.0</v>
      </c>
      <c r="B9" s="26">
        <v>42509.0</v>
      </c>
      <c r="C9" s="27" t="s">
        <v>48</v>
      </c>
      <c r="D9" s="24" t="s">
        <v>150</v>
      </c>
      <c r="E9" s="52" t="s">
        <v>183</v>
      </c>
      <c r="F9" s="53" t="s">
        <v>206</v>
      </c>
      <c r="G9" s="33" t="str">
        <f t="shared" si="6"/>
        <v>5/2016</v>
      </c>
      <c r="H9" s="31" t="str">
        <f t="shared" si="4"/>
        <v>T</v>
      </c>
      <c r="I9" s="31"/>
      <c r="J9" s="31" t="str">
        <f t="shared" si="5"/>
        <v>IAKgGw7u9zhJMoTNcQLJC6anpd8HoPsvwsx1raXQiK0=</v>
      </c>
      <c r="K9" s="31" t="str">
        <f t="shared" si="2"/>
        <v>5 42509 香港教育專業人員協會 HKPTU
中心助理
$55 / Hr Offer
0900 - 1800
 沒有回應 -- No Respond IAKgGw7u9zhJMoTNcQLJC6anpd8HoPsvwsx1raXQiK0=</v>
      </c>
      <c r="L9" s="35" t="str">
        <f t="shared" si="3"/>
        <v>BtXcBGE4B2qNBAxB2FOCnJ74BfLS34Fe5k7C+H5fFbY=</v>
      </c>
      <c r="M9" s="36"/>
      <c r="N9" s="36"/>
    </row>
    <row r="10">
      <c r="A10" s="38">
        <v>6.0</v>
      </c>
      <c r="B10" s="39">
        <v>42511.0</v>
      </c>
      <c r="C10" s="40" t="s">
        <v>50</v>
      </c>
      <c r="D10" s="38" t="s">
        <v>195</v>
      </c>
      <c r="E10" s="58" t="s">
        <v>183</v>
      </c>
      <c r="F10" s="59" t="s">
        <v>207</v>
      </c>
      <c r="G10" s="43" t="str">
        <f t="shared" si="6"/>
        <v>5/2016</v>
      </c>
      <c r="H10" s="44" t="str">
        <f t="shared" si="4"/>
        <v>T</v>
      </c>
      <c r="I10" s="44"/>
      <c r="J10" s="44" t="str">
        <f t="shared" si="5"/>
        <v>BtXcBGE4B2qNBAxB2FOCnJ74BfLS34Fe5k7C+H5fFbY=</v>
      </c>
      <c r="K10" s="44" t="str">
        <f t="shared" si="2"/>
        <v>6 42511 人流統計員
Cido Research
$65 / Hours
Unknow working hours
 有出席面試機會 -- Interview Attended BtXcBGE4B2qNBAxB2FOCnJ74BfLS34Fe5k7C+H5fFbY=</v>
      </c>
      <c r="L10" s="45" t="str">
        <f t="shared" si="3"/>
        <v>EQ0egzQV6qV6AvomFSJgbQ/fWd7QN1O5psF27EB9qDg=</v>
      </c>
      <c r="M10" s="46"/>
      <c r="N10" s="46"/>
    </row>
    <row r="11">
      <c r="A11" s="24">
        <v>7.0</v>
      </c>
      <c r="B11" s="26">
        <v>42511.0</v>
      </c>
      <c r="C11" s="27" t="s">
        <v>52</v>
      </c>
      <c r="D11" s="24" t="s">
        <v>208</v>
      </c>
      <c r="E11" s="52" t="s">
        <v>183</v>
      </c>
      <c r="F11" s="53" t="s">
        <v>206</v>
      </c>
      <c r="G11" s="33" t="str">
        <f t="shared" si="6"/>
        <v>5/2016</v>
      </c>
      <c r="H11" s="31" t="str">
        <f t="shared" si="4"/>
        <v>T</v>
      </c>
      <c r="I11" s="31"/>
      <c r="J11" s="31" t="str">
        <f t="shared" si="5"/>
        <v>EQ0egzQV6qV6AvomFSJgbQ/fWd7QN1O5psF27EB9qDg=</v>
      </c>
      <c r="K11" s="31" t="str">
        <f t="shared" si="2"/>
        <v>7 42511 Clerk
新界社團聯會
$50 / Hours
0900 - 1800
 大材小用 -- Overqualified EQ0egzQV6qV6AvomFSJgbQ/fWd7QN1O5psF27EB9qDg=</v>
      </c>
      <c r="L11" s="35" t="str">
        <f t="shared" si="3"/>
        <v>Loading...</v>
      </c>
      <c r="M11" s="36"/>
      <c r="N11" s="36"/>
    </row>
    <row r="12">
      <c r="A12" s="38">
        <v>8.0</v>
      </c>
      <c r="B12" s="39">
        <v>42535.0</v>
      </c>
      <c r="C12" s="40" t="s">
        <v>39</v>
      </c>
      <c r="D12" s="38" t="s">
        <v>209</v>
      </c>
      <c r="E12" s="41" t="s">
        <v>210</v>
      </c>
      <c r="F12" s="44" t="s">
        <v>188</v>
      </c>
      <c r="G12" s="43" t="str">
        <f t="shared" si="6"/>
        <v>6/2016</v>
      </c>
      <c r="H12" s="44" t="str">
        <f t="shared" si="4"/>
        <v>Loading...</v>
      </c>
      <c r="I12" s="44"/>
      <c r="J12" s="44" t="str">
        <f t="shared" si="5"/>
        <v>Loading...</v>
      </c>
      <c r="K12" s="44" t="str">
        <f t="shared" si="2"/>
        <v>Loading...</v>
      </c>
      <c r="L12" s="45" t="str">
        <f t="shared" si="3"/>
        <v>ke95Lr1rgcz7Ys9OWvxDjxlu5QQUFW8Z7NGoU/xUY50=</v>
      </c>
      <c r="M12" s="46"/>
      <c r="N12" s="46"/>
    </row>
    <row r="13">
      <c r="A13" s="24">
        <v>9.0</v>
      </c>
      <c r="B13" s="26">
        <v>42536.0</v>
      </c>
      <c r="C13" s="27" t="s">
        <v>54</v>
      </c>
      <c r="D13" s="24" t="s">
        <v>150</v>
      </c>
      <c r="E13" s="52" t="s">
        <v>183</v>
      </c>
      <c r="F13" s="53" t="s">
        <v>188</v>
      </c>
      <c r="G13" s="33" t="str">
        <f t="shared" si="6"/>
        <v>6/2016</v>
      </c>
      <c r="H13" s="31" t="str">
        <f t="shared" si="4"/>
        <v>T</v>
      </c>
      <c r="I13" s="31"/>
      <c r="J13" s="31" t="str">
        <f t="shared" si="5"/>
        <v>ke95Lr1rgcz7Ys9OWvxDjxlu5QQUFW8Z7NGoU/xUY50=</v>
      </c>
      <c r="K13" s="31" t="str">
        <f t="shared" si="2"/>
        <v>9 42536 Teaching Assistant
Spark21 LTD
$90 / Hr (Offer)
No state working time, TKO 沒有回應 -- No Respond ke95Lr1rgcz7Ys9OWvxDjxlu5QQUFW8Z7NGoU/xUY50=</v>
      </c>
      <c r="L13" s="35" t="str">
        <f t="shared" si="3"/>
        <v>Loading...</v>
      </c>
      <c r="M13" s="36"/>
      <c r="N13" s="36"/>
    </row>
    <row r="14">
      <c r="A14" s="38">
        <v>10.0</v>
      </c>
      <c r="B14" s="39">
        <v>42889.0</v>
      </c>
      <c r="C14" s="40" t="s">
        <v>55</v>
      </c>
      <c r="D14" s="38" t="s">
        <v>150</v>
      </c>
      <c r="E14" s="58" t="s">
        <v>183</v>
      </c>
      <c r="F14" s="59" t="s">
        <v>188</v>
      </c>
      <c r="G14" s="43" t="str">
        <f t="shared" si="6"/>
        <v>6/2017</v>
      </c>
      <c r="H14" s="44" t="str">
        <f t="shared" si="4"/>
        <v>Loading...</v>
      </c>
      <c r="I14" s="44"/>
      <c r="J14" s="44" t="str">
        <f t="shared" si="5"/>
        <v>Loading...</v>
      </c>
      <c r="K14" s="44" t="str">
        <f t="shared" si="2"/>
        <v>Loading...</v>
      </c>
      <c r="L14" s="45" t="str">
        <f t="shared" si="3"/>
        <v>Loading...</v>
      </c>
      <c r="M14" s="46"/>
      <c r="N14" s="46"/>
    </row>
    <row r="15">
      <c r="A15" s="24">
        <v>11.0</v>
      </c>
      <c r="B15" s="26">
        <v>42889.0</v>
      </c>
      <c r="C15" s="27" t="s">
        <v>56</v>
      </c>
      <c r="D15" s="24" t="s">
        <v>195</v>
      </c>
      <c r="E15" s="52" t="s">
        <v>183</v>
      </c>
      <c r="F15" s="53" t="s">
        <v>206</v>
      </c>
      <c r="G15" s="33" t="str">
        <f t="shared" si="6"/>
        <v>6/2017</v>
      </c>
      <c r="H15" s="31" t="str">
        <f t="shared" si="4"/>
        <v>Loading...</v>
      </c>
      <c r="I15" s="31"/>
      <c r="J15" s="31" t="str">
        <f t="shared" si="5"/>
        <v>Loading...</v>
      </c>
      <c r="K15" s="31" t="str">
        <f t="shared" si="2"/>
        <v>Loading...</v>
      </c>
      <c r="L15" s="35" t="str">
        <f t="shared" si="3"/>
        <v>Loading...</v>
      </c>
      <c r="M15" s="36"/>
      <c r="N15" s="36"/>
    </row>
    <row r="16">
      <c r="A16" s="38">
        <v>12.0</v>
      </c>
      <c r="B16" s="39">
        <v>42889.0</v>
      </c>
      <c r="C16" s="40" t="s">
        <v>58</v>
      </c>
      <c r="D16" s="38" t="s">
        <v>195</v>
      </c>
      <c r="E16" s="58" t="s">
        <v>211</v>
      </c>
      <c r="F16" s="59" t="s">
        <v>206</v>
      </c>
      <c r="G16" s="43" t="str">
        <f t="shared" si="6"/>
        <v>6/2017</v>
      </c>
      <c r="H16" s="44" t="str">
        <f t="shared" si="4"/>
        <v>Loading...</v>
      </c>
      <c r="I16" s="44"/>
      <c r="J16" s="44" t="str">
        <f t="shared" si="5"/>
        <v>Loading...</v>
      </c>
      <c r="K16" s="44" t="str">
        <f t="shared" si="2"/>
        <v>Loading...</v>
      </c>
      <c r="L16" s="45" t="str">
        <f t="shared" si="3"/>
        <v>Loading...</v>
      </c>
      <c r="M16" s="46"/>
      <c r="N16" s="46"/>
    </row>
    <row r="17">
      <c r="A17" s="24">
        <v>13.0</v>
      </c>
      <c r="B17" s="26">
        <v>42895.0</v>
      </c>
      <c r="C17" s="27" t="s">
        <v>36</v>
      </c>
      <c r="D17" s="24" t="s">
        <v>208</v>
      </c>
      <c r="E17" s="29" t="s">
        <v>212</v>
      </c>
      <c r="F17" s="31" t="s">
        <v>206</v>
      </c>
      <c r="G17" s="33" t="str">
        <f t="shared" si="6"/>
        <v>6/2017</v>
      </c>
      <c r="H17" s="31" t="str">
        <f t="shared" si="4"/>
        <v>Loading...</v>
      </c>
      <c r="I17" s="31"/>
      <c r="J17" s="31" t="str">
        <f t="shared" si="5"/>
        <v>Loading...</v>
      </c>
      <c r="K17" s="31" t="str">
        <f t="shared" si="2"/>
        <v>Loading...</v>
      </c>
      <c r="L17" s="36" t="str">
        <f t="shared" si="3"/>
        <v>ke95Lr1rgcz7Ys9OWvxDjxlu5QQUFW8Z7NGoU/xUY50=</v>
      </c>
      <c r="M17" s="36"/>
      <c r="N17" s="36"/>
    </row>
    <row r="18">
      <c r="A18" s="38">
        <v>14.0</v>
      </c>
      <c r="B18" s="64">
        <v>42900.0</v>
      </c>
      <c r="C18" s="40" t="s">
        <v>27</v>
      </c>
      <c r="D18" s="38" t="s">
        <v>208</v>
      </c>
      <c r="E18" s="41" t="s">
        <v>213</v>
      </c>
      <c r="F18" s="44" t="s">
        <v>214</v>
      </c>
      <c r="G18" s="43" t="str">
        <f t="shared" si="6"/>
        <v>6/2017</v>
      </c>
      <c r="H18" s="44" t="str">
        <f t="shared" si="4"/>
        <v>T</v>
      </c>
      <c r="I18" s="44"/>
      <c r="J18" s="44" t="str">
        <f t="shared" si="5"/>
        <v>ke95Lr1rgcz7Ys9OWvxDjxlu5QQUFW8Z7NGoU/xUY50=</v>
      </c>
      <c r="K18" s="44" t="str">
        <f t="shared" si="2"/>
        <v>14 42900 Game Story Designer
Mostcore Limited 最核心
$8500 / Month
0900 - 1800
 大材小用 -- Overqualified ke95Lr1rgcz7Ys9OWvxDjxlu5QQUFW8Z7NGoU/xUY50=</v>
      </c>
      <c r="L18" s="45" t="str">
        <f t="shared" si="3"/>
        <v>Loading...</v>
      </c>
      <c r="M18" s="46"/>
      <c r="N18" s="46"/>
    </row>
    <row r="19">
      <c r="A19" s="24">
        <v>15.0</v>
      </c>
      <c r="B19" s="26">
        <v>42900.0</v>
      </c>
      <c r="C19" s="27" t="s">
        <v>60</v>
      </c>
      <c r="D19" s="24" t="s">
        <v>195</v>
      </c>
      <c r="E19" s="52" t="s">
        <v>215</v>
      </c>
      <c r="F19" s="53" t="s">
        <v>182</v>
      </c>
      <c r="G19" s="33" t="str">
        <f t="shared" si="6"/>
        <v>6/2017</v>
      </c>
      <c r="H19" s="31" t="str">
        <f t="shared" si="4"/>
        <v>Loading...</v>
      </c>
      <c r="I19" s="31"/>
      <c r="J19" s="31" t="str">
        <f t="shared" si="5"/>
        <v>Loading...</v>
      </c>
      <c r="K19" s="31" t="str">
        <f t="shared" si="2"/>
        <v>Loading...</v>
      </c>
      <c r="L19" s="35" t="str">
        <f t="shared" si="3"/>
        <v>ke95Lr1rgcz7Ys9OWvxDjxlu5QQUFW8Z7NGoU/xUY50=</v>
      </c>
      <c r="M19" s="36"/>
      <c r="N19" s="36"/>
    </row>
    <row r="20">
      <c r="A20" s="38">
        <v>16.0</v>
      </c>
      <c r="B20" s="64">
        <v>42903.0</v>
      </c>
      <c r="C20" s="40" t="s">
        <v>21</v>
      </c>
      <c r="D20" s="38" t="s">
        <v>150</v>
      </c>
      <c r="E20" s="58" t="s">
        <v>183</v>
      </c>
      <c r="F20" s="44" t="s">
        <v>214</v>
      </c>
      <c r="G20" s="43" t="str">
        <f t="shared" si="6"/>
        <v>6/2017</v>
      </c>
      <c r="H20" s="44" t="str">
        <f t="shared" si="4"/>
        <v>T</v>
      </c>
      <c r="I20" s="44"/>
      <c r="J20" s="44" t="str">
        <f t="shared" si="5"/>
        <v>ke95Lr1rgcz7Ys9OWvxDjxlu5QQUFW8Z7NGoU/xUY50=</v>
      </c>
      <c r="K20" s="44" t="str">
        <f t="shared" si="2"/>
        <v>16 42903 Game and Technology Programmer (Developer)
Mostcore Limited 最核心
$ 14000 / Month
0900 - 1800
 沒有回應 -- No Respond ke95Lr1rgcz7Ys9OWvxDjxlu5QQUFW8Z7NGoU/xUY50=</v>
      </c>
      <c r="L20" s="45" t="str">
        <f t="shared" si="3"/>
        <v>Loading...</v>
      </c>
      <c r="M20" s="46"/>
      <c r="N20" s="46"/>
    </row>
    <row r="21">
      <c r="A21" s="24">
        <v>17.0</v>
      </c>
      <c r="B21" s="26">
        <v>42995.0</v>
      </c>
      <c r="C21" s="27" t="s">
        <v>62</v>
      </c>
      <c r="D21" s="24" t="s">
        <v>150</v>
      </c>
      <c r="E21" s="52" t="s">
        <v>183</v>
      </c>
      <c r="F21" s="53" t="s">
        <v>188</v>
      </c>
      <c r="G21" s="33" t="str">
        <f t="shared" si="6"/>
        <v>9/2017</v>
      </c>
      <c r="H21" s="31" t="str">
        <f t="shared" si="4"/>
        <v>Loading...</v>
      </c>
      <c r="I21" s="31"/>
      <c r="J21" s="31" t="str">
        <f t="shared" si="5"/>
        <v>Loading...</v>
      </c>
      <c r="K21" s="31" t="str">
        <f t="shared" si="2"/>
        <v>Loading...</v>
      </c>
      <c r="L21" s="35" t="str">
        <f t="shared" si="3"/>
        <v>ke95Lr1rgcz7Ys9OWvxDjxlu5QQUFW8Z7NGoU/xUY50=</v>
      </c>
      <c r="M21" s="36"/>
      <c r="N21" s="36"/>
    </row>
    <row r="22">
      <c r="A22" s="38">
        <v>18.0</v>
      </c>
      <c r="B22" s="39">
        <v>42997.0</v>
      </c>
      <c r="C22" s="40" t="s">
        <v>63</v>
      </c>
      <c r="D22" s="38" t="s">
        <v>150</v>
      </c>
      <c r="E22" s="58" t="s">
        <v>183</v>
      </c>
      <c r="F22" s="59" t="s">
        <v>188</v>
      </c>
      <c r="G22" s="43" t="str">
        <f t="shared" si="6"/>
        <v>9/2017</v>
      </c>
      <c r="H22" s="44" t="str">
        <f t="shared" si="4"/>
        <v>T</v>
      </c>
      <c r="I22" s="44"/>
      <c r="J22" s="44" t="str">
        <f t="shared" si="5"/>
        <v>ke95Lr1rgcz7Ys9OWvxDjxlu5QQUFW8Z7NGoU/xUY50=</v>
      </c>
      <c r="K22" s="44" t="str">
        <f t="shared" si="2"/>
        <v>18 42997 全職補習導師
己思補習學校
$10000 - $12000 / Month
1pm-8:30pm 10am-3pm
 沒有回應 -- No Respond ke95Lr1rgcz7Ys9OWvxDjxlu5QQUFW8Z7NGoU/xUY50=</v>
      </c>
      <c r="L22" s="45" t="str">
        <f t="shared" si="3"/>
        <v>Loading...</v>
      </c>
      <c r="M22" s="46"/>
      <c r="N22" s="46"/>
    </row>
    <row r="23">
      <c r="A23" s="24">
        <v>19.0</v>
      </c>
      <c r="B23" s="26">
        <v>43021.0</v>
      </c>
      <c r="C23" s="27" t="s">
        <v>64</v>
      </c>
      <c r="D23" s="24" t="s">
        <v>195</v>
      </c>
      <c r="E23" s="52" t="s">
        <v>65</v>
      </c>
      <c r="F23" s="53" t="s">
        <v>216</v>
      </c>
      <c r="G23" s="33" t="str">
        <f t="shared" si="6"/>
        <v>10/2017</v>
      </c>
      <c r="H23" s="31" t="str">
        <f t="shared" si="4"/>
        <v>Loading...</v>
      </c>
      <c r="I23" s="31"/>
      <c r="J23" s="31" t="str">
        <f t="shared" si="5"/>
        <v>Loading...</v>
      </c>
      <c r="K23" s="31" t="str">
        <f t="shared" si="2"/>
        <v>Loading...</v>
      </c>
      <c r="L23" s="35" t="str">
        <f t="shared" si="3"/>
        <v>ke95Lr1rgcz7Ys9OWvxDjxlu5QQUFW8Z7NGoU/xUY50=</v>
      </c>
      <c r="M23" s="36"/>
      <c r="N23" s="36"/>
    </row>
    <row r="24">
      <c r="A24" s="38">
        <v>20.0</v>
      </c>
      <c r="B24" s="39">
        <v>43021.0</v>
      </c>
      <c r="C24" s="40" t="s">
        <v>66</v>
      </c>
      <c r="D24" s="38" t="s">
        <v>195</v>
      </c>
      <c r="E24" s="65" t="s">
        <v>65</v>
      </c>
      <c r="F24" s="59" t="s">
        <v>216</v>
      </c>
      <c r="G24" s="43" t="str">
        <f t="shared" si="6"/>
        <v>10/2017</v>
      </c>
      <c r="H24" s="44" t="str">
        <f t="shared" si="4"/>
        <v>T</v>
      </c>
      <c r="I24" s="44"/>
      <c r="J24" s="44" t="str">
        <f t="shared" si="5"/>
        <v>ke95Lr1rgcz7Ys9OWvxDjxlu5QQUFW8Z7NGoU/xUY50=</v>
      </c>
      <c r="K24" s="44" t="str">
        <f t="shared" si="2"/>
        <v>20 43021 製作助理 39336
香港電台 -- 電台部中文台與行政及發展
$75 / Hours
0900 - 1800
 有出席面試機會 -- Interview Attended ke95Lr1rgcz7Ys9OWvxDjxlu5QQUFW8Z7NGoU/xUY50=</v>
      </c>
      <c r="L24" s="45" t="str">
        <f t="shared" si="3"/>
        <v>wiu+5RWpyllBPS5TjmAXMNXZS/wPY42oFr4i/A+Ywv4=</v>
      </c>
      <c r="M24" s="46"/>
      <c r="N24" s="46"/>
    </row>
    <row r="25">
      <c r="A25" s="24">
        <v>21.0</v>
      </c>
      <c r="B25" s="26">
        <v>43031.0</v>
      </c>
      <c r="C25" s="27" t="s">
        <v>67</v>
      </c>
      <c r="D25" s="24" t="s">
        <v>195</v>
      </c>
      <c r="E25" s="52" t="s">
        <v>217</v>
      </c>
      <c r="F25" s="53" t="s">
        <v>188</v>
      </c>
      <c r="G25" s="33" t="str">
        <f t="shared" si="6"/>
        <v>10/2017</v>
      </c>
      <c r="H25" s="31" t="str">
        <f t="shared" si="4"/>
        <v>T</v>
      </c>
      <c r="I25" s="31"/>
      <c r="J25" s="31" t="str">
        <f t="shared" si="5"/>
        <v>wiu+5RWpyllBPS5TjmAXMNXZS/wPY42oFr4i/A+Ywv4=</v>
      </c>
      <c r="K25" s="31" t="str">
        <f t="shared" si="2"/>
        <v>21 43031 功輔導師
志蓮小學
$7500 / Month
3:45 - 5:45
 有出席面試機會 -- Interview Attended wiu+5RWpyllBPS5TjmAXMNXZS/wPY42oFr4i/A+Ywv4=</v>
      </c>
      <c r="L25" s="35" t="str">
        <f t="shared" si="3"/>
        <v>u4OM7WmnwEF1pfnjO7XCpX1Pq+VtTdxkXLrisLkvRBM=</v>
      </c>
      <c r="M25" s="36"/>
      <c r="N25" s="36"/>
    </row>
    <row r="26">
      <c r="A26" s="38">
        <v>22.0</v>
      </c>
      <c r="B26" s="39">
        <v>43119.0</v>
      </c>
      <c r="C26" s="40" t="s">
        <v>69</v>
      </c>
      <c r="D26" s="38" t="s">
        <v>218</v>
      </c>
      <c r="E26" s="58" t="s">
        <v>183</v>
      </c>
      <c r="F26" s="59" t="s">
        <v>188</v>
      </c>
      <c r="G26" s="43" t="str">
        <f t="shared" si="6"/>
        <v>1/2018</v>
      </c>
      <c r="H26" s="44" t="str">
        <f t="shared" si="4"/>
        <v>T</v>
      </c>
      <c r="I26" s="44"/>
      <c r="J26" s="44" t="str">
        <f t="shared" si="5"/>
        <v>u4OM7WmnwEF1pfnjO7XCpX1Pq+VtTdxkXLrisLkvRBM=</v>
      </c>
      <c r="K26" s="44" t="str">
        <f t="shared" si="2"/>
        <v>22 43119 功輔導師
中聖教會有限公司
$65 - 70 /Hours
3pm-6pm
 質疑宗教與個人能力之間的關係 -- Religion Related u4OM7WmnwEF1pfnjO7XCpX1Pq+VtTdxkXLrisLkvRBM=</v>
      </c>
      <c r="L26" s="45" t="str">
        <f t="shared" si="3"/>
        <v>sCAwT4Ppey3k2IrG2AbemK5nvEMf0ayMcGPrVpjpsws=</v>
      </c>
      <c r="M26" s="46"/>
      <c r="N26" s="46"/>
    </row>
    <row r="27">
      <c r="A27" s="24">
        <v>23.0</v>
      </c>
      <c r="B27" s="26">
        <v>43151.0</v>
      </c>
      <c r="C27" s="27" t="s">
        <v>71</v>
      </c>
      <c r="D27" s="24" t="s">
        <v>195</v>
      </c>
      <c r="E27" s="52" t="s">
        <v>72</v>
      </c>
      <c r="F27" s="53" t="s">
        <v>216</v>
      </c>
      <c r="G27" s="33" t="str">
        <f t="shared" si="6"/>
        <v>2/2018</v>
      </c>
      <c r="H27" s="31" t="str">
        <f t="shared" si="4"/>
        <v>T</v>
      </c>
      <c r="I27" s="31"/>
      <c r="J27" s="31" t="str">
        <f t="shared" si="5"/>
        <v>sCAwT4Ppey3k2IrG2AbemK5nvEMf0ayMcGPrVpjpsws=</v>
      </c>
      <c r="K27" s="31" t="str">
        <f t="shared" si="2"/>
        <v>23 43151 字幕系統操作員
電視部字幕及節目宣傳組，香港電台
$100/Hours
No state working hour 有出席面試機會 -- Interview Attended sCAwT4Ppey3k2IrG2AbemK5nvEMf0ayMcGPrVpjpsws=</v>
      </c>
      <c r="L27" s="35" t="str">
        <f t="shared" si="3"/>
        <v>Loading...</v>
      </c>
      <c r="M27" s="36"/>
      <c r="N27" s="36"/>
    </row>
    <row r="28">
      <c r="A28" s="38">
        <v>24.0</v>
      </c>
      <c r="B28" s="39">
        <v>43151.0</v>
      </c>
      <c r="C28" s="40" t="s">
        <v>73</v>
      </c>
      <c r="D28" s="38" t="s">
        <v>150</v>
      </c>
      <c r="E28" s="58" t="s">
        <v>183</v>
      </c>
      <c r="F28" s="59" t="s">
        <v>216</v>
      </c>
      <c r="G28" s="43" t="str">
        <f t="shared" si="6"/>
        <v>2/2018</v>
      </c>
      <c r="H28" s="44" t="str">
        <f t="shared" si="4"/>
        <v>Loading...</v>
      </c>
      <c r="I28" s="44"/>
      <c r="J28" s="44" t="str">
        <f t="shared" si="5"/>
        <v>Loading...</v>
      </c>
      <c r="K28" s="44" t="str">
        <f t="shared" si="2"/>
        <v>Loading...</v>
      </c>
      <c r="L28" s="45" t="str">
        <f t="shared" si="3"/>
        <v>ke95Lr1rgcz7Ys9OWvxDjxlu5QQUFW8Z7NGoU/xUY50=</v>
      </c>
      <c r="M28" s="46"/>
      <c r="N28" s="46"/>
    </row>
    <row r="29">
      <c r="A29" s="24">
        <v>25.0</v>
      </c>
      <c r="B29" s="26">
        <v>43160.0</v>
      </c>
      <c r="C29" s="27" t="s">
        <v>74</v>
      </c>
      <c r="D29" s="24" t="s">
        <v>150</v>
      </c>
      <c r="E29" s="52" t="s">
        <v>183</v>
      </c>
      <c r="F29" s="53" t="s">
        <v>216</v>
      </c>
      <c r="G29" s="33" t="str">
        <f t="shared" si="6"/>
        <v>3/2018</v>
      </c>
      <c r="H29" s="31" t="str">
        <f t="shared" si="4"/>
        <v>T</v>
      </c>
      <c r="I29" s="31"/>
      <c r="J29" s="31" t="str">
        <f t="shared" si="5"/>
        <v>ke95Lr1rgcz7Ys9OWvxDjxlu5QQUFW8Z7NGoU/xUY50=</v>
      </c>
      <c r="K29" s="31" t="str">
        <f t="shared" si="2"/>
        <v>25 43160 Teaching Assistant
皇仁書院
$15545 / Month
No state working hour 沒有回應 -- No Respond ke95Lr1rgcz7Ys9OWvxDjxlu5QQUFW8Z7NGoU/xUY50=</v>
      </c>
      <c r="L29" s="35" t="str">
        <f t="shared" si="3"/>
        <v>Loading...</v>
      </c>
      <c r="M29" s="36"/>
      <c r="N29" s="36"/>
    </row>
    <row r="30">
      <c r="A30" s="38">
        <v>26.0</v>
      </c>
      <c r="B30" s="39">
        <v>43160.0</v>
      </c>
      <c r="C30" s="40" t="s">
        <v>75</v>
      </c>
      <c r="D30" s="38" t="s">
        <v>150</v>
      </c>
      <c r="E30" s="58" t="s">
        <v>183</v>
      </c>
      <c r="F30" s="59" t="s">
        <v>216</v>
      </c>
      <c r="G30" s="43" t="str">
        <f t="shared" si="6"/>
        <v>3/2018</v>
      </c>
      <c r="H30" s="44" t="str">
        <f t="shared" si="4"/>
        <v>Loading...</v>
      </c>
      <c r="I30" s="44"/>
      <c r="J30" s="44" t="str">
        <f t="shared" si="5"/>
        <v>Loading...</v>
      </c>
      <c r="K30" s="44" t="str">
        <f t="shared" si="2"/>
        <v>Loading...</v>
      </c>
      <c r="L30" s="45" t="str">
        <f t="shared" si="3"/>
        <v>ke95Lr1rgcz7Ys9OWvxDjxlu5QQUFW8Z7NGoU/xUY50=</v>
      </c>
      <c r="M30" s="46"/>
      <c r="N30" s="46"/>
    </row>
    <row r="31">
      <c r="A31" s="24">
        <v>27.0</v>
      </c>
      <c r="B31" s="26">
        <v>43171.0</v>
      </c>
      <c r="C31" s="27" t="s">
        <v>76</v>
      </c>
      <c r="D31" s="24" t="s">
        <v>150</v>
      </c>
      <c r="E31" s="52" t="s">
        <v>183</v>
      </c>
      <c r="F31" s="53" t="s">
        <v>216</v>
      </c>
      <c r="G31" s="33" t="str">
        <f t="shared" si="6"/>
        <v>3/2018</v>
      </c>
      <c r="H31" s="31" t="str">
        <f t="shared" si="4"/>
        <v>T</v>
      </c>
      <c r="I31" s="31"/>
      <c r="J31" s="31" t="str">
        <f t="shared" si="5"/>
        <v>ke95Lr1rgcz7Ys9OWvxDjxlu5QQUFW8Z7NGoU/xUY50=</v>
      </c>
      <c r="K31" s="31" t="str">
        <f t="shared" si="2"/>
        <v>27 43171 Part-time Teaching Assistant
觀塘官立小學
$92 / Hours
No working hour state
 沒有回應 -- No Respond ke95Lr1rgcz7Ys9OWvxDjxlu5QQUFW8Z7NGoU/xUY50=</v>
      </c>
      <c r="L31" s="35" t="str">
        <f t="shared" si="3"/>
        <v>Loading...</v>
      </c>
      <c r="M31" s="36"/>
      <c r="N31" s="36"/>
    </row>
    <row r="32">
      <c r="A32" s="38">
        <v>28.0</v>
      </c>
      <c r="B32" s="39">
        <v>43172.0</v>
      </c>
      <c r="C32" s="40" t="s">
        <v>77</v>
      </c>
      <c r="D32" s="38" t="s">
        <v>195</v>
      </c>
      <c r="E32" s="41" t="s">
        <v>219</v>
      </c>
      <c r="F32" s="59" t="s">
        <v>216</v>
      </c>
      <c r="G32" s="43" t="str">
        <f t="shared" si="6"/>
        <v>3/2018</v>
      </c>
      <c r="H32" s="44" t="str">
        <f t="shared" si="4"/>
        <v>Loading...</v>
      </c>
      <c r="I32" s="44"/>
      <c r="J32" s="44" t="str">
        <f t="shared" si="5"/>
        <v>Loading...</v>
      </c>
      <c r="K32" s="44" t="str">
        <f t="shared" si="2"/>
        <v>Loading...</v>
      </c>
      <c r="L32" s="45" t="str">
        <f t="shared" si="3"/>
        <v>Loading...</v>
      </c>
      <c r="M32" s="46"/>
      <c r="N32" s="46"/>
    </row>
    <row r="33">
      <c r="A33" s="24">
        <v>29.0</v>
      </c>
      <c r="B33" s="26">
        <v>43193.0</v>
      </c>
      <c r="C33" s="27" t="s">
        <v>80</v>
      </c>
      <c r="D33" s="24" t="s">
        <v>150</v>
      </c>
      <c r="E33" s="52" t="s">
        <v>183</v>
      </c>
      <c r="F33" s="53" t="s">
        <v>188</v>
      </c>
      <c r="G33" s="33" t="str">
        <f t="shared" si="6"/>
        <v>4/2018</v>
      </c>
      <c r="H33" s="31" t="str">
        <f t="shared" si="4"/>
        <v>Loading...</v>
      </c>
      <c r="I33" s="31"/>
      <c r="J33" s="31" t="str">
        <f t="shared" si="5"/>
        <v>Loading...</v>
      </c>
      <c r="K33" s="31" t="str">
        <f t="shared" si="2"/>
        <v>Loading...</v>
      </c>
      <c r="L33" s="35" t="str">
        <f t="shared" si="3"/>
        <v>Loading...</v>
      </c>
      <c r="M33" s="36"/>
      <c r="N33" s="36"/>
    </row>
    <row r="34">
      <c r="A34" s="38">
        <v>30.0</v>
      </c>
      <c r="B34" s="39">
        <v>43268.0</v>
      </c>
      <c r="C34" s="40" t="s">
        <v>22</v>
      </c>
      <c r="D34" s="38" t="s">
        <v>220</v>
      </c>
      <c r="E34" s="58" t="s">
        <v>183</v>
      </c>
      <c r="F34" s="44" t="s">
        <v>214</v>
      </c>
      <c r="G34" s="43" t="str">
        <f t="shared" si="6"/>
        <v>6/2018</v>
      </c>
      <c r="H34" s="44" t="str">
        <f t="shared" si="4"/>
        <v>Loading...</v>
      </c>
      <c r="I34" s="44"/>
      <c r="J34" s="44" t="str">
        <f t="shared" si="5"/>
        <v>Loading...</v>
      </c>
      <c r="K34" s="44" t="str">
        <f t="shared" si="2"/>
        <v>Loading...</v>
      </c>
      <c r="L34" s="45" t="str">
        <f t="shared" si="3"/>
        <v>Loading...</v>
      </c>
      <c r="M34" s="46"/>
      <c r="N34" s="46"/>
    </row>
    <row r="35">
      <c r="A35" s="24">
        <v>31.0</v>
      </c>
      <c r="B35" s="26">
        <v>43269.0</v>
      </c>
      <c r="C35" s="27" t="s">
        <v>20</v>
      </c>
      <c r="D35" s="24" t="s">
        <v>150</v>
      </c>
      <c r="E35" s="52" t="s">
        <v>183</v>
      </c>
      <c r="F35" s="31" t="s">
        <v>206</v>
      </c>
      <c r="G35" s="33" t="str">
        <f t="shared" si="6"/>
        <v>6/2018</v>
      </c>
      <c r="H35" s="31" t="str">
        <f t="shared" si="4"/>
        <v>Loading...</v>
      </c>
      <c r="I35" s="31"/>
      <c r="J35" s="31" t="str">
        <f t="shared" si="5"/>
        <v>Loading...</v>
      </c>
      <c r="K35" s="31" t="str">
        <f t="shared" si="2"/>
        <v>Loading...</v>
      </c>
      <c r="L35" s="35" t="str">
        <f t="shared" si="3"/>
        <v>ke95Lr1rgcz7Ys9OWvxDjxlu5QQUFW8Z7NGoU/xUY50=</v>
      </c>
      <c r="M35" s="36"/>
      <c r="N35" s="36"/>
    </row>
    <row r="36">
      <c r="A36" s="66">
        <v>32.0</v>
      </c>
      <c r="B36" s="67">
        <v>43329.0</v>
      </c>
      <c r="C36" s="68" t="s">
        <v>19</v>
      </c>
      <c r="D36" s="66" t="s">
        <v>150</v>
      </c>
      <c r="E36" s="69" t="s">
        <v>183</v>
      </c>
      <c r="F36" s="70" t="s">
        <v>214</v>
      </c>
      <c r="G36" s="71" t="str">
        <f t="shared" si="6"/>
        <v>8/2018</v>
      </c>
      <c r="H36" s="70" t="str">
        <f t="shared" si="4"/>
        <v>T</v>
      </c>
      <c r="I36" s="70"/>
      <c r="J36" s="70" t="str">
        <f t="shared" si="5"/>
        <v>ke95Lr1rgcz7Ys9OWvxDjxlu5QQUFW8Z7NGoU/xUY50=</v>
      </c>
      <c r="K36" s="70" t="str">
        <f t="shared" si="2"/>
        <v>32 43329 Junior Mobile Game Developer
火狗工房 Firedog Studio
$13000 - $15000 / Month
1100 - 1800
 沒有回應 -- No Respond ke95Lr1rgcz7Ys9OWvxDjxlu5QQUFW8Z7NGoU/xUY50=</v>
      </c>
      <c r="L36" s="72" t="str">
        <f t="shared" si="3"/>
        <v>Loading...</v>
      </c>
      <c r="M36" s="73"/>
      <c r="N36" s="73"/>
    </row>
    <row r="37">
      <c r="A37" s="24">
        <v>33.0</v>
      </c>
      <c r="B37" s="26">
        <v>43347.0</v>
      </c>
      <c r="C37" s="27" t="s">
        <v>82</v>
      </c>
      <c r="D37" s="24" t="s">
        <v>150</v>
      </c>
      <c r="E37" s="52" t="s">
        <v>183</v>
      </c>
      <c r="F37" s="53" t="s">
        <v>214</v>
      </c>
      <c r="G37" s="33" t="str">
        <f t="shared" si="6"/>
        <v>9/2018</v>
      </c>
      <c r="H37" s="31" t="str">
        <f t="shared" si="4"/>
        <v>Loading...</v>
      </c>
      <c r="I37" s="31"/>
      <c r="J37" s="31" t="str">
        <f t="shared" si="5"/>
        <v>Loading...</v>
      </c>
      <c r="K37" s="31" t="str">
        <f t="shared" si="2"/>
        <v>Loading...</v>
      </c>
      <c r="L37" s="35" t="str">
        <f t="shared" si="3"/>
        <v>ke95Lr1rgcz7Ys9OWvxDjxlu5QQUFW8Z7NGoU/xUY50=</v>
      </c>
      <c r="M37" s="36"/>
      <c r="N37" s="36"/>
    </row>
    <row r="38">
      <c r="A38" s="38">
        <v>34.0</v>
      </c>
      <c r="B38" s="39">
        <v>43347.0</v>
      </c>
      <c r="C38" s="40" t="s">
        <v>83</v>
      </c>
      <c r="D38" s="38" t="s">
        <v>150</v>
      </c>
      <c r="E38" s="58" t="s">
        <v>183</v>
      </c>
      <c r="F38" s="59" t="s">
        <v>214</v>
      </c>
      <c r="G38" s="43" t="str">
        <f t="shared" si="6"/>
        <v>9/2018</v>
      </c>
      <c r="H38" s="44" t="str">
        <f t="shared" si="4"/>
        <v>T</v>
      </c>
      <c r="I38" s="44"/>
      <c r="J38" s="44" t="str">
        <f t="shared" si="5"/>
        <v>ke95Lr1rgcz7Ys9OWvxDjxlu5QQUFW8Z7NGoU/xUY50=</v>
      </c>
      <c r="K38" s="44" t="str">
        <f t="shared" si="2"/>
        <v>34 43347 Mobile Game QA Tester
6waves Limited
JHK10000300641889
$12500 / Month (Nego)
0900 - 1800
 沒有回應 -- No Respond ke95Lr1rgcz7Ys9OWvxDjxlu5QQUFW8Z7NGoU/xUY50=</v>
      </c>
      <c r="L38" s="45" t="str">
        <f t="shared" si="3"/>
        <v>gaNogfsdjM+CNUU596Rg6Ijy9evjNdWAEKDmilQo9E4=</v>
      </c>
      <c r="M38" s="46"/>
      <c r="N38" s="46"/>
    </row>
    <row r="39">
      <c r="A39" s="24">
        <v>35.0</v>
      </c>
      <c r="B39" s="26">
        <v>43353.0</v>
      </c>
      <c r="C39" s="27" t="s">
        <v>84</v>
      </c>
      <c r="D39" s="24" t="s">
        <v>195</v>
      </c>
      <c r="E39" s="29" t="s">
        <v>221</v>
      </c>
      <c r="F39" s="53" t="s">
        <v>214</v>
      </c>
      <c r="G39" s="33" t="str">
        <f t="shared" si="6"/>
        <v>9/2018</v>
      </c>
      <c r="H39" s="31" t="str">
        <f t="shared" si="4"/>
        <v>T</v>
      </c>
      <c r="I39" s="31"/>
      <c r="J39" s="31" t="str">
        <f t="shared" si="5"/>
        <v>gaNogfsdjM+CNUU596Rg6Ijy9evjNdWAEKDmilQo9E4=</v>
      </c>
      <c r="K39" s="31" t="str">
        <f t="shared" si="2"/>
        <v>35 43353 Game Designer
Digitcube Limited
JHK100003006472996
$13000 / Offer
0900 - 1800 Office Hour
 有出席面試機會 -- Interview Attended gaNogfsdjM+CNUU596Rg6Ijy9evjNdWAEKDmilQo9E4=</v>
      </c>
      <c r="L39" s="35" t="str">
        <f t="shared" si="3"/>
        <v>/IrApjTXAuqOU+EDI2ajcN9UEM7e78J2J8QJC33PTQQ=</v>
      </c>
      <c r="M39" s="36"/>
      <c r="N39" s="36"/>
    </row>
    <row r="40">
      <c r="A40" s="38">
        <v>36.0</v>
      </c>
      <c r="B40" s="39">
        <v>43357.0</v>
      </c>
      <c r="C40" s="40" t="s">
        <v>86</v>
      </c>
      <c r="D40" s="38" t="s">
        <v>195</v>
      </c>
      <c r="E40" s="41" t="s">
        <v>222</v>
      </c>
      <c r="F40" s="59" t="s">
        <v>214</v>
      </c>
      <c r="G40" s="43" t="str">
        <f t="shared" si="6"/>
        <v>9/2018</v>
      </c>
      <c r="H40" s="44" t="str">
        <f t="shared" si="4"/>
        <v>T</v>
      </c>
      <c r="I40" s="44"/>
      <c r="J40" s="44" t="str">
        <f t="shared" si="5"/>
        <v>/IrApjTXAuqOU+EDI2ajcN9UEM7e78J2J8QJC33PTQQ=</v>
      </c>
      <c r="K40" s="44" t="str">
        <f t="shared" si="2"/>
        <v>36 43357 Game Designer
On way Limited
JHK100003006434350
Negoitated
Office Hours
 有出席面試機會 -- Interview Attended /IrApjTXAuqOU+EDI2ajcN9UEM7e78J2J8QJC33PTQQ=</v>
      </c>
      <c r="L40" s="45" t="str">
        <f t="shared" si="3"/>
        <v>JjBdwMwAN8iR7VXxQ/R4nMD6hqcsqbE2nOg0hBcAOLM=</v>
      </c>
      <c r="M40" s="46"/>
      <c r="N40" s="46"/>
    </row>
    <row r="41">
      <c r="A41" s="24">
        <v>37.0</v>
      </c>
      <c r="B41" s="26">
        <v>43357.0</v>
      </c>
      <c r="C41" s="27" t="s">
        <v>88</v>
      </c>
      <c r="D41" s="24" t="s">
        <v>195</v>
      </c>
      <c r="E41" s="29" t="s">
        <v>222</v>
      </c>
      <c r="F41" s="53" t="s">
        <v>214</v>
      </c>
      <c r="G41" s="33" t="str">
        <f t="shared" si="6"/>
        <v>9/2018</v>
      </c>
      <c r="H41" s="31" t="str">
        <f t="shared" si="4"/>
        <v>T</v>
      </c>
      <c r="I41" s="31"/>
      <c r="J41" s="31" t="str">
        <f t="shared" si="5"/>
        <v>JjBdwMwAN8iR7VXxQ/R4nMD6hqcsqbE2nOg0hBcAOLM=</v>
      </c>
      <c r="K41" s="31" t="str">
        <f t="shared" si="2"/>
        <v>37 43357 Game Developer
Onway Limited
JHK100003006434350
Negotiate
Office Time
 有出席面試機會 -- Interview Attended JjBdwMwAN8iR7VXxQ/R4nMD6hqcsqbE2nOg0hBcAOLM=</v>
      </c>
      <c r="L41" s="35" t="str">
        <f t="shared" si="3"/>
        <v>Loading...</v>
      </c>
      <c r="M41" s="36"/>
      <c r="N41" s="36"/>
    </row>
    <row r="42">
      <c r="A42" s="38">
        <v>38.0</v>
      </c>
      <c r="B42" s="39">
        <v>43397.0</v>
      </c>
      <c r="C42" s="40" t="s">
        <v>18</v>
      </c>
      <c r="D42" s="38" t="s">
        <v>201</v>
      </c>
      <c r="E42" s="58" t="s">
        <v>183</v>
      </c>
      <c r="F42" s="44" t="s">
        <v>223</v>
      </c>
      <c r="G42" s="43" t="str">
        <f t="shared" si="6"/>
        <v>10/2018</v>
      </c>
      <c r="H42" s="44" t="str">
        <f t="shared" si="4"/>
        <v>Loading...</v>
      </c>
      <c r="I42" s="44"/>
      <c r="J42" s="44" t="str">
        <f t="shared" si="5"/>
        <v>Loading...</v>
      </c>
      <c r="K42" s="44" t="str">
        <f t="shared" si="2"/>
        <v>Loading...</v>
      </c>
      <c r="L42" s="45" t="str">
        <f t="shared" si="3"/>
        <v>Loading...</v>
      </c>
      <c r="M42" s="46"/>
      <c r="N42" s="46"/>
    </row>
    <row r="43">
      <c r="A43" s="24">
        <v>39.0</v>
      </c>
      <c r="B43" s="26">
        <v>43422.0</v>
      </c>
      <c r="C43" s="27" t="s">
        <v>16</v>
      </c>
      <c r="D43" s="24" t="s">
        <v>150</v>
      </c>
      <c r="E43" s="52" t="s">
        <v>183</v>
      </c>
      <c r="F43" s="31" t="s">
        <v>214</v>
      </c>
      <c r="G43" s="33" t="str">
        <f t="shared" si="6"/>
        <v>11/2018</v>
      </c>
      <c r="H43" s="31" t="str">
        <f t="shared" si="4"/>
        <v>Loading...</v>
      </c>
      <c r="I43" s="31"/>
      <c r="J43" s="31" t="str">
        <f t="shared" si="5"/>
        <v>Loading...</v>
      </c>
      <c r="K43" s="31" t="str">
        <f t="shared" si="2"/>
        <v>Loading...</v>
      </c>
      <c r="L43" s="35" t="str">
        <f t="shared" si="3"/>
        <v>ke95Lr1rgcz7Ys9OWvxDjxlu5QQUFW8Z7NGoU/xUY50=</v>
      </c>
      <c r="M43" s="36"/>
      <c r="N43" s="36"/>
    </row>
    <row r="44">
      <c r="A44" s="38">
        <v>40.0</v>
      </c>
      <c r="B44" s="39">
        <v>43422.0</v>
      </c>
      <c r="C44" s="40" t="s">
        <v>90</v>
      </c>
      <c r="D44" s="38" t="s">
        <v>191</v>
      </c>
      <c r="E44" s="41" t="s">
        <v>224</v>
      </c>
      <c r="F44" s="59" t="s">
        <v>214</v>
      </c>
      <c r="G44" s="43" t="str">
        <f t="shared" si="6"/>
        <v>11/2018</v>
      </c>
      <c r="H44" s="44" t="str">
        <f t="shared" si="4"/>
        <v>T</v>
      </c>
      <c r="I44" s="44"/>
      <c r="J44" s="44" t="str">
        <f t="shared" si="5"/>
        <v>ke95Lr1rgcz7Ys9OWvxDjxlu5QQUFW8Z7NGoU/xUY50=</v>
      </c>
      <c r="K44" s="44" t="str">
        <f t="shared" si="2"/>
        <v>40 43422 Game Designer
XIAO MA KE JI
HK 13000 / Month
0900 - 1800 Sha Tin
 已婉拒 Refused ke95Lr1rgcz7Ys9OWvxDjxlu5QQUFW8Z7NGoU/xUY50=</v>
      </c>
      <c r="L44" s="45" t="str">
        <f t="shared" si="3"/>
        <v>Loading...</v>
      </c>
      <c r="M44" s="46"/>
      <c r="N44" s="46"/>
    </row>
    <row r="45">
      <c r="A45" s="24">
        <v>41.0</v>
      </c>
      <c r="B45" s="26">
        <v>43427.0</v>
      </c>
      <c r="C45" s="27" t="s">
        <v>225</v>
      </c>
      <c r="D45" s="24" t="s">
        <v>195</v>
      </c>
      <c r="E45" s="52" t="s">
        <v>226</v>
      </c>
      <c r="F45" s="53" t="s">
        <v>214</v>
      </c>
      <c r="G45" s="33" t="str">
        <f t="shared" si="6"/>
        <v>11/2018</v>
      </c>
      <c r="H45" s="31" t="str">
        <f t="shared" si="4"/>
        <v>Loading...</v>
      </c>
      <c r="I45" s="31"/>
      <c r="J45" s="31" t="str">
        <f t="shared" si="5"/>
        <v>Loading...</v>
      </c>
      <c r="K45" s="31" t="str">
        <f t="shared" si="2"/>
        <v>Loading...</v>
      </c>
      <c r="L45" s="35" t="str">
        <f t="shared" si="3"/>
        <v>ke95Lr1rgcz7Ys9OWvxDjxlu5QQUFW8Z7NGoU/xUY50=</v>
      </c>
      <c r="M45" s="36"/>
      <c r="N45" s="36"/>
    </row>
    <row r="46">
      <c r="A46" s="38">
        <v>42.0</v>
      </c>
      <c r="B46" s="39">
        <v>43440.0</v>
      </c>
      <c r="C46" s="40" t="s">
        <v>15</v>
      </c>
      <c r="D46" s="38" t="s">
        <v>201</v>
      </c>
      <c r="E46" s="58" t="s">
        <v>183</v>
      </c>
      <c r="F46" s="44" t="s">
        <v>223</v>
      </c>
      <c r="G46" s="43" t="str">
        <f t="shared" si="6"/>
        <v>12/2018</v>
      </c>
      <c r="H46" s="44" t="str">
        <f t="shared" si="4"/>
        <v>T</v>
      </c>
      <c r="I46" s="44"/>
      <c r="J46" s="44" t="str">
        <f t="shared" si="5"/>
        <v>ke95Lr1rgcz7Ys9OWvxDjxlu5QQUFW8Z7NGoU/xUY50=</v>
      </c>
      <c r="K46" s="44" t="str">
        <f t="shared" si="2"/>
        <v>42 43440 香港青年協會約見 已出席 -- Partake ke95Lr1rgcz7Ys9OWvxDjxlu5QQUFW8Z7NGoU/xUY50=</v>
      </c>
      <c r="L46" s="45" t="str">
        <f t="shared" si="3"/>
        <v>Loading...</v>
      </c>
      <c r="M46" s="46"/>
      <c r="N46" s="46"/>
    </row>
    <row r="47">
      <c r="A47" s="24">
        <v>43.0</v>
      </c>
      <c r="B47" s="26">
        <v>43444.0</v>
      </c>
      <c r="C47" s="27" t="s">
        <v>12</v>
      </c>
      <c r="D47" s="24" t="s">
        <v>195</v>
      </c>
      <c r="E47" s="52" t="s">
        <v>13</v>
      </c>
      <c r="F47" s="31" t="s">
        <v>188</v>
      </c>
      <c r="G47" s="33" t="str">
        <f t="shared" si="6"/>
        <v>12/2018</v>
      </c>
      <c r="H47" s="31" t="str">
        <f t="shared" si="4"/>
        <v>Loading...</v>
      </c>
      <c r="I47" s="31"/>
      <c r="J47" s="31" t="str">
        <f t="shared" si="5"/>
        <v>Loading...</v>
      </c>
      <c r="K47" s="31" t="str">
        <f t="shared" si="2"/>
        <v>Loading...</v>
      </c>
      <c r="L47" s="35" t="str">
        <f t="shared" si="3"/>
        <v>Loading...</v>
      </c>
      <c r="M47" s="36"/>
      <c r="N47" s="36"/>
    </row>
    <row r="48">
      <c r="A48" s="38">
        <v>44.0</v>
      </c>
      <c r="B48" s="39">
        <v>43444.0</v>
      </c>
      <c r="C48" s="40" t="s">
        <v>14</v>
      </c>
      <c r="D48" s="38" t="s">
        <v>201</v>
      </c>
      <c r="E48" s="58" t="s">
        <v>183</v>
      </c>
      <c r="F48" s="44" t="s">
        <v>223</v>
      </c>
      <c r="G48" s="43" t="str">
        <f t="shared" si="6"/>
        <v>12/2018</v>
      </c>
      <c r="H48" s="44" t="str">
        <f t="shared" si="4"/>
        <v>Loading...</v>
      </c>
      <c r="I48" s="44"/>
      <c r="J48" s="44" t="str">
        <f t="shared" si="5"/>
        <v>Loading...</v>
      </c>
      <c r="K48" s="44" t="str">
        <f t="shared" si="2"/>
        <v>Loading...</v>
      </c>
      <c r="L48" s="45" t="str">
        <f t="shared" si="3"/>
        <v>ke95Lr1rgcz7Ys9OWvxDjxlu5QQUFW8Z7NGoU/xUY50=</v>
      </c>
      <c r="M48" s="46"/>
      <c r="N48" s="46"/>
    </row>
    <row r="49">
      <c r="A49" s="24">
        <v>45.0</v>
      </c>
      <c r="B49" s="26">
        <v>43447.0</v>
      </c>
      <c r="C49" s="27" t="s">
        <v>11</v>
      </c>
      <c r="D49" s="24" t="s">
        <v>150</v>
      </c>
      <c r="E49" s="52" t="s">
        <v>183</v>
      </c>
      <c r="F49" s="31" t="s">
        <v>206</v>
      </c>
      <c r="G49" s="33" t="str">
        <f t="shared" si="6"/>
        <v>12/2018</v>
      </c>
      <c r="H49" s="31" t="str">
        <f t="shared" si="4"/>
        <v>T</v>
      </c>
      <c r="I49" s="31"/>
      <c r="J49" s="31" t="str">
        <f t="shared" si="5"/>
        <v>ke95Lr1rgcz7Ys9OWvxDjxlu5QQUFW8Z7NGoU/xUY50=</v>
      </c>
      <c r="K49" s="31" t="str">
        <f t="shared" si="2"/>
        <v>45 43447 福利工作員
香港小童群益會
$13000 / Month
No state working time 沒有回應 -- No Respond ke95Lr1rgcz7Ys9OWvxDjxlu5QQUFW8Z7NGoU/xUY50=</v>
      </c>
      <c r="L49" s="35" t="str">
        <f t="shared" si="3"/>
        <v>5KEqI0CQ2RCMsiCi0qZeHliC6PFgAGLSRUHG81gKSHo=</v>
      </c>
      <c r="M49" s="36"/>
      <c r="N49" s="36"/>
    </row>
    <row r="50">
      <c r="A50" s="38">
        <v>46.0</v>
      </c>
      <c r="B50" s="39">
        <v>43448.0</v>
      </c>
      <c r="C50" s="40" t="s">
        <v>9</v>
      </c>
      <c r="D50" s="38" t="s">
        <v>201</v>
      </c>
      <c r="E50" s="58" t="s">
        <v>183</v>
      </c>
      <c r="F50" s="44" t="s">
        <v>227</v>
      </c>
      <c r="G50" s="43" t="str">
        <f t="shared" si="6"/>
        <v>12/2018</v>
      </c>
      <c r="H50" s="44" t="str">
        <f t="shared" si="4"/>
        <v>T</v>
      </c>
      <c r="I50" s="44"/>
      <c r="J50" s="44" t="str">
        <f t="shared" si="5"/>
        <v>5KEqI0CQ2RCMsiCi0qZeHliC6PFgAGLSRUHG81gKSHo=</v>
      </c>
      <c r="K50" s="44" t="str">
        <f t="shared" si="2"/>
        <v>46 43448 Phone call in
IT Position
Six DegreeLink 已出席 -- Partake 5KEqI0CQ2RCMsiCi0qZeHliC6PFgAGLSRUHG81gKSHo=</v>
      </c>
      <c r="L50" s="45" t="str">
        <f t="shared" si="3"/>
        <v>M5NpmkuwxtcAvtF6XVAdqv/uSrqcyITag0t2BURou5U=</v>
      </c>
      <c r="M50" s="46"/>
      <c r="N50" s="46"/>
    </row>
    <row r="51">
      <c r="A51" s="24">
        <v>47.0</v>
      </c>
      <c r="B51" s="26">
        <v>43451.0</v>
      </c>
      <c r="C51" s="27" t="s">
        <v>228</v>
      </c>
      <c r="D51" s="24" t="s">
        <v>191</v>
      </c>
      <c r="E51" s="52" t="s">
        <v>224</v>
      </c>
      <c r="F51" s="31" t="s">
        <v>227</v>
      </c>
      <c r="G51" s="33" t="str">
        <f t="shared" si="6"/>
        <v>12/2018</v>
      </c>
      <c r="H51" s="31" t="str">
        <f t="shared" si="4"/>
        <v>T</v>
      </c>
      <c r="I51" s="31"/>
      <c r="J51" s="31" t="str">
        <f t="shared" si="5"/>
        <v>M5NpmkuwxtcAvtF6XVAdqv/uSrqcyITag0t2BURou5U=</v>
      </c>
      <c r="K51" s="31" t="str">
        <f t="shared" si="2"/>
        <v>47 43451 [Invited]
Programmer
BIAO XI Technology Limited
Missing Salary
Missing Working Time
 已婉拒 Refused M5NpmkuwxtcAvtF6XVAdqv/uSrqcyITag0t2BURou5U=</v>
      </c>
      <c r="L51" s="35" t="str">
        <f t="shared" si="3"/>
        <v>Loading...</v>
      </c>
      <c r="M51" s="36"/>
      <c r="N51" s="36"/>
    </row>
    <row r="52">
      <c r="A52" s="38">
        <v>48.0</v>
      </c>
      <c r="B52" s="39">
        <v>43457.0</v>
      </c>
      <c r="C52" s="40" t="s">
        <v>5</v>
      </c>
      <c r="D52" s="38" t="s">
        <v>150</v>
      </c>
      <c r="E52" s="58" t="s">
        <v>183</v>
      </c>
      <c r="F52" s="44" t="s">
        <v>227</v>
      </c>
      <c r="G52" s="43" t="str">
        <f t="shared" si="6"/>
        <v>12/2018</v>
      </c>
      <c r="H52" s="44" t="str">
        <f t="shared" si="4"/>
        <v>Loading...</v>
      </c>
      <c r="I52" s="44"/>
      <c r="J52" s="44" t="str">
        <f t="shared" si="5"/>
        <v>Loading...</v>
      </c>
      <c r="K52" s="44" t="str">
        <f t="shared" si="2"/>
        <v>Loading...</v>
      </c>
      <c r="L52" s="45" t="str">
        <f t="shared" si="3"/>
        <v>ke95Lr1rgcz7Ys9OWvxDjxlu5QQUFW8Z7NGoU/xUY50=</v>
      </c>
      <c r="M52" s="46"/>
      <c r="N52" s="46"/>
    </row>
    <row r="53">
      <c r="A53" s="24">
        <v>49.0</v>
      </c>
      <c r="B53" s="26">
        <v>43472.0</v>
      </c>
      <c r="C53" s="27" t="s">
        <v>94</v>
      </c>
      <c r="D53" s="24" t="s">
        <v>201</v>
      </c>
      <c r="E53" s="52" t="s">
        <v>183</v>
      </c>
      <c r="F53" s="31" t="s">
        <v>223</v>
      </c>
      <c r="G53" s="33" t="str">
        <f t="shared" si="6"/>
        <v>1/2019</v>
      </c>
      <c r="H53" s="31" t="str">
        <f t="shared" si="4"/>
        <v>T</v>
      </c>
      <c r="I53" s="31"/>
      <c r="J53" s="31" t="str">
        <f t="shared" si="5"/>
        <v>ke95Lr1rgcz7Ys9OWvxDjxlu5QQUFW8Z7NGoU/xUY50=</v>
      </c>
      <c r="K53" s="31" t="str">
        <f t="shared" si="2"/>
        <v>49 43472 青協 珊姑約見
旺角青年就業起點
 已出席 -- Partake ke95Lr1rgcz7Ys9OWvxDjxlu5QQUFW8Z7NGoU/xUY50=</v>
      </c>
      <c r="L53" s="35" t="str">
        <f t="shared" si="3"/>
        <v>Loading...</v>
      </c>
      <c r="M53" s="36"/>
      <c r="N53" s="36"/>
    </row>
    <row r="54">
      <c r="A54" s="38">
        <v>50.0</v>
      </c>
      <c r="B54" s="39">
        <v>43472.0</v>
      </c>
      <c r="C54" s="40" t="s">
        <v>96</v>
      </c>
      <c r="D54" s="38" t="s">
        <v>201</v>
      </c>
      <c r="E54" s="58" t="s">
        <v>183</v>
      </c>
      <c r="F54" s="44" t="s">
        <v>223</v>
      </c>
      <c r="G54" s="43" t="str">
        <f t="shared" si="6"/>
        <v>1/2019</v>
      </c>
      <c r="H54" s="44" t="str">
        <f t="shared" si="4"/>
        <v>Loading...</v>
      </c>
      <c r="I54" s="44"/>
      <c r="J54" s="44" t="str">
        <f t="shared" si="5"/>
        <v>Loading...</v>
      </c>
      <c r="K54" s="44" t="str">
        <f t="shared" si="2"/>
        <v>Loading...</v>
      </c>
      <c r="L54" s="45" t="str">
        <f t="shared" si="3"/>
        <v>ke95Lr1rgcz7Ys9OWvxDjxlu5QQUFW8Z7NGoU/xUY50=</v>
      </c>
      <c r="M54" s="46"/>
      <c r="N54" s="46"/>
    </row>
    <row r="55">
      <c r="A55" s="24">
        <v>51.0</v>
      </c>
      <c r="B55" s="26">
        <v>43472.0</v>
      </c>
      <c r="C55" s="27" t="s">
        <v>99</v>
      </c>
      <c r="D55" s="24" t="s">
        <v>201</v>
      </c>
      <c r="E55" s="52" t="s">
        <v>183</v>
      </c>
      <c r="F55" s="31" t="s">
        <v>223</v>
      </c>
      <c r="G55" s="33" t="str">
        <f t="shared" si="6"/>
        <v>1/2019</v>
      </c>
      <c r="H55" s="31" t="str">
        <f t="shared" si="4"/>
        <v>T</v>
      </c>
      <c r="I55" s="31"/>
      <c r="J55" s="31" t="str">
        <f t="shared" si="5"/>
        <v>ke95Lr1rgcz7Ys9OWvxDjxlu5QQUFW8Z7NGoU/xUY50=</v>
      </c>
      <c r="K55" s="31" t="str">
        <f t="shared" si="2"/>
        <v>51 43472 旺角青年就業起點
桌遊導師證書課程報名 已出席 -- Partake ke95Lr1rgcz7Ys9OWvxDjxlu5QQUFW8Z7NGoU/xUY50=</v>
      </c>
      <c r="L55" s="35" t="str">
        <f t="shared" si="3"/>
        <v>RUKYV5MXzCWKgYJVD3HYWwuiDIRoxVtsLY6qQ3k2TUY=</v>
      </c>
      <c r="M55" s="36"/>
      <c r="N55" s="36"/>
    </row>
    <row r="56">
      <c r="A56" s="38">
        <v>52.0</v>
      </c>
      <c r="B56" s="39">
        <v>43473.0</v>
      </c>
      <c r="C56" s="40" t="s">
        <v>102</v>
      </c>
      <c r="D56" s="38" t="s">
        <v>195</v>
      </c>
      <c r="E56" s="41" t="s">
        <v>229</v>
      </c>
      <c r="F56" s="59" t="s">
        <v>216</v>
      </c>
      <c r="G56" s="43" t="str">
        <f t="shared" si="6"/>
        <v>1/2019</v>
      </c>
      <c r="H56" s="44" t="str">
        <f t="shared" si="4"/>
        <v>T</v>
      </c>
      <c r="I56" s="44"/>
      <c r="J56" s="44" t="str">
        <f t="shared" si="5"/>
        <v>RUKYV5MXzCWKgYJVD3HYWwuiDIRoxVtsLY6qQ3k2TUY=</v>
      </c>
      <c r="K56" s="44" t="str">
        <f t="shared" si="2"/>
        <v>52 43473 選民登記助理 41554
西貢民政事務處
$56.5 / Hour (Additional $3.6 per form; Ceil to $992 )
0900 - 2300pm (8Hours)
 有出席面試機會 -- Interview Attended RUKYV5MXzCWKgYJVD3HYWwuiDIRoxVtsLY6qQ3k2TUY=</v>
      </c>
      <c r="L56" s="45" t="str">
        <f t="shared" si="3"/>
        <v>Loading...</v>
      </c>
      <c r="M56" s="46"/>
      <c r="N56" s="46"/>
    </row>
    <row r="57">
      <c r="A57" s="24">
        <v>53.0</v>
      </c>
      <c r="B57" s="26">
        <v>43477.0</v>
      </c>
      <c r="C57" s="27" t="s">
        <v>104</v>
      </c>
      <c r="D57" s="24" t="s">
        <v>201</v>
      </c>
      <c r="E57" s="52" t="s">
        <v>183</v>
      </c>
      <c r="F57" s="31" t="s">
        <v>223</v>
      </c>
      <c r="G57" s="33" t="str">
        <f t="shared" si="6"/>
        <v>1/2019</v>
      </c>
      <c r="H57" s="31" t="str">
        <f t="shared" si="4"/>
        <v>Loading...</v>
      </c>
      <c r="I57" s="31"/>
      <c r="J57" s="31" t="str">
        <f t="shared" si="5"/>
        <v>Loading...</v>
      </c>
      <c r="K57" s="31" t="str">
        <f t="shared" si="2"/>
        <v>Loading...</v>
      </c>
      <c r="L57" s="35" t="str">
        <f t="shared" si="3"/>
        <v>Loading...</v>
      </c>
      <c r="M57" s="36"/>
      <c r="N57" s="36"/>
    </row>
    <row r="58">
      <c r="A58" s="38">
        <v>54.0</v>
      </c>
      <c r="B58" s="39">
        <v>43477.0</v>
      </c>
      <c r="C58" s="40" t="s">
        <v>105</v>
      </c>
      <c r="D58" s="38" t="s">
        <v>201</v>
      </c>
      <c r="E58" s="58" t="s">
        <v>183</v>
      </c>
      <c r="F58" s="44" t="s">
        <v>223</v>
      </c>
      <c r="G58" s="43" t="str">
        <f t="shared" si="6"/>
        <v>1/2019</v>
      </c>
      <c r="H58" s="44" t="str">
        <f t="shared" si="4"/>
        <v>Loading...</v>
      </c>
      <c r="I58" s="44"/>
      <c r="J58" s="44" t="str">
        <f t="shared" si="5"/>
        <v>Loading...</v>
      </c>
      <c r="K58" s="44" t="str">
        <f t="shared" si="2"/>
        <v>Loading...</v>
      </c>
      <c r="L58" s="45" t="str">
        <f t="shared" si="3"/>
        <v>Loading...</v>
      </c>
      <c r="M58" s="46"/>
      <c r="N58" s="46"/>
    </row>
    <row r="59">
      <c r="A59" s="24">
        <v>55.0</v>
      </c>
      <c r="B59" s="26">
        <v>43480.0</v>
      </c>
      <c r="C59" s="27" t="s">
        <v>106</v>
      </c>
      <c r="D59" s="24" t="s">
        <v>107</v>
      </c>
      <c r="E59" s="52" t="s">
        <v>183</v>
      </c>
      <c r="F59" s="53" t="s">
        <v>230</v>
      </c>
      <c r="G59" s="33" t="str">
        <f t="shared" si="6"/>
        <v>1/2019</v>
      </c>
      <c r="H59" s="31" t="str">
        <f t="shared" si="4"/>
        <v>Loading...</v>
      </c>
      <c r="I59" s="31"/>
      <c r="J59" s="31" t="str">
        <f t="shared" si="5"/>
        <v>Loading...</v>
      </c>
      <c r="K59" s="31" t="str">
        <f t="shared" si="2"/>
        <v>Loading...</v>
      </c>
      <c r="L59" s="35" t="str">
        <f t="shared" si="3"/>
        <v>Loading...</v>
      </c>
      <c r="M59" s="36"/>
      <c r="N59" s="36"/>
    </row>
    <row r="60">
      <c r="A60" s="38">
        <v>56.0</v>
      </c>
      <c r="B60" s="39">
        <v>43484.0</v>
      </c>
      <c r="C60" s="40" t="s">
        <v>108</v>
      </c>
      <c r="D60" s="38" t="s">
        <v>107</v>
      </c>
      <c r="E60" s="58" t="s">
        <v>183</v>
      </c>
      <c r="F60" s="44" t="s">
        <v>223</v>
      </c>
      <c r="G60" s="43" t="str">
        <f t="shared" si="6"/>
        <v>1/2019</v>
      </c>
      <c r="H60" s="44" t="str">
        <f t="shared" si="4"/>
        <v>Loading...</v>
      </c>
      <c r="I60" s="44"/>
      <c r="J60" s="44" t="str">
        <f t="shared" si="5"/>
        <v>Loading...</v>
      </c>
      <c r="K60" s="44" t="str">
        <f t="shared" si="2"/>
        <v>Loading...</v>
      </c>
      <c r="L60" s="45" t="str">
        <f t="shared" si="3"/>
        <v>Loading...</v>
      </c>
      <c r="M60" s="46"/>
      <c r="N60" s="46"/>
    </row>
    <row r="61">
      <c r="A61" s="24">
        <v>57.0</v>
      </c>
      <c r="B61" s="26">
        <v>43508.0</v>
      </c>
      <c r="C61" s="27" t="s">
        <v>109</v>
      </c>
      <c r="D61" s="24" t="s">
        <v>231</v>
      </c>
      <c r="E61" s="52" t="s">
        <v>232</v>
      </c>
      <c r="F61" s="53" t="s">
        <v>230</v>
      </c>
      <c r="G61" s="33" t="str">
        <f t="shared" si="6"/>
        <v>2/2019</v>
      </c>
      <c r="H61" s="31" t="str">
        <f t="shared" si="4"/>
        <v>Loading...</v>
      </c>
      <c r="I61" s="31"/>
      <c r="J61" s="31" t="str">
        <f t="shared" si="5"/>
        <v>Loading...</v>
      </c>
      <c r="K61" s="31" t="str">
        <f t="shared" si="2"/>
        <v>Loading...</v>
      </c>
      <c r="L61" s="35" t="str">
        <f t="shared" si="3"/>
        <v>ke95Lr1rgcz7Ys9OWvxDjxlu5QQUFW8Z7NGoU/xUY50=</v>
      </c>
      <c r="M61" s="36"/>
      <c r="N61" s="36"/>
    </row>
    <row r="62">
      <c r="A62" s="38">
        <v>58.0</v>
      </c>
      <c r="B62" s="39">
        <v>43518.0</v>
      </c>
      <c r="C62" s="40" t="s">
        <v>113</v>
      </c>
      <c r="D62" s="38" t="s">
        <v>150</v>
      </c>
      <c r="E62" s="58" t="s">
        <v>183</v>
      </c>
      <c r="F62" s="59" t="s">
        <v>188</v>
      </c>
      <c r="G62" s="43" t="str">
        <f t="shared" si="6"/>
        <v>2/2019</v>
      </c>
      <c r="H62" s="44" t="str">
        <f t="shared" si="4"/>
        <v>T</v>
      </c>
      <c r="I62" s="44"/>
      <c r="J62" s="44" t="str">
        <f t="shared" si="5"/>
        <v>ke95Lr1rgcz7Ys9OWvxDjxlu5QQUFW8Z7NGoU/xUY50=</v>
      </c>
      <c r="K62" s="44" t="str">
        <f t="shared" si="2"/>
        <v>58 43518 功輔班導師
青協黃寬洋青年空間
$112 / Hours
3pm - 5pm
 沒有回應 -- No Respond ke95Lr1rgcz7Ys9OWvxDjxlu5QQUFW8Z7NGoU/xUY50=</v>
      </c>
      <c r="L62" s="45" t="str">
        <f t="shared" si="3"/>
        <v>LkQFDjDv7H/91pDpexlTb76rxHpbc8zuUJpz2AbTvYs=</v>
      </c>
      <c r="M62" s="46"/>
      <c r="N62" s="46"/>
    </row>
    <row r="63">
      <c r="A63" s="24">
        <v>59.0</v>
      </c>
      <c r="B63" s="26">
        <v>43518.0</v>
      </c>
      <c r="C63" s="27" t="s">
        <v>114</v>
      </c>
      <c r="D63" s="24" t="s">
        <v>150</v>
      </c>
      <c r="E63" s="52" t="s">
        <v>183</v>
      </c>
      <c r="F63" s="53" t="s">
        <v>188</v>
      </c>
      <c r="G63" s="33" t="str">
        <f t="shared" si="6"/>
        <v>2/2019</v>
      </c>
      <c r="H63" s="31" t="str">
        <f t="shared" si="4"/>
        <v>T</v>
      </c>
      <c r="I63" s="31"/>
      <c r="J63" s="31" t="str">
        <f t="shared" si="5"/>
        <v>LkQFDjDv7H/91pDpexlTb76rxHpbc8zuUJpz2AbTvYs=</v>
      </c>
      <c r="K63" s="31" t="str">
        <f t="shared" si="2"/>
        <v>59 43518 功輔班導師
青協將軍澳青年空間
$75 / Hours 
3pm - 5pm
 沒有回應 -- No Respond LkQFDjDv7H/91pDpexlTb76rxHpbc8zuUJpz2AbTvYs=</v>
      </c>
      <c r="L63" s="35" t="str">
        <f t="shared" si="3"/>
        <v>Loading...</v>
      </c>
      <c r="M63" s="36"/>
      <c r="N63" s="36"/>
    </row>
    <row r="64">
      <c r="A64" s="38">
        <v>60.0</v>
      </c>
      <c r="B64" s="39">
        <v>43519.0</v>
      </c>
      <c r="C64" s="40" t="s">
        <v>111</v>
      </c>
      <c r="D64" s="38" t="s">
        <v>201</v>
      </c>
      <c r="E64" s="58" t="s">
        <v>112</v>
      </c>
      <c r="F64" s="44" t="s">
        <v>223</v>
      </c>
      <c r="G64" s="43" t="str">
        <f t="shared" si="6"/>
        <v>2/2019</v>
      </c>
      <c r="H64" s="44" t="str">
        <f t="shared" si="4"/>
        <v>Loading...</v>
      </c>
      <c r="I64" s="44"/>
      <c r="J64" s="44" t="str">
        <f t="shared" si="5"/>
        <v>Loading...</v>
      </c>
      <c r="K64" s="44" t="str">
        <f t="shared" si="2"/>
        <v>Loading...</v>
      </c>
      <c r="L64" s="45" t="str">
        <f t="shared" si="3"/>
        <v>ke95Lr1rgcz7Ys9OWvxDjxlu5QQUFW8Z7NGoU/xUY50=</v>
      </c>
      <c r="M64" s="46"/>
      <c r="N64" s="46"/>
    </row>
    <row r="65">
      <c r="A65" s="24">
        <v>61.0</v>
      </c>
      <c r="B65" s="26">
        <v>43522.0</v>
      </c>
      <c r="C65" s="27" t="s">
        <v>115</v>
      </c>
      <c r="D65" s="24" t="s">
        <v>150</v>
      </c>
      <c r="E65" s="52" t="s">
        <v>183</v>
      </c>
      <c r="F65" s="53" t="s">
        <v>188</v>
      </c>
      <c r="G65" s="33" t="str">
        <f t="shared" si="6"/>
        <v>2/2019</v>
      </c>
      <c r="H65" s="31" t="str">
        <f t="shared" si="4"/>
        <v>T</v>
      </c>
      <c r="I65" s="31"/>
      <c r="J65" s="31" t="str">
        <f t="shared" si="5"/>
        <v>ke95Lr1rgcz7Ys9OWvxDjxlu5QQUFW8Z7NGoU/xUY50=</v>
      </c>
      <c r="K65" s="31" t="str">
        <f t="shared" si="2"/>
        <v>61 43522 Teacher / Tutor
童行社
3pm - 4:30pm
$ 80 - 150 / Hours
 沒有回應 -- No Respond ke95Lr1rgcz7Ys9OWvxDjxlu5QQUFW8Z7NGoU/xUY50=</v>
      </c>
      <c r="L65" s="35" t="str">
        <f t="shared" si="3"/>
        <v>Loading...</v>
      </c>
      <c r="M65" s="36"/>
      <c r="N65" s="36"/>
    </row>
    <row r="66">
      <c r="A66" s="38">
        <v>62.0</v>
      </c>
      <c r="B66" s="39">
        <v>43525.0</v>
      </c>
      <c r="C66" s="40" t="s">
        <v>116</v>
      </c>
      <c r="D66" s="38" t="s">
        <v>191</v>
      </c>
      <c r="E66" s="41" t="s">
        <v>233</v>
      </c>
      <c r="F66" s="59" t="s">
        <v>188</v>
      </c>
      <c r="G66" s="43" t="str">
        <f t="shared" si="6"/>
        <v>3/2019</v>
      </c>
      <c r="H66" s="44" t="str">
        <f t="shared" si="4"/>
        <v>Loading...</v>
      </c>
      <c r="I66" s="44"/>
      <c r="J66" s="44" t="str">
        <f t="shared" si="5"/>
        <v>Loading...</v>
      </c>
      <c r="K66" s="44" t="str">
        <f t="shared" si="2"/>
        <v>Loading...</v>
      </c>
      <c r="L66" s="45" t="str">
        <f t="shared" si="3"/>
        <v>ke95Lr1rgcz7Ys9OWvxDjxlu5QQUFW8Z7NGoU/xUY50=</v>
      </c>
      <c r="M66" s="46"/>
      <c r="N66" s="46"/>
    </row>
    <row r="67">
      <c r="A67" s="24">
        <v>63.0</v>
      </c>
      <c r="B67" s="26">
        <v>43526.0</v>
      </c>
      <c r="C67" s="27" t="s">
        <v>118</v>
      </c>
      <c r="D67" s="24" t="s">
        <v>195</v>
      </c>
      <c r="E67" s="29" t="s">
        <v>234</v>
      </c>
      <c r="F67" s="53" t="s">
        <v>227</v>
      </c>
      <c r="G67" s="33" t="str">
        <f t="shared" si="6"/>
        <v>3/2019</v>
      </c>
      <c r="H67" s="31" t="str">
        <f t="shared" si="4"/>
        <v>T</v>
      </c>
      <c r="I67" s="31"/>
      <c r="J67" s="31" t="str">
        <f t="shared" si="5"/>
        <v>ke95Lr1rgcz7Ys9OWvxDjxlu5QQUFW8Z7NGoU/xUY50=</v>
      </c>
      <c r="K67" s="31" t="str">
        <f t="shared" si="2"/>
        <v>63 43526 Cyberport Jobs Fair
Unity Game Developer (Analysis Programmer)
Anchor Point Limited
$23000 / Month
0900 - 1800 有出席面試機會 -- Interview Attended ke95Lr1rgcz7Ys9OWvxDjxlu5QQUFW8Z7NGoU/xUY50=</v>
      </c>
      <c r="L67" s="35" t="str">
        <f t="shared" si="3"/>
        <v>Hnk/6KJGf88WiQORuZMtCkBMRBrWpokMB0au7b5Z6iY=</v>
      </c>
      <c r="M67" s="36"/>
      <c r="N67" s="36"/>
    </row>
    <row r="68">
      <c r="A68" s="38">
        <v>64.0</v>
      </c>
      <c r="B68" s="39">
        <v>43526.0</v>
      </c>
      <c r="C68" s="40" t="s">
        <v>120</v>
      </c>
      <c r="D68" s="38" t="s">
        <v>195</v>
      </c>
      <c r="E68" s="41" t="s">
        <v>235</v>
      </c>
      <c r="F68" s="59" t="s">
        <v>227</v>
      </c>
      <c r="G68" s="43" t="str">
        <f t="shared" si="6"/>
        <v>3/2019</v>
      </c>
      <c r="H68" s="44" t="str">
        <f t="shared" si="4"/>
        <v>T</v>
      </c>
      <c r="I68" s="44"/>
      <c r="J68" s="44" t="str">
        <f t="shared" si="5"/>
        <v>Hnk/6KJGf88WiQORuZMtCkBMRBrWpokMB0au7b5Z6iY=</v>
      </c>
      <c r="K68" s="44" t="str">
        <f t="shared" si="2"/>
        <v>64 43526 Cyberport Jobs Fair
Unity Game Developer
ESport International Group
Not state salary
Not State working time
 有出席面試機會 -- Interview Attended Hnk/6KJGf88WiQORuZMtCkBMRBrWpokMB0au7b5Z6iY=</v>
      </c>
      <c r="L68" s="45" t="str">
        <f t="shared" si="3"/>
        <v>Loading...</v>
      </c>
      <c r="M68" s="46"/>
      <c r="N68" s="46"/>
    </row>
    <row r="69">
      <c r="A69" s="24">
        <v>65.0</v>
      </c>
      <c r="B69" s="26">
        <v>43526.0</v>
      </c>
      <c r="C69" s="27" t="s">
        <v>122</v>
      </c>
      <c r="D69" s="24" t="s">
        <v>150</v>
      </c>
      <c r="E69" s="52" t="s">
        <v>183</v>
      </c>
      <c r="F69" s="53" t="s">
        <v>227</v>
      </c>
      <c r="G69" s="33" t="str">
        <f t="shared" si="6"/>
        <v>3/2019</v>
      </c>
      <c r="H69" s="31" t="str">
        <f t="shared" si="4"/>
        <v>Loading...</v>
      </c>
      <c r="I69" s="31"/>
      <c r="J69" s="31" t="str">
        <f t="shared" si="5"/>
        <v>Loading...</v>
      </c>
      <c r="K69" s="31" t="str">
        <f t="shared" si="2"/>
        <v>Loading...</v>
      </c>
      <c r="L69" s="35" t="str">
        <f t="shared" si="3"/>
        <v>Loading...</v>
      </c>
      <c r="M69" s="36"/>
      <c r="N69" s="36"/>
    </row>
    <row r="70">
      <c r="A70" s="38">
        <v>66.0</v>
      </c>
      <c r="B70" s="39">
        <v>43526.0</v>
      </c>
      <c r="C70" s="40" t="s">
        <v>123</v>
      </c>
      <c r="D70" s="38" t="s">
        <v>150</v>
      </c>
      <c r="E70" s="58" t="s">
        <v>183</v>
      </c>
      <c r="F70" s="59" t="s">
        <v>214</v>
      </c>
      <c r="G70" s="43" t="str">
        <f t="shared" si="6"/>
        <v>3/2019</v>
      </c>
      <c r="H70" s="44" t="str">
        <f t="shared" si="4"/>
        <v>Loading...</v>
      </c>
      <c r="I70" s="44"/>
      <c r="J70" s="44" t="str">
        <f t="shared" si="5"/>
        <v>Loading...</v>
      </c>
      <c r="K70" s="44" t="str">
        <f t="shared" si="2"/>
        <v>Loading...</v>
      </c>
      <c r="L70" s="45" t="str">
        <f t="shared" si="3"/>
        <v>Loading...</v>
      </c>
      <c r="M70" s="46"/>
      <c r="N70" s="46"/>
    </row>
    <row r="71">
      <c r="A71" s="24">
        <v>67.0</v>
      </c>
      <c r="B71" s="26">
        <v>43526.0</v>
      </c>
      <c r="C71" s="27" t="s">
        <v>124</v>
      </c>
      <c r="D71" s="24" t="s">
        <v>150</v>
      </c>
      <c r="E71" s="52" t="s">
        <v>183</v>
      </c>
      <c r="F71" s="53" t="s">
        <v>214</v>
      </c>
      <c r="G71" s="33" t="str">
        <f t="shared" si="6"/>
        <v>3/2019</v>
      </c>
      <c r="H71" s="31" t="str">
        <f t="shared" si="4"/>
        <v>Loading...</v>
      </c>
      <c r="I71" s="31"/>
      <c r="J71" s="31" t="str">
        <f t="shared" si="5"/>
        <v>Loading...</v>
      </c>
      <c r="K71" s="31" t="str">
        <f t="shared" si="2"/>
        <v>Loading...</v>
      </c>
      <c r="L71" s="35" t="str">
        <f t="shared" si="3"/>
        <v>ke95Lr1rgcz7Ys9OWvxDjxlu5QQUFW8Z7NGoU/xUY50=</v>
      </c>
      <c r="M71" s="36"/>
      <c r="N71" s="36"/>
    </row>
    <row r="72">
      <c r="A72" s="38">
        <v>68.0</v>
      </c>
      <c r="B72" s="39">
        <v>43531.0</v>
      </c>
      <c r="C72" s="40" t="s">
        <v>125</v>
      </c>
      <c r="D72" s="38" t="s">
        <v>195</v>
      </c>
      <c r="E72" s="58" t="s">
        <v>183</v>
      </c>
      <c r="F72" s="59" t="s">
        <v>188</v>
      </c>
      <c r="G72" s="43" t="str">
        <f t="shared" si="6"/>
        <v>3/2019</v>
      </c>
      <c r="H72" s="44" t="str">
        <f t="shared" si="4"/>
        <v>T</v>
      </c>
      <c r="I72" s="44"/>
      <c r="J72" s="44" t="str">
        <f t="shared" si="5"/>
        <v>ke95Lr1rgcz7Ys9OWvxDjxlu5QQUFW8Z7NGoU/xUY50=</v>
      </c>
      <c r="K72" s="44" t="str">
        <f t="shared" si="2"/>
        <v>68 43531 Teacher / Tutor
Baptist Oi Kwan Social Service HKE Family Dev Service CTR
$70 - $140 / Hours,  TKO
3pm - 6pm
 有出席面試機會 -- Interview Attended ke95Lr1rgcz7Ys9OWvxDjxlu5QQUFW8Z7NGoU/xUY50=</v>
      </c>
      <c r="L72" s="45" t="str">
        <f t="shared" si="3"/>
        <v>Loading...</v>
      </c>
      <c r="M72" s="46"/>
      <c r="N72" s="46"/>
    </row>
    <row r="73">
      <c r="A73" s="24">
        <v>69.0</v>
      </c>
      <c r="B73" s="26">
        <v>43533.0</v>
      </c>
      <c r="C73" s="27" t="s">
        <v>127</v>
      </c>
      <c r="D73" s="74" t="s">
        <v>236</v>
      </c>
      <c r="E73" s="52" t="s">
        <v>183</v>
      </c>
      <c r="F73" s="31" t="s">
        <v>223</v>
      </c>
      <c r="G73" s="33" t="str">
        <f t="shared" si="6"/>
        <v>3/2019</v>
      </c>
      <c r="H73" s="31" t="str">
        <f t="shared" si="4"/>
        <v>Loading...</v>
      </c>
      <c r="I73" s="31"/>
      <c r="J73" s="31" t="str">
        <f t="shared" si="5"/>
        <v>Loading...</v>
      </c>
      <c r="K73" s="31" t="str">
        <f t="shared" si="2"/>
        <v>Loading...</v>
      </c>
      <c r="L73" s="35" t="str">
        <f t="shared" si="3"/>
        <v>ke95Lr1rgcz7Ys9OWvxDjxlu5QQUFW8Z7NGoU/xUY50=</v>
      </c>
      <c r="M73" s="36"/>
      <c r="N73" s="36"/>
    </row>
    <row r="74">
      <c r="A74" s="38">
        <v>70.0</v>
      </c>
      <c r="B74" s="39">
        <v>43534.0</v>
      </c>
      <c r="C74" s="40" t="s">
        <v>129</v>
      </c>
      <c r="D74" s="38" t="s">
        <v>201</v>
      </c>
      <c r="E74" s="58" t="s">
        <v>183</v>
      </c>
      <c r="F74" s="44" t="s">
        <v>223</v>
      </c>
      <c r="G74" s="43" t="str">
        <f t="shared" si="6"/>
        <v>3/2019</v>
      </c>
      <c r="H74" s="44" t="str">
        <f t="shared" si="4"/>
        <v>T</v>
      </c>
      <c r="I74" s="44"/>
      <c r="J74" s="44" t="str">
        <f t="shared" si="5"/>
        <v>ke95Lr1rgcz7Ys9OWvxDjxlu5QQUFW8Z7NGoU/xUY50=</v>
      </c>
      <c r="K74" s="44" t="str">
        <f t="shared" si="2"/>
        <v>70 43534 民政事務總署
中文寫作比賽 2019 已出席 -- Partake ke95Lr1rgcz7Ys9OWvxDjxlu5QQUFW8Z7NGoU/xUY50=</v>
      </c>
      <c r="L74" s="45" t="str">
        <f t="shared" si="3"/>
        <v>Loading...</v>
      </c>
      <c r="M74" s="46"/>
      <c r="N74" s="46"/>
    </row>
    <row r="75">
      <c r="A75" s="24">
        <v>71.0</v>
      </c>
      <c r="B75" s="26">
        <v>43537.0</v>
      </c>
      <c r="C75" s="27" t="s">
        <v>130</v>
      </c>
      <c r="D75" s="24" t="s">
        <v>191</v>
      </c>
      <c r="E75" s="29" t="s">
        <v>237</v>
      </c>
      <c r="F75" s="53" t="s">
        <v>188</v>
      </c>
      <c r="G75" s="33" t="str">
        <f t="shared" si="6"/>
        <v>3/2019</v>
      </c>
      <c r="H75" s="31" t="str">
        <f t="shared" si="4"/>
        <v>Loading...</v>
      </c>
      <c r="I75" s="31"/>
      <c r="J75" s="31" t="str">
        <f t="shared" si="5"/>
        <v>Loading...</v>
      </c>
      <c r="K75" s="31" t="str">
        <f t="shared" si="2"/>
        <v>Loading...</v>
      </c>
      <c r="L75" s="35" t="str">
        <f t="shared" si="3"/>
        <v>Loading...</v>
      </c>
      <c r="M75" s="36"/>
      <c r="N75" s="36"/>
    </row>
    <row r="76">
      <c r="A76" s="38">
        <v>72.0</v>
      </c>
      <c r="B76" s="39">
        <v>43537.0</v>
      </c>
      <c r="C76" s="40" t="s">
        <v>132</v>
      </c>
      <c r="D76" s="38" t="s">
        <v>150</v>
      </c>
      <c r="E76" s="58" t="s">
        <v>183</v>
      </c>
      <c r="F76" s="59" t="s">
        <v>188</v>
      </c>
      <c r="G76" s="43" t="str">
        <f t="shared" si="6"/>
        <v>3/2019</v>
      </c>
      <c r="H76" s="44" t="str">
        <f t="shared" si="4"/>
        <v>Loading...</v>
      </c>
      <c r="I76" s="44"/>
      <c r="J76" s="44" t="str">
        <f t="shared" si="5"/>
        <v>Loading...</v>
      </c>
      <c r="K76" s="44" t="str">
        <f t="shared" si="2"/>
        <v>Loading...</v>
      </c>
      <c r="L76" s="45" t="str">
        <f t="shared" si="3"/>
        <v>Loading...</v>
      </c>
      <c r="M76" s="46"/>
      <c r="N76" s="46"/>
    </row>
    <row r="77">
      <c r="A77" s="24">
        <v>73.0</v>
      </c>
      <c r="B77" s="26">
        <v>43537.0</v>
      </c>
      <c r="C77" s="27" t="s">
        <v>133</v>
      </c>
      <c r="D77" s="24" t="s">
        <v>191</v>
      </c>
      <c r="E77" s="29" t="s">
        <v>238</v>
      </c>
      <c r="F77" s="53" t="s">
        <v>188</v>
      </c>
      <c r="G77" s="33" t="str">
        <f t="shared" si="6"/>
        <v>3/2019</v>
      </c>
      <c r="H77" s="31" t="str">
        <f t="shared" si="4"/>
        <v>Loading...</v>
      </c>
      <c r="I77" s="31"/>
      <c r="J77" s="31" t="str">
        <f t="shared" si="5"/>
        <v>Loading...</v>
      </c>
      <c r="K77" s="31" t="str">
        <f t="shared" si="2"/>
        <v>Loading...</v>
      </c>
      <c r="L77" s="35" t="str">
        <f t="shared" si="3"/>
        <v>Loading...</v>
      </c>
      <c r="M77" s="36"/>
      <c r="N77" s="36"/>
    </row>
    <row r="78">
      <c r="A78" s="38">
        <v>74.0</v>
      </c>
      <c r="B78" s="39">
        <v>43537.0</v>
      </c>
      <c r="C78" s="40" t="s">
        <v>135</v>
      </c>
      <c r="D78" s="38" t="s">
        <v>195</v>
      </c>
      <c r="E78" s="41" t="s">
        <v>239</v>
      </c>
      <c r="F78" s="59" t="s">
        <v>188</v>
      </c>
      <c r="G78" s="43" t="str">
        <f t="shared" si="6"/>
        <v>3/2019</v>
      </c>
      <c r="H78" s="44" t="str">
        <f t="shared" si="4"/>
        <v>Loading...</v>
      </c>
      <c r="I78" s="44"/>
      <c r="J78" s="44" t="str">
        <f t="shared" si="5"/>
        <v>Loading...</v>
      </c>
      <c r="K78" s="44" t="str">
        <f t="shared" si="2"/>
        <v>Loading...</v>
      </c>
      <c r="L78" s="45" t="str">
        <f t="shared" si="3"/>
        <v>Loading...</v>
      </c>
      <c r="M78" s="46"/>
      <c r="N78" s="46"/>
    </row>
    <row r="79">
      <c r="A79" s="24">
        <v>75.0</v>
      </c>
      <c r="B79" s="26">
        <v>43541.0</v>
      </c>
      <c r="C79" s="27" t="s">
        <v>137</v>
      </c>
      <c r="D79" s="24" t="s">
        <v>208</v>
      </c>
      <c r="E79" s="52" t="s">
        <v>183</v>
      </c>
      <c r="F79" s="53" t="s">
        <v>188</v>
      </c>
      <c r="G79" s="33" t="str">
        <f t="shared" si="6"/>
        <v>3/2019</v>
      </c>
      <c r="H79" s="31" t="str">
        <f t="shared" si="4"/>
        <v>Loading...</v>
      </c>
      <c r="I79" s="31"/>
      <c r="J79" s="31" t="str">
        <f t="shared" si="5"/>
        <v>Loading...</v>
      </c>
      <c r="K79" s="31" t="str">
        <f t="shared" si="2"/>
        <v>Loading...</v>
      </c>
      <c r="L79" s="35" t="str">
        <f t="shared" si="3"/>
        <v>ke95Lr1rgcz7Ys9OWvxDjxlu5QQUFW8Z7NGoU/xUY50=</v>
      </c>
      <c r="M79" s="36"/>
      <c r="N79" s="36"/>
    </row>
    <row r="80">
      <c r="A80" s="38">
        <v>76.0</v>
      </c>
      <c r="B80" s="39">
        <v>43541.0</v>
      </c>
      <c r="C80" s="40" t="s">
        <v>140</v>
      </c>
      <c r="D80" s="38" t="s">
        <v>208</v>
      </c>
      <c r="E80" s="58" t="s">
        <v>183</v>
      </c>
      <c r="F80" s="59" t="s">
        <v>188</v>
      </c>
      <c r="G80" s="43" t="str">
        <f t="shared" si="6"/>
        <v>3/2019</v>
      </c>
      <c r="H80" s="44" t="str">
        <f t="shared" si="4"/>
        <v>T</v>
      </c>
      <c r="I80" s="44"/>
      <c r="J80" s="44" t="str">
        <f t="shared" si="5"/>
        <v>ke95Lr1rgcz7Ys9OWvxDjxlu5QQUFW8Z7NGoU/xUY50=</v>
      </c>
      <c r="K80" s="44" t="str">
        <f t="shared" si="2"/>
        <v>76 43541 Maths Tutor
數研陽光(天晉)補習中心
$12000 - $15000 / Month
10 am - 7:45pm
 大材小用 -- Overqualified ke95Lr1rgcz7Ys9OWvxDjxlu5QQUFW8Z7NGoU/xUY50=</v>
      </c>
      <c r="L80" s="45" t="str">
        <f t="shared" si="3"/>
        <v>uwUVKSWssPrtKF2nNs0gZ3RsTRhRh5PsE5cNypkMzfY=</v>
      </c>
      <c r="M80" s="46"/>
      <c r="N80" s="46"/>
    </row>
    <row r="81">
      <c r="A81" s="24">
        <v>77.0</v>
      </c>
      <c r="B81" s="26">
        <v>43544.0</v>
      </c>
      <c r="C81" s="27" t="s">
        <v>144</v>
      </c>
      <c r="D81" s="24" t="s">
        <v>150</v>
      </c>
      <c r="E81" s="29" t="s">
        <v>183</v>
      </c>
      <c r="F81" s="53" t="s">
        <v>216</v>
      </c>
      <c r="G81" s="33" t="str">
        <f t="shared" si="6"/>
        <v>3/2019</v>
      </c>
      <c r="H81" s="31" t="str">
        <f t="shared" si="4"/>
        <v>T</v>
      </c>
      <c r="I81" s="31"/>
      <c r="J81" s="31" t="str">
        <f t="shared" si="5"/>
        <v>uwUVKSWssPrtKF2nNs0gZ3RsTRhRh5PsE5cNypkMzfY=</v>
      </c>
      <c r="K81" s="31" t="str">
        <f t="shared" si="2"/>
        <v>77 43544 一級技術支援服務主任
炮台山金文泰中學
$15186 / Month
Gov Office Hours 沒有回應 -- No Respond uwUVKSWssPrtKF2nNs0gZ3RsTRhRh5PsE5cNypkMzfY=</v>
      </c>
      <c r="L81" s="35" t="str">
        <f t="shared" si="3"/>
        <v>Loading...</v>
      </c>
      <c r="M81" s="36"/>
      <c r="N81" s="36"/>
    </row>
    <row r="82">
      <c r="A82" s="38">
        <v>78.0</v>
      </c>
      <c r="B82" s="39">
        <v>43547.0</v>
      </c>
      <c r="C82" s="40" t="s">
        <v>141</v>
      </c>
      <c r="D82" s="38" t="s">
        <v>150</v>
      </c>
      <c r="E82" s="58" t="s">
        <v>183</v>
      </c>
      <c r="F82" s="59" t="s">
        <v>216</v>
      </c>
      <c r="G82" s="43" t="str">
        <f t="shared" si="6"/>
        <v>3/2019</v>
      </c>
      <c r="H82" s="44" t="str">
        <f t="shared" si="4"/>
        <v>Loading...</v>
      </c>
      <c r="I82" s="44"/>
      <c r="J82" s="44" t="str">
        <f t="shared" si="5"/>
        <v>Loading...</v>
      </c>
      <c r="K82" s="44" t="str">
        <f t="shared" si="2"/>
        <v>Loading...</v>
      </c>
      <c r="L82" s="45" t="str">
        <f t="shared" si="3"/>
        <v>ke95Lr1rgcz7Ys9OWvxDjxlu5QQUFW8Z7NGoU/xUY50=</v>
      </c>
      <c r="M82" s="46"/>
      <c r="N82" s="46"/>
    </row>
    <row r="83">
      <c r="A83" s="24">
        <v>79.0</v>
      </c>
      <c r="B83" s="26">
        <v>43547.0</v>
      </c>
      <c r="C83" s="27" t="s">
        <v>142</v>
      </c>
      <c r="D83" s="24" t="s">
        <v>240</v>
      </c>
      <c r="E83" s="24" t="s">
        <v>143</v>
      </c>
      <c r="F83" s="53" t="s">
        <v>216</v>
      </c>
      <c r="G83" s="33" t="str">
        <f t="shared" si="6"/>
        <v>3/2019</v>
      </c>
      <c r="H83" s="31" t="str">
        <f t="shared" si="4"/>
        <v>T</v>
      </c>
      <c r="I83" s="31"/>
      <c r="J83" s="31" t="str">
        <f t="shared" si="5"/>
        <v>ke95Lr1rgcz7Ys9OWvxDjxlu5QQUFW8Z7NGoU/xUY50=</v>
      </c>
      <c r="K83" s="31" t="str">
        <f t="shared" si="2"/>
        <v>79 43547 常務助理
政制及內地事務局--選舉事務處所屬
$12270 / Month
0900 - 1800
 已收到申請 Acknowledgement of Application ke95Lr1rgcz7Ys9OWvxDjxlu5QQUFW8Z7NGoU/xUY50=</v>
      </c>
      <c r="L83" s="35" t="str">
        <f t="shared" si="3"/>
        <v>Loading...</v>
      </c>
      <c r="M83" s="36"/>
      <c r="N83" s="36"/>
    </row>
    <row r="84">
      <c r="A84" s="38">
        <v>80.0</v>
      </c>
      <c r="B84" s="39">
        <v>43548.0</v>
      </c>
      <c r="C84" s="40" t="s">
        <v>165</v>
      </c>
      <c r="D84" s="75" t="s">
        <v>199</v>
      </c>
      <c r="E84" s="38" t="s">
        <v>241</v>
      </c>
      <c r="F84" s="59" t="s">
        <v>216</v>
      </c>
      <c r="G84" s="43" t="str">
        <f t="shared" si="6"/>
        <v>3/2019</v>
      </c>
      <c r="H84" s="44" t="str">
        <f t="shared" si="4"/>
        <v>Loading...</v>
      </c>
      <c r="I84" s="44"/>
      <c r="J84" s="44" t="str">
        <f t="shared" si="5"/>
        <v>Loading...</v>
      </c>
      <c r="K84" s="44" t="str">
        <f t="shared" si="2"/>
        <v>Loading...</v>
      </c>
      <c r="L84" s="45" t="str">
        <f t="shared" si="3"/>
        <v>ke95Lr1rgcz7Ys9OWvxDjxlu5QQUFW8Z7NGoU/xUY50=</v>
      </c>
      <c r="M84" s="46"/>
      <c r="N84" s="46"/>
    </row>
    <row r="85">
      <c r="A85" s="24">
        <v>81.0</v>
      </c>
      <c r="B85" s="26">
        <v>43556.0</v>
      </c>
      <c r="C85" s="27" t="s">
        <v>146</v>
      </c>
      <c r="D85" s="24" t="s">
        <v>242</v>
      </c>
      <c r="E85" s="29" t="s">
        <v>147</v>
      </c>
      <c r="F85" s="53"/>
      <c r="G85" s="33" t="str">
        <f t="shared" si="6"/>
        <v>4/2019</v>
      </c>
      <c r="H85" s="31" t="str">
        <f t="shared" si="4"/>
        <v>T</v>
      </c>
      <c r="I85" s="31"/>
      <c r="J85" s="31" t="str">
        <f t="shared" si="5"/>
        <v>ke95Lr1rgcz7Ys9OWvxDjxlu5QQUFW8Z7NGoU/xUY50=</v>
      </c>
      <c r="K85" s="31" t="str">
        <f t="shared" si="2"/>
        <v>81 43556 CRE / BLT Application 主辦方拒絕 Host Rejected ke95Lr1rgcz7Ys9OWvxDjxlu5QQUFW8Z7NGoU/xUY50=</v>
      </c>
      <c r="L85" s="35" t="str">
        <f t="shared" si="3"/>
        <v>2vqOVfuKZY73HUMeqen2M4BAdW09lbfTOpnRLleivZs=</v>
      </c>
      <c r="M85" s="36"/>
      <c r="N85" s="36"/>
    </row>
    <row r="86">
      <c r="A86" s="38">
        <v>82.0</v>
      </c>
      <c r="B86" s="39">
        <v>43557.0</v>
      </c>
      <c r="C86" s="40" t="s">
        <v>148</v>
      </c>
      <c r="D86" s="38" t="s">
        <v>240</v>
      </c>
      <c r="E86" s="76" t="s">
        <v>243</v>
      </c>
      <c r="F86" s="59" t="s">
        <v>216</v>
      </c>
      <c r="G86" s="43" t="str">
        <f t="shared" si="6"/>
        <v>4/2019</v>
      </c>
      <c r="H86" s="44" t="str">
        <f t="shared" si="4"/>
        <v>T</v>
      </c>
      <c r="I86" s="44"/>
      <c r="J86" s="44" t="str">
        <f t="shared" si="5"/>
        <v>2vqOVfuKZY73HUMeqen2M4BAdW09lbfTOpnRLleivZs=</v>
      </c>
      <c r="K86" s="44" t="str">
        <f t="shared" si="2"/>
        <v>82 43557 合約文員
民政事務總處——專責事務組
$12170/Month
0900 - 1800
 已收到申請 Acknowledgement of Application 2vqOVfuKZY73HUMeqen2M4BAdW09lbfTOpnRLleivZs=</v>
      </c>
      <c r="L86" s="45" t="str">
        <f t="shared" si="3"/>
        <v>Loading...</v>
      </c>
      <c r="M86" s="46"/>
      <c r="N86" s="46"/>
    </row>
    <row r="87">
      <c r="A87" s="24">
        <v>83.0</v>
      </c>
      <c r="B87" s="26">
        <v>43557.0</v>
      </c>
      <c r="C87" s="27" t="s">
        <v>168</v>
      </c>
      <c r="D87" s="24" t="s">
        <v>240</v>
      </c>
      <c r="E87" s="29" t="s">
        <v>244</v>
      </c>
      <c r="F87" s="53" t="s">
        <v>216</v>
      </c>
      <c r="G87" s="33" t="str">
        <f t="shared" si="6"/>
        <v>4/2019</v>
      </c>
      <c r="H87" s="31" t="str">
        <f t="shared" si="4"/>
        <v>Loading...</v>
      </c>
      <c r="I87" s="31"/>
      <c r="J87" s="31" t="str">
        <f t="shared" si="5"/>
        <v>Loading...</v>
      </c>
      <c r="K87" s="31" t="str">
        <f t="shared" si="2"/>
        <v>Loading...</v>
      </c>
      <c r="L87" s="35" t="str">
        <f t="shared" si="3"/>
        <v>Loading...</v>
      </c>
      <c r="M87" s="36"/>
      <c r="N87" s="36"/>
    </row>
    <row r="88">
      <c r="A88" s="38">
        <v>84.0</v>
      </c>
      <c r="B88" s="39">
        <v>43567.0</v>
      </c>
      <c r="C88" s="40" t="s">
        <v>152</v>
      </c>
      <c r="D88" s="38" t="s">
        <v>231</v>
      </c>
      <c r="E88" s="41" t="s">
        <v>183</v>
      </c>
      <c r="F88" s="59" t="s">
        <v>216</v>
      </c>
      <c r="G88" s="43" t="str">
        <f t="shared" si="6"/>
        <v>4/2019</v>
      </c>
      <c r="H88" s="44" t="str">
        <f t="shared" si="4"/>
        <v>Loading...</v>
      </c>
      <c r="I88" s="44"/>
      <c r="J88" s="44" t="str">
        <f t="shared" si="5"/>
        <v>Loading...</v>
      </c>
      <c r="K88" s="44" t="str">
        <f t="shared" si="2"/>
        <v>Loading...</v>
      </c>
      <c r="L88" s="45" t="str">
        <f t="shared" si="3"/>
        <v>Loading...</v>
      </c>
      <c r="M88" s="46"/>
      <c r="N88" s="46"/>
    </row>
    <row r="89">
      <c r="A89" s="24">
        <v>85.0</v>
      </c>
      <c r="B89" s="26">
        <v>43567.0</v>
      </c>
      <c r="C89" s="27" t="s">
        <v>154</v>
      </c>
      <c r="D89" s="24" t="s">
        <v>150</v>
      </c>
      <c r="E89" s="29" t="s">
        <v>183</v>
      </c>
      <c r="F89" s="53" t="s">
        <v>216</v>
      </c>
      <c r="G89" s="33" t="str">
        <f t="shared" si="6"/>
        <v>4/2019</v>
      </c>
      <c r="H89" s="31" t="str">
        <f t="shared" si="4"/>
        <v>Loading...</v>
      </c>
      <c r="I89" s="31"/>
      <c r="J89" s="31" t="str">
        <f t="shared" si="5"/>
        <v>Loading...</v>
      </c>
      <c r="K89" s="31" t="str">
        <f t="shared" si="2"/>
        <v>Loading...</v>
      </c>
      <c r="L89" s="35" t="str">
        <f t="shared" si="3"/>
        <v>ke95Lr1rgcz7Ys9OWvxDjxlu5QQUFW8Z7NGoU/xUY50=</v>
      </c>
      <c r="M89" s="36"/>
      <c r="N89" s="36"/>
    </row>
    <row r="90">
      <c r="A90" s="38">
        <v>86.0</v>
      </c>
      <c r="B90" s="39">
        <v>43567.0</v>
      </c>
      <c r="C90" s="40" t="s">
        <v>170</v>
      </c>
      <c r="D90" s="38" t="s">
        <v>195</v>
      </c>
      <c r="E90" s="41" t="s">
        <v>245</v>
      </c>
      <c r="F90" s="59" t="s">
        <v>206</v>
      </c>
      <c r="G90" s="43" t="str">
        <f t="shared" si="6"/>
        <v>4/2019</v>
      </c>
      <c r="H90" s="44" t="str">
        <f t="shared" si="4"/>
        <v>T</v>
      </c>
      <c r="I90" s="44"/>
      <c r="J90" s="44" t="str">
        <f t="shared" si="5"/>
        <v>ke95Lr1rgcz7Ys9OWvxDjxlu5QQUFW8Z7NGoU/xUY50=</v>
      </c>
      <c r="K90" s="44" t="str">
        <f t="shared" si="2"/>
        <v>86 43567 Term Executive Assistant II/III
O/LVL/Term EA2_3/04/19
HKIVE (Lee Wai Lee)
Salary not stated (Offer $14000)
Working Time Not Stated
 有出席面試機會 -- Interview Attended ke95Lr1rgcz7Ys9OWvxDjxlu5QQUFW8Z7NGoU/xUY50=</v>
      </c>
      <c r="L90" s="45" t="str">
        <f t="shared" si="3"/>
        <v>Loading...</v>
      </c>
      <c r="M90" s="46"/>
      <c r="N90" s="46"/>
    </row>
    <row r="91">
      <c r="A91" s="24">
        <v>87.0</v>
      </c>
      <c r="B91" s="26">
        <v>43577.0</v>
      </c>
      <c r="C91" s="27" t="s">
        <v>155</v>
      </c>
      <c r="D91" s="24" t="s">
        <v>150</v>
      </c>
      <c r="E91" s="29" t="s">
        <v>183</v>
      </c>
      <c r="F91" s="53" t="s">
        <v>216</v>
      </c>
      <c r="G91" s="33" t="str">
        <f t="shared" si="6"/>
        <v>4/2019</v>
      </c>
      <c r="H91" s="31" t="str">
        <f t="shared" si="4"/>
        <v>Loading...</v>
      </c>
      <c r="I91" s="31"/>
      <c r="J91" s="31" t="str">
        <f t="shared" si="5"/>
        <v>Loading...</v>
      </c>
      <c r="K91" s="31" t="str">
        <f t="shared" si="2"/>
        <v>Loading...</v>
      </c>
      <c r="L91" s="35" t="str">
        <f t="shared" si="3"/>
        <v>ke95Lr1rgcz7Ys9OWvxDjxlu5QQUFW8Z7NGoU/xUY50=</v>
      </c>
      <c r="M91" s="36"/>
      <c r="N91" s="36"/>
    </row>
    <row r="92">
      <c r="A92" s="38">
        <v>88.0</v>
      </c>
      <c r="B92" s="39">
        <v>43577.0</v>
      </c>
      <c r="C92" s="40" t="s">
        <v>156</v>
      </c>
      <c r="D92" s="38" t="s">
        <v>240</v>
      </c>
      <c r="E92" s="41" t="s">
        <v>246</v>
      </c>
      <c r="F92" s="44" t="s">
        <v>223</v>
      </c>
      <c r="G92" s="43" t="str">
        <f t="shared" si="6"/>
        <v>4/2019</v>
      </c>
      <c r="H92" s="44" t="str">
        <f t="shared" si="4"/>
        <v>T</v>
      </c>
      <c r="I92" s="44"/>
      <c r="J92" s="44" t="str">
        <f t="shared" si="5"/>
        <v>ke95Lr1rgcz7Ys9OWvxDjxlu5QQUFW8Z7NGoU/xUY50=</v>
      </c>
      <c r="K92" s="44" t="str">
        <f t="shared" si="2"/>
        <v>88 43577 WorldSkills 2019 Application
1) Game Level Programming
2) 3D Modelling and Art 已收到申請 Acknowledgement of Application ke95Lr1rgcz7Ys9OWvxDjxlu5QQUFW8Z7NGoU/xUY50=</v>
      </c>
      <c r="L92" s="45" t="str">
        <f t="shared" si="3"/>
        <v>Loading...</v>
      </c>
      <c r="M92" s="46"/>
      <c r="N92" s="46"/>
    </row>
    <row r="93">
      <c r="A93" s="24">
        <v>89.0</v>
      </c>
      <c r="B93" s="26">
        <v>43577.0</v>
      </c>
      <c r="C93" s="27" t="s">
        <v>159</v>
      </c>
      <c r="D93" s="24" t="s">
        <v>195</v>
      </c>
      <c r="E93" s="29" t="s">
        <v>247</v>
      </c>
      <c r="F93" s="53" t="s">
        <v>214</v>
      </c>
      <c r="G93" s="33" t="str">
        <f t="shared" si="6"/>
        <v>4/2019</v>
      </c>
      <c r="H93" s="31" t="str">
        <f t="shared" si="4"/>
        <v>Loading...</v>
      </c>
      <c r="I93" s="31"/>
      <c r="J93" s="31" t="str">
        <f t="shared" si="5"/>
        <v>Loading...</v>
      </c>
      <c r="K93" s="31" t="str">
        <f t="shared" si="2"/>
        <v>Loading...</v>
      </c>
      <c r="L93" s="35" t="str">
        <f t="shared" si="3"/>
        <v>ke95Lr1rgcz7Ys9OWvxDjxlu5QQUFW8Z7NGoU/xUY50=</v>
      </c>
      <c r="M93" s="36"/>
      <c r="N93" s="36"/>
    </row>
    <row r="94">
      <c r="A94" s="38">
        <v>90.0</v>
      </c>
      <c r="B94" s="39">
        <v>43578.0</v>
      </c>
      <c r="C94" s="40" t="s">
        <v>158</v>
      </c>
      <c r="D94" s="38" t="s">
        <v>150</v>
      </c>
      <c r="E94" s="41" t="s">
        <v>183</v>
      </c>
      <c r="F94" s="59" t="s">
        <v>216</v>
      </c>
      <c r="G94" s="43" t="str">
        <f t="shared" si="6"/>
        <v>4/2019</v>
      </c>
      <c r="H94" s="44" t="str">
        <f t="shared" si="4"/>
        <v>T</v>
      </c>
      <c r="I94" s="44"/>
      <c r="J94" s="44" t="str">
        <f t="shared" si="5"/>
        <v>ke95Lr1rgcz7Ys9OWvxDjxlu5QQUFW8Z7NGoU/xUY50=</v>
      </c>
      <c r="K94" s="44" t="str">
        <f t="shared" si="2"/>
        <v>90 43578 項目統籌
觀塘民政事務署--民政事務總署
$15650 / Month
Gov Office Time
 沒有回應 -- No Respond ke95Lr1rgcz7Ys9OWvxDjxlu5QQUFW8Z7NGoU/xUY50=</v>
      </c>
      <c r="L94" s="45" t="str">
        <f t="shared" si="3"/>
        <v>4Xmvxsx3UKl5F2dju+mtW+waJxdKBoGrYuihi+um9vI=</v>
      </c>
      <c r="M94" s="46"/>
      <c r="N94" s="46"/>
    </row>
    <row r="95">
      <c r="A95" s="24">
        <v>91.0</v>
      </c>
      <c r="B95" s="26">
        <v>43579.0</v>
      </c>
      <c r="C95" s="27" t="s">
        <v>163</v>
      </c>
      <c r="D95" s="77" t="s">
        <v>218</v>
      </c>
      <c r="E95" s="29" t="s">
        <v>164</v>
      </c>
      <c r="F95" s="53" t="s">
        <v>206</v>
      </c>
      <c r="G95" s="33" t="str">
        <f t="shared" si="6"/>
        <v>4/2019</v>
      </c>
      <c r="H95" s="31" t="str">
        <f t="shared" si="4"/>
        <v>T</v>
      </c>
      <c r="I95" s="31"/>
      <c r="J95" s="31" t="str">
        <f t="shared" si="5"/>
        <v>4Xmvxsx3UKl5F2dju+mtW+waJxdKBoGrYuihi+um9vI=</v>
      </c>
      <c r="K95" s="31" t="str">
        <f t="shared" si="2"/>
        <v>91 43579 圖書館助理
基督教宣道會宣基小學
$12000 - 13000
0800 - 1700 長短週
 質疑宗教與個人能力之間的關係 -- Religion Related 4Xmvxsx3UKl5F2dju+mtW+waJxdKBoGrYuihi+um9vI=</v>
      </c>
      <c r="L95" s="35" t="str">
        <f t="shared" si="3"/>
        <v>6Fubw58oe1EgXgp2BXwvQGGT9gzXyso1vum+2daDcN8=</v>
      </c>
      <c r="M95" s="36"/>
      <c r="N95" s="36"/>
    </row>
    <row r="96">
      <c r="A96" s="38">
        <v>92.0</v>
      </c>
      <c r="B96" s="39">
        <v>43580.0</v>
      </c>
      <c r="C96" s="40" t="s">
        <v>161</v>
      </c>
      <c r="D96" s="38" t="s">
        <v>191</v>
      </c>
      <c r="E96" s="41" t="s">
        <v>248</v>
      </c>
      <c r="F96" s="59" t="s">
        <v>216</v>
      </c>
      <c r="G96" s="43" t="str">
        <f t="shared" si="6"/>
        <v>4/2019</v>
      </c>
      <c r="H96" s="44" t="str">
        <f t="shared" si="4"/>
        <v>T</v>
      </c>
      <c r="I96" s="44"/>
      <c r="J96" s="44" t="str">
        <f t="shared" si="5"/>
        <v>6Fubw58oe1EgXgp2BXwvQGGT9gzXyso1vum+2daDcN8=</v>
      </c>
      <c r="K96" s="44" t="str">
        <f t="shared" si="2"/>
        <v>92 43580 YETP office, Government Call-in
We have two jobs want to introduce to you.
I) Internship of Airplane Maintenance -- Chek Lap Kok --  $10840 / Month
II) Internship of Storage Operator (II) -- Yeun Long -- $9800 / Month 已婉拒 Refused 6Fubw58oe1EgXgp2BXwvQGGT9gzXyso1vum+2daDcN8=</v>
      </c>
      <c r="L96" s="45" t="str">
        <f t="shared" si="3"/>
        <v>Loading...</v>
      </c>
      <c r="M96" s="46"/>
      <c r="N96" s="46"/>
    </row>
    <row r="97">
      <c r="A97" s="24">
        <v>93.0</v>
      </c>
      <c r="B97" s="26">
        <v>43580.0</v>
      </c>
      <c r="C97" s="27" t="s">
        <v>179</v>
      </c>
      <c r="D97" s="78" t="s">
        <v>249</v>
      </c>
      <c r="E97" s="29" t="s">
        <v>183</v>
      </c>
      <c r="F97" s="31" t="s">
        <v>223</v>
      </c>
      <c r="G97" s="33" t="str">
        <f t="shared" si="6"/>
        <v>4/2019</v>
      </c>
      <c r="H97" s="31" t="str">
        <f t="shared" si="4"/>
        <v>Loading...</v>
      </c>
      <c r="I97" s="31"/>
      <c r="J97" s="31" t="str">
        <f t="shared" si="5"/>
        <v>Loading...</v>
      </c>
      <c r="K97" s="31" t="str">
        <f t="shared" si="2"/>
        <v>Loading...</v>
      </c>
      <c r="L97" s="35" t="str">
        <f t="shared" si="3"/>
        <v>Loading...</v>
      </c>
      <c r="M97" s="36"/>
      <c r="N97" s="36"/>
    </row>
    <row r="98">
      <c r="A98" s="38">
        <v>94.0</v>
      </c>
      <c r="B98" s="39">
        <v>43581.0</v>
      </c>
      <c r="C98" s="79" t="s">
        <v>184</v>
      </c>
      <c r="D98" s="80" t="s">
        <v>185</v>
      </c>
      <c r="E98" s="41" t="s">
        <v>183</v>
      </c>
      <c r="F98" s="44" t="s">
        <v>223</v>
      </c>
      <c r="G98" s="43" t="str">
        <f t="shared" si="6"/>
        <v>4/2019</v>
      </c>
      <c r="H98" s="44" t="str">
        <f t="shared" si="4"/>
        <v>Loading...</v>
      </c>
      <c r="I98" s="44"/>
      <c r="J98" s="44" t="str">
        <f t="shared" si="5"/>
        <v>Loading...</v>
      </c>
      <c r="K98" s="44" t="str">
        <f t="shared" si="2"/>
        <v>Loading...</v>
      </c>
      <c r="L98" s="45" t="str">
        <f t="shared" si="3"/>
        <v>ke95Lr1rgcz7Ys9OWvxDjxlu5QQUFW8Z7NGoU/xUY50=</v>
      </c>
      <c r="M98" s="46"/>
      <c r="N98" s="46"/>
    </row>
    <row r="99">
      <c r="A99" s="24">
        <v>95.0</v>
      </c>
      <c r="B99" s="26">
        <v>43582.0</v>
      </c>
      <c r="C99" s="27" t="s">
        <v>250</v>
      </c>
      <c r="D99" s="24" t="s">
        <v>150</v>
      </c>
      <c r="E99" s="29" t="s">
        <v>183</v>
      </c>
      <c r="F99" s="53" t="s">
        <v>216</v>
      </c>
      <c r="G99" s="33" t="str">
        <f t="shared" si="6"/>
        <v>4/2019</v>
      </c>
      <c r="H99" s="31" t="str">
        <f t="shared" si="4"/>
        <v>T</v>
      </c>
      <c r="I99" s="31"/>
      <c r="J99" s="31" t="str">
        <f t="shared" si="5"/>
        <v>ke95Lr1rgcz7Ys9OWvxDjxlu5QQUFW8Z7NGoU/xUY50=</v>
      </c>
      <c r="K99" s="31" t="str">
        <f t="shared" si="2"/>
        <v>95 43582 文員 41696
政府統計處--普查人口統計科/
策劃科(I/II)/貿易資料處理組/住戶開支統計審查組
$13430
Gov Office Time 沒有回應 -- No Respond ke95Lr1rgcz7Ys9OWvxDjxlu5QQUFW8Z7NGoU/xUY50=</v>
      </c>
      <c r="L99" s="35" t="str">
        <f t="shared" si="3"/>
        <v>3N7F2a43BhIbwnWsUZLKdqWWQMy6wT1DFq2IaeqPT6I=</v>
      </c>
      <c r="M99" s="36"/>
      <c r="N99" s="36"/>
    </row>
    <row r="100">
      <c r="A100" s="38">
        <v>96.0</v>
      </c>
      <c r="B100" s="39">
        <v>43583.0</v>
      </c>
      <c r="C100" s="40" t="s">
        <v>172</v>
      </c>
      <c r="D100" s="75" t="s">
        <v>199</v>
      </c>
      <c r="E100" s="38" t="s">
        <v>251</v>
      </c>
      <c r="F100" s="59" t="s">
        <v>216</v>
      </c>
      <c r="G100" s="43" t="str">
        <f t="shared" si="6"/>
        <v>4/2019</v>
      </c>
      <c r="H100" s="44" t="str">
        <f t="shared" si="4"/>
        <v>T</v>
      </c>
      <c r="I100" s="44"/>
      <c r="J100" s="44" t="str">
        <f t="shared" si="5"/>
        <v>3N7F2a43BhIbwnWsUZLKdqWWQMy6wT1DFq2IaeqPT6I=</v>
      </c>
      <c r="K100" s="44" t="str">
        <f t="shared" si="2"/>
        <v>96 43583 產品分類助理
VAC0113842
貿易發展局
$12000 / Month
Gov Office Time 仍在發展 -- Developmenting 3N7F2a43BhIbwnWsUZLKdqWWQMy6wT1DFq2IaeqPT6I=</v>
      </c>
      <c r="L100" s="45" t="str">
        <f t="shared" si="3"/>
        <v>Loading...</v>
      </c>
      <c r="M100" s="46"/>
      <c r="N100" s="46"/>
    </row>
    <row r="101">
      <c r="A101" s="24">
        <v>97.0</v>
      </c>
      <c r="B101" s="26">
        <v>43583.0</v>
      </c>
      <c r="C101" s="27" t="s">
        <v>174</v>
      </c>
      <c r="D101" s="78" t="s">
        <v>199</v>
      </c>
      <c r="E101" s="24" t="s">
        <v>251</v>
      </c>
      <c r="F101" s="53" t="s">
        <v>216</v>
      </c>
      <c r="G101" s="33" t="str">
        <f t="shared" si="6"/>
        <v>4/2019</v>
      </c>
      <c r="H101" s="31" t="str">
        <f t="shared" si="4"/>
        <v>Loading...</v>
      </c>
      <c r="I101" s="31"/>
      <c r="J101" s="31" t="str">
        <f t="shared" si="5"/>
        <v>Loading...</v>
      </c>
      <c r="K101" s="31" t="str">
        <f t="shared" si="2"/>
        <v>Loading...</v>
      </c>
      <c r="L101" s="35" t="str">
        <f t="shared" si="3"/>
        <v>ke95Lr1rgcz7Ys9OWvxDjxlu5QQUFW8Z7NGoU/xUY50=</v>
      </c>
      <c r="M101" s="36"/>
      <c r="N101" s="36"/>
    </row>
    <row r="102">
      <c r="A102" s="38">
        <v>98.0</v>
      </c>
      <c r="B102" s="39">
        <v>43586.0</v>
      </c>
      <c r="C102" s="40" t="s">
        <v>175</v>
      </c>
      <c r="D102" s="38" t="s">
        <v>240</v>
      </c>
      <c r="E102" s="41" t="s">
        <v>252</v>
      </c>
      <c r="F102" s="59" t="s">
        <v>216</v>
      </c>
      <c r="G102" s="43" t="str">
        <f t="shared" si="6"/>
        <v>5/2019</v>
      </c>
      <c r="H102" s="44" t="str">
        <f t="shared" si="4"/>
        <v>T</v>
      </c>
      <c r="I102" s="44"/>
      <c r="J102" s="44" t="str">
        <f t="shared" si="5"/>
        <v>ke95Lr1rgcz7Ys9OWvxDjxlu5QQUFW8Z7NGoU/xUY50=</v>
      </c>
      <c r="K102" s="44" t="str">
        <f t="shared" si="2"/>
        <v>98 43586 Transport Services Assistant (I)
Transport Department, HKSARG
$ 13260 / Month
5 day; 44 hours
 已收到申請 Acknowledgement of Application ke95Lr1rgcz7Ys9OWvxDjxlu5QQUFW8Z7NGoU/xUY50=</v>
      </c>
      <c r="L102" s="45" t="str">
        <f t="shared" si="3"/>
        <v>X1KVMTqgtlk0+jFk7dPjZJs/M6td33U9K25Z5rpDAdE=</v>
      </c>
      <c r="M102" s="46"/>
      <c r="N102" s="46"/>
    </row>
    <row r="103">
      <c r="A103" s="24">
        <v>99.0</v>
      </c>
      <c r="B103" s="26">
        <v>43589.0</v>
      </c>
      <c r="C103" s="27" t="s">
        <v>177</v>
      </c>
      <c r="D103" s="24" t="s">
        <v>253</v>
      </c>
      <c r="E103" s="29" t="s">
        <v>178</v>
      </c>
      <c r="F103" s="31" t="s">
        <v>223</v>
      </c>
      <c r="G103" s="33" t="str">
        <f t="shared" si="6"/>
        <v>5/2019</v>
      </c>
      <c r="H103" s="31" t="str">
        <f t="shared" si="4"/>
        <v>T</v>
      </c>
      <c r="I103" s="31"/>
      <c r="J103" s="31" t="str">
        <f t="shared" si="5"/>
        <v>X1KVMTqgtlk0+jFk7dPjZJs/M6td33U9K25Z5rpDAdE=</v>
      </c>
      <c r="K103" s="31" t="str">
        <f t="shared" si="2"/>
        <v>99 43589 葵芳青年就業起點
管理及策略團隊培訓 桌遊活動
04/05/2019 1130-1830 主辦取消 Cancelled (Org) X1KVMTqgtlk0+jFk7dPjZJs/M6td33U9K25Z5rpDAdE=</v>
      </c>
      <c r="L103" s="35" t="str">
        <f t="shared" si="3"/>
        <v>L3ZqBeIhaP+hdJAKpPn3Ytx9OYUOXQe0odn0+Xmm3AU=</v>
      </c>
      <c r="M103" s="36"/>
      <c r="N103" s="36"/>
    </row>
    <row r="104">
      <c r="A104" s="38">
        <v>100.0</v>
      </c>
      <c r="B104" s="39">
        <v>43600.0</v>
      </c>
      <c r="C104" s="79" t="s">
        <v>187</v>
      </c>
      <c r="D104" s="80" t="s">
        <v>150</v>
      </c>
      <c r="E104" s="41" t="s">
        <v>183</v>
      </c>
      <c r="F104" s="59" t="s">
        <v>227</v>
      </c>
      <c r="G104" s="43" t="str">
        <f t="shared" si="6"/>
        <v>5/2019</v>
      </c>
      <c r="H104" s="44" t="str">
        <f t="shared" si="4"/>
        <v>T</v>
      </c>
      <c r="I104" s="44"/>
      <c r="J104" s="44" t="str">
        <f t="shared" si="5"/>
        <v>L3ZqBeIhaP+hdJAKpPn3Ytx9OYUOXQe0odn0+Xmm3AU=</v>
      </c>
      <c r="K104" s="44" t="str">
        <f t="shared" si="2"/>
        <v>100 43600 HK Cantonese Linguistic Analyst
Wistron Information Tech and Service Limited
查冊 CR 0886150
$13000 - 15000
0900 - 1800 , 5day work bank hoilday
OT Pay, No exp reqire
 沒有回應 -- No Respond L3ZqBeIhaP+hdJAKpPn3Ytx9OYUOXQe0odn0+Xmm3AU=</v>
      </c>
      <c r="L104" s="45" t="str">
        <f t="shared" si="3"/>
        <v>d/Grhp00eiAIwwP37HkrssFrCPpt63eDinZFSupuTa4=</v>
      </c>
      <c r="M104" s="46"/>
      <c r="N104" s="46"/>
    </row>
    <row r="105">
      <c r="A105" s="24">
        <v>101.0</v>
      </c>
      <c r="B105" s="26">
        <v>43602.0</v>
      </c>
      <c r="C105" s="81" t="s">
        <v>189</v>
      </c>
      <c r="D105" s="82" t="s">
        <v>185</v>
      </c>
      <c r="E105" s="29" t="s">
        <v>183</v>
      </c>
      <c r="F105" s="31"/>
      <c r="G105" s="33" t="str">
        <f t="shared" si="6"/>
        <v>5/2019</v>
      </c>
      <c r="H105" s="31" t="str">
        <f t="shared" si="4"/>
        <v>T</v>
      </c>
      <c r="I105" s="31"/>
      <c r="J105" s="31" t="str">
        <f t="shared" si="5"/>
        <v>d/Grhp00eiAIwwP37HkrssFrCPpt63eDinZFSupuTa4=</v>
      </c>
      <c r="K105" s="31" t="str">
        <f t="shared" si="2"/>
        <v>101 43602 電競實習支援計劃
履歷 及 相關文件翻譯工序
 已完成 -- Completed d/Grhp00eiAIwwP37HkrssFrCPpt63eDinZFSupuTa4=</v>
      </c>
      <c r="L105" s="35" t="str">
        <f t="shared" si="3"/>
        <v>IbNjmyQO/LdcPejrTMZubzvBjOlrc3vfAohu+7E3oz4=</v>
      </c>
      <c r="M105" s="36"/>
      <c r="N105" s="36"/>
    </row>
    <row r="106">
      <c r="A106" s="38">
        <v>102.0</v>
      </c>
      <c r="B106" s="39">
        <v>43604.0</v>
      </c>
      <c r="C106" s="40" t="s">
        <v>254</v>
      </c>
      <c r="D106" s="80" t="s">
        <v>191</v>
      </c>
      <c r="E106" s="83" t="s">
        <v>255</v>
      </c>
      <c r="F106" s="59" t="s">
        <v>214</v>
      </c>
      <c r="G106" s="43" t="str">
        <f t="shared" si="6"/>
        <v>5/2019</v>
      </c>
      <c r="H106" s="44" t="str">
        <f t="shared" si="4"/>
        <v>T</v>
      </c>
      <c r="I106" s="44"/>
      <c r="J106" s="44" t="str">
        <f t="shared" si="5"/>
        <v>IbNjmyQO/LdcPejrTMZubzvBjOlrc3vfAohu+7E3oz4=</v>
      </c>
      <c r="K106" s="44" t="str">
        <f t="shared" si="2"/>
        <v>102 43604 [Direct Call-in]
Bond-West Job Agency
Game Developer (Unity 3D)
$16000 (Non-nego, Offer)
10am - 7pm
12 Month + Bonus
 已婉拒 Refused IbNjmyQO/LdcPejrTMZubzvBjOlrc3vfAohu+7E3oz4=</v>
      </c>
      <c r="L106" s="45" t="str">
        <f t="shared" si="3"/>
        <v>Loading...</v>
      </c>
      <c r="M106" s="46"/>
      <c r="N106" s="46"/>
    </row>
    <row r="107">
      <c r="A107" s="24">
        <v>103.0</v>
      </c>
      <c r="B107" s="26">
        <v>43604.0</v>
      </c>
      <c r="C107" s="81" t="s">
        <v>192</v>
      </c>
      <c r="D107" s="82" t="s">
        <v>185</v>
      </c>
      <c r="E107" s="29" t="s">
        <v>183</v>
      </c>
      <c r="F107" s="31"/>
      <c r="G107" s="33" t="str">
        <f t="shared" si="6"/>
        <v>5/2019</v>
      </c>
      <c r="H107" s="31" t="str">
        <f t="shared" si="4"/>
        <v>Loading...</v>
      </c>
      <c r="I107" s="31"/>
      <c r="J107" s="31" t="str">
        <f t="shared" si="5"/>
        <v>Loading...</v>
      </c>
      <c r="K107" s="31" t="str">
        <f t="shared" si="2"/>
        <v>Loading...</v>
      </c>
      <c r="L107" s="35" t="str">
        <f t="shared" si="3"/>
        <v>Loading...</v>
      </c>
      <c r="M107" s="36"/>
      <c r="N107" s="36"/>
    </row>
    <row r="108">
      <c r="A108" s="38">
        <v>104.0</v>
      </c>
      <c r="B108" s="39">
        <v>43604.0</v>
      </c>
      <c r="C108" s="79" t="s">
        <v>193</v>
      </c>
      <c r="D108" s="80" t="s">
        <v>185</v>
      </c>
      <c r="E108" s="41" t="s">
        <v>183</v>
      </c>
      <c r="F108" s="44"/>
      <c r="G108" s="43" t="str">
        <f t="shared" si="6"/>
        <v>5/2019</v>
      </c>
      <c r="H108" s="44" t="str">
        <f t="shared" si="4"/>
        <v>Loading...</v>
      </c>
      <c r="I108" s="44"/>
      <c r="J108" s="44" t="str">
        <f t="shared" si="5"/>
        <v>Loading...</v>
      </c>
      <c r="K108" s="44" t="str">
        <f t="shared" si="2"/>
        <v>Loading...</v>
      </c>
      <c r="L108" s="45" t="str">
        <f t="shared" si="3"/>
        <v>Loading...</v>
      </c>
      <c r="M108" s="46"/>
      <c r="N108" s="46"/>
    </row>
    <row r="109">
      <c r="A109" s="24">
        <v>105.0</v>
      </c>
      <c r="B109" s="26">
        <v>43607.0</v>
      </c>
      <c r="C109" s="27" t="s">
        <v>256</v>
      </c>
      <c r="D109" s="82" t="s">
        <v>204</v>
      </c>
      <c r="E109" s="84" t="s">
        <v>257</v>
      </c>
      <c r="F109" s="53" t="s">
        <v>216</v>
      </c>
      <c r="G109" s="33" t="str">
        <f t="shared" si="6"/>
        <v>5/2019</v>
      </c>
      <c r="H109" s="31" t="str">
        <f t="shared" si="4"/>
        <v>Loading...</v>
      </c>
      <c r="I109" s="31"/>
      <c r="J109" s="31" t="str">
        <f t="shared" si="5"/>
        <v>Loading...</v>
      </c>
      <c r="K109" s="31" t="str">
        <f t="shared" si="2"/>
        <v>Loading...</v>
      </c>
      <c r="L109" s="35" t="str">
        <f t="shared" si="3"/>
        <v>Loading...</v>
      </c>
      <c r="M109" s="36"/>
      <c r="N109" s="36"/>
    </row>
    <row r="110">
      <c r="A110" s="38">
        <v>106.0</v>
      </c>
      <c r="B110" s="39">
        <v>43608.0</v>
      </c>
      <c r="C110" s="79" t="s">
        <v>194</v>
      </c>
      <c r="D110" s="80" t="s">
        <v>195</v>
      </c>
      <c r="E110" s="41" t="s">
        <v>183</v>
      </c>
      <c r="F110" s="59" t="s">
        <v>206</v>
      </c>
      <c r="G110" s="43" t="str">
        <f t="shared" si="6"/>
        <v>5/2019</v>
      </c>
      <c r="H110" s="44" t="str">
        <f t="shared" si="4"/>
        <v>Loading...</v>
      </c>
      <c r="I110" s="44"/>
      <c r="J110" s="44" t="str">
        <f t="shared" si="5"/>
        <v>Loading...</v>
      </c>
      <c r="K110" s="44" t="str">
        <f t="shared" si="2"/>
        <v>Loading...</v>
      </c>
      <c r="L110" s="45" t="str">
        <f t="shared" si="3"/>
        <v>Loading...</v>
      </c>
      <c r="M110" s="46"/>
      <c r="N110" s="46"/>
    </row>
    <row r="111">
      <c r="A111" s="24">
        <v>107.0</v>
      </c>
      <c r="B111" s="26">
        <v>43608.0</v>
      </c>
      <c r="C111" s="81" t="s">
        <v>196</v>
      </c>
      <c r="D111" s="78" t="s">
        <v>199</v>
      </c>
      <c r="E111" s="29" t="s">
        <v>183</v>
      </c>
      <c r="F111" s="53" t="s">
        <v>206</v>
      </c>
      <c r="G111" s="33" t="str">
        <f t="shared" si="6"/>
        <v>5/2019</v>
      </c>
      <c r="H111" s="31" t="str">
        <f t="shared" si="4"/>
        <v>Loading...</v>
      </c>
      <c r="I111" s="31"/>
      <c r="J111" s="31" t="str">
        <f t="shared" si="5"/>
        <v>Loading...</v>
      </c>
      <c r="K111" s="31" t="str">
        <f t="shared" si="2"/>
        <v>Loading...</v>
      </c>
      <c r="L111" s="35" t="str">
        <f t="shared" si="3"/>
        <v>Loading...</v>
      </c>
      <c r="M111" s="36"/>
      <c r="N111" s="36"/>
    </row>
    <row r="112">
      <c r="A112" s="38">
        <v>108.0</v>
      </c>
      <c r="B112" s="39">
        <v>43608.0</v>
      </c>
      <c r="C112" s="79" t="s">
        <v>198</v>
      </c>
      <c r="D112" s="75" t="s">
        <v>199</v>
      </c>
      <c r="E112" s="41" t="s">
        <v>258</v>
      </c>
      <c r="F112" s="44" t="s">
        <v>223</v>
      </c>
      <c r="G112" s="43" t="str">
        <f t="shared" si="6"/>
        <v>5/2019</v>
      </c>
      <c r="H112" s="44" t="str">
        <f t="shared" si="4"/>
        <v>Loading...</v>
      </c>
      <c r="I112" s="44"/>
      <c r="J112" s="44" t="str">
        <f t="shared" si="5"/>
        <v>Loading...</v>
      </c>
      <c r="K112" s="44" t="str">
        <f t="shared" si="2"/>
        <v>Loading...</v>
      </c>
      <c r="L112" s="45" t="str">
        <f t="shared" si="3"/>
        <v>Loading...</v>
      </c>
      <c r="M112" s="46"/>
      <c r="N112" s="46"/>
    </row>
    <row r="113">
      <c r="A113" s="24">
        <v>109.0</v>
      </c>
      <c r="B113" s="26">
        <v>43611.0</v>
      </c>
      <c r="C113" s="81" t="s">
        <v>200</v>
      </c>
      <c r="D113" s="24" t="s">
        <v>201</v>
      </c>
      <c r="E113" s="29" t="s">
        <v>259</v>
      </c>
      <c r="F113" s="31" t="s">
        <v>223</v>
      </c>
      <c r="G113" s="33" t="str">
        <f t="shared" si="6"/>
        <v>5/2019</v>
      </c>
      <c r="H113" s="31" t="str">
        <f t="shared" si="4"/>
        <v>Loading...</v>
      </c>
      <c r="I113" s="31"/>
      <c r="J113" s="31" t="str">
        <f t="shared" si="5"/>
        <v>Loading...</v>
      </c>
      <c r="K113" s="31" t="str">
        <f t="shared" si="2"/>
        <v>Loading...</v>
      </c>
      <c r="L113" s="35" t="str">
        <f t="shared" si="3"/>
        <v>Loading...</v>
      </c>
      <c r="M113" s="36"/>
      <c r="N113" s="36"/>
    </row>
    <row r="114">
      <c r="A114" s="38">
        <v>110.0</v>
      </c>
      <c r="B114" s="39">
        <v>43612.0</v>
      </c>
      <c r="C114" s="79" t="s">
        <v>186</v>
      </c>
      <c r="D114" s="80" t="s">
        <v>185</v>
      </c>
      <c r="E114" s="41" t="s">
        <v>183</v>
      </c>
      <c r="F114" s="44" t="s">
        <v>223</v>
      </c>
      <c r="G114" s="43" t="str">
        <f t="shared" si="6"/>
        <v>5/2019</v>
      </c>
      <c r="H114" s="44" t="str">
        <f t="shared" si="4"/>
        <v>Loading...</v>
      </c>
      <c r="I114" s="44"/>
      <c r="J114" s="44" t="str">
        <f t="shared" si="5"/>
        <v>Loading...</v>
      </c>
      <c r="K114" s="44" t="str">
        <f t="shared" si="2"/>
        <v>Loading...</v>
      </c>
      <c r="L114" s="45" t="str">
        <f t="shared" si="3"/>
        <v>ke95Lr1rgcz7Ys9OWvxDjxlu5QQUFW8Z7NGoU/xUY50=</v>
      </c>
      <c r="M114" s="46"/>
      <c r="N114" s="46"/>
    </row>
    <row r="115">
      <c r="A115" s="24">
        <v>111.0</v>
      </c>
      <c r="B115" s="26">
        <v>43612.0</v>
      </c>
      <c r="C115" s="81" t="s">
        <v>202</v>
      </c>
      <c r="D115" s="82" t="s">
        <v>185</v>
      </c>
      <c r="E115" s="29" t="s">
        <v>260</v>
      </c>
      <c r="F115" s="31" t="s">
        <v>223</v>
      </c>
      <c r="G115" s="33" t="str">
        <f t="shared" si="6"/>
        <v>5/2019</v>
      </c>
      <c r="H115" s="31" t="str">
        <f t="shared" si="4"/>
        <v>T</v>
      </c>
      <c r="I115" s="31"/>
      <c r="J115" s="31" t="str">
        <f t="shared" si="5"/>
        <v>ke95Lr1rgcz7Ys9OWvxDjxlu5QQUFW8Z7NGoU/xUY50=</v>
      </c>
      <c r="K115" s="31" t="str">
        <f t="shared" si="2"/>
        <v>111 43612 電競實習支援計劃
履歷 及 相關文件翻譯工序
中英文翻譯對照版本 已完成 -- Completed ke95Lr1rgcz7Ys9OWvxDjxlu5QQUFW8Z7NGoU/xUY50=</v>
      </c>
      <c r="L115" s="35" t="str">
        <f t="shared" si="3"/>
        <v>eK9rhU+gondL+vfn7hzfvfxrdN8BGueEATJNbtx7kig=</v>
      </c>
      <c r="M115" s="36"/>
      <c r="N115" s="36"/>
    </row>
    <row r="116">
      <c r="A116" s="85">
        <v>112.0</v>
      </c>
      <c r="B116" s="86">
        <v>43613.0</v>
      </c>
      <c r="C116" s="87" t="s">
        <v>205</v>
      </c>
      <c r="D116" s="85" t="s">
        <v>201</v>
      </c>
      <c r="E116" s="88" t="s">
        <v>183</v>
      </c>
      <c r="F116" s="89" t="s">
        <v>223</v>
      </c>
      <c r="G116" s="90" t="str">
        <f t="shared" si="6"/>
        <v>5/2019</v>
      </c>
      <c r="H116" s="89" t="str">
        <f t="shared" si="4"/>
        <v>T</v>
      </c>
      <c r="I116" s="89"/>
      <c r="J116" s="89" t="str">
        <f t="shared" si="5"/>
        <v>eK9rhU+gondL+vfn7hzfvfxrdN8BGueEATJNbtx7kig=</v>
      </c>
      <c r="K116" s="89" t="str">
        <f t="shared" si="2"/>
        <v>112 43613 3rd Fresh Graduate Support Scheme
2019  -- 3rd CEO Master Talk
Job and Career Talk Show
 已出席 -- Partake eK9rhU+gondL+vfn7hzfvfxrdN8BGueEATJNbtx7kig=</v>
      </c>
      <c r="L116" s="91" t="str">
        <f t="shared" si="3"/>
        <v>b79o/a9P5acqsiXrJbHf4KGgq3DyPcaUaUz+QJdDtrs=</v>
      </c>
      <c r="M116" s="92"/>
      <c r="N116" s="92"/>
    </row>
    <row r="117">
      <c r="A117" s="24"/>
      <c r="B117" s="93"/>
      <c r="C117" s="94"/>
      <c r="D117" s="95"/>
      <c r="E117" s="9"/>
      <c r="F117" s="11"/>
      <c r="G117" s="33"/>
      <c r="H117" s="31"/>
      <c r="I117" s="31"/>
      <c r="J117" s="31"/>
      <c r="K117" s="31"/>
      <c r="L117" s="35"/>
      <c r="M117" s="36"/>
      <c r="N117" s="36"/>
    </row>
  </sheetData>
  <autoFilter ref="$A$2:$L$117"/>
  <conditionalFormatting sqref="E1:E43 F1:F22 G1:G102 H1:H117 E45:E47 E52:E55 E57:E65 E69:E74 E76 E79:E82">
    <cfRule type="cellIs" dxfId="0" priority="1" operator="equal">
      <formula>"T"</formula>
    </cfRule>
  </conditionalFormatting>
  <conditionalFormatting sqref="E1:E43 F1:F22 G1:G102 H1:H117 E45:E47 E52:E55 E57:E65 E69:E74 E76 E79:E82">
    <cfRule type="cellIs" dxfId="1" priority="2" operator="equal">
      <formula>"F"</formula>
    </cfRule>
  </conditionalFormatting>
  <conditionalFormatting sqref="D1:D117 E83:E84 E99:E100">
    <cfRule type="cellIs" dxfId="2" priority="3" operator="equal">
      <formula>"沒有回應 -- No Respond"</formula>
    </cfRule>
  </conditionalFormatting>
  <conditionalFormatting sqref="D1:D117 E83:E84 E99:E100">
    <cfRule type="cellIs" dxfId="3" priority="4" operator="equal">
      <formula>"有出席面試機會 -- Interview Attended"</formula>
    </cfRule>
  </conditionalFormatting>
  <conditionalFormatting sqref="D1:D117 E83:E84 E99:E100">
    <cfRule type="cellIs" dxfId="0" priority="5" operator="equal">
      <formula>"通過 Pass"</formula>
    </cfRule>
  </conditionalFormatting>
  <conditionalFormatting sqref="D1:D117 E83:E84 E99:E100">
    <cfRule type="cellIs" dxfId="1" priority="6" operator="equal">
      <formula>"不通過 Fail"</formula>
    </cfRule>
  </conditionalFormatting>
  <conditionalFormatting sqref="D1:D117 E83:E84 E99:E100">
    <cfRule type="cellIs" dxfId="4" priority="7" operator="equal">
      <formula>"主動取消 Cancelled (Self)"</formula>
    </cfRule>
  </conditionalFormatting>
  <conditionalFormatting sqref="D1:D117 E83:E84 E99:E100">
    <cfRule type="cellIs" dxfId="5" priority="8" operator="equal">
      <formula>"已婉拒 Refused"</formula>
    </cfRule>
  </conditionalFormatting>
  <conditionalFormatting sqref="D1:D117 E83:E84 E99:E100">
    <cfRule type="cellIs" dxfId="4" priority="9" operator="equal">
      <formula>"主辦取消 Cancelled (Org)"</formula>
    </cfRule>
  </conditionalFormatting>
  <conditionalFormatting sqref="D1:D117 E83:E84 E99:E100">
    <cfRule type="cellIs" dxfId="3" priority="10" operator="equal">
      <formula>"已收到申請 Acknowledgement of Application"</formula>
    </cfRule>
  </conditionalFormatting>
  <conditionalFormatting sqref="D1:D117 E83:E84 E99:E100">
    <cfRule type="cellIs" dxfId="6" priority="11" operator="equal">
      <formula>"主辦方拒絕 Host Rejected"</formula>
    </cfRule>
  </conditionalFormatting>
  <conditionalFormatting sqref="D1:D117 E83:E84 E99:E100">
    <cfRule type="cellIs" dxfId="7" priority="12" operator="equal">
      <formula>"大材小用 -- Overqualified"</formula>
    </cfRule>
  </conditionalFormatting>
  <conditionalFormatting sqref="D12">
    <cfRule type="cellIs" dxfId="0" priority="13" operator="equal">
      <formula>"聘用 -- Hired"</formula>
    </cfRule>
  </conditionalFormatting>
  <conditionalFormatting sqref="D1:D117 E83:E84 E99:E100">
    <cfRule type="cellIs" dxfId="8" priority="14" operator="equal">
      <formula>"質疑宗教與個人能力之間的關係 -- Religion Related"</formula>
    </cfRule>
  </conditionalFormatting>
  <conditionalFormatting sqref="D34">
    <cfRule type="cellIs" dxfId="9" priority="15" operator="equal">
      <formula>"職缺已填補 -- No Vacancies"</formula>
    </cfRule>
  </conditionalFormatting>
  <conditionalFormatting sqref="D42 D46 D48 D50 D53:D55 D57:D58 D64 D74 D113 D116">
    <cfRule type="cellIs" dxfId="10" priority="16" operator="equal">
      <formula>"已出席 -- Partake"</formula>
    </cfRule>
  </conditionalFormatting>
  <conditionalFormatting sqref="D84 D99:D101 D111:D112">
    <cfRule type="cellIs" dxfId="11" priority="17" operator="equal">
      <formula>"仍在發展 -- Developmenting"</formula>
    </cfRule>
  </conditionalFormatting>
  <conditionalFormatting sqref="D61 D88">
    <cfRule type="cellIs" dxfId="4" priority="18" operator="equal">
      <formula>"家人拒絕 -- Family Refused"</formula>
    </cfRule>
  </conditionalFormatting>
  <conditionalFormatting sqref="D1:D117">
    <cfRule type="cellIs" dxfId="12" priority="19" operator="equal">
      <formula>"已完成 -- Completed"</formula>
    </cfRule>
  </conditionalFormatting>
  <conditionalFormatting sqref="D1:D117">
    <cfRule type="cellIs" dxfId="13" priority="20" operator="equal">
      <formula>"有出席第二次面試機會 -- 2nd Interview Attended"</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0"/>
    <col customWidth="1" min="2" max="2" width="23.57"/>
    <col customWidth="1" min="3" max="3" width="53.29"/>
    <col customWidth="1" min="4" max="4" width="25.0"/>
    <col customWidth="1" min="5" max="5" width="21.57"/>
  </cols>
  <sheetData>
    <row r="1">
      <c r="A1" s="2" t="s">
        <v>0</v>
      </c>
      <c r="B1" s="4" t="s">
        <v>1</v>
      </c>
      <c r="C1" s="6" t="s">
        <v>2</v>
      </c>
      <c r="D1" s="8" t="s">
        <v>3</v>
      </c>
      <c r="E1" s="2" t="s">
        <v>4</v>
      </c>
    </row>
    <row r="2" ht="50.25" customHeight="1">
      <c r="A2" s="10">
        <v>43593.01536780092</v>
      </c>
      <c r="B2" s="12">
        <v>43457.0</v>
      </c>
      <c r="C2" s="13" t="s">
        <v>5</v>
      </c>
      <c r="D2" s="13" t="s">
        <v>6</v>
      </c>
      <c r="E2" s="13">
        <v>16.0</v>
      </c>
    </row>
    <row r="3" ht="56.25" customHeight="1">
      <c r="A3" s="10">
        <v>43593.00798149305</v>
      </c>
      <c r="B3" s="12">
        <v>43451.0</v>
      </c>
      <c r="C3" s="13" t="s">
        <v>7</v>
      </c>
      <c r="D3" s="13" t="s">
        <v>8</v>
      </c>
      <c r="E3" s="13">
        <v>11.0</v>
      </c>
    </row>
    <row r="4">
      <c r="A4" s="10">
        <v>43593.01099784722</v>
      </c>
      <c r="B4" s="12">
        <v>43448.0</v>
      </c>
      <c r="C4" s="13" t="s">
        <v>9</v>
      </c>
      <c r="D4" s="13" t="s">
        <v>10</v>
      </c>
      <c r="E4" s="13">
        <v>14.0</v>
      </c>
    </row>
    <row r="5">
      <c r="A5" s="10">
        <v>43593.014714756944</v>
      </c>
      <c r="B5" s="12">
        <v>43447.0</v>
      </c>
      <c r="C5" s="13" t="s">
        <v>11</v>
      </c>
      <c r="D5" s="13" t="s">
        <v>6</v>
      </c>
      <c r="E5" s="13">
        <v>15.0</v>
      </c>
    </row>
    <row r="6">
      <c r="A6" s="10">
        <v>43593.00941277778</v>
      </c>
      <c r="B6" s="12">
        <v>43444.0</v>
      </c>
      <c r="C6" s="13" t="s">
        <v>12</v>
      </c>
      <c r="D6" s="13" t="s">
        <v>13</v>
      </c>
      <c r="E6" s="13">
        <v>12.0</v>
      </c>
    </row>
    <row r="7">
      <c r="A7" s="10">
        <v>43593.010064953705</v>
      </c>
      <c r="B7" s="12">
        <v>43444.0</v>
      </c>
      <c r="C7" s="13" t="s">
        <v>14</v>
      </c>
      <c r="D7" s="13" t="s">
        <v>10</v>
      </c>
      <c r="E7" s="13">
        <v>13.0</v>
      </c>
    </row>
    <row r="8">
      <c r="A8" s="10">
        <v>43593.00619384259</v>
      </c>
      <c r="B8" s="12">
        <v>43440.0</v>
      </c>
      <c r="C8" s="13" t="s">
        <v>15</v>
      </c>
      <c r="D8" s="13" t="s">
        <v>10</v>
      </c>
      <c r="E8" s="13">
        <v>10.0</v>
      </c>
    </row>
    <row r="9">
      <c r="A9" s="10">
        <v>43593.004256886576</v>
      </c>
      <c r="B9" s="12">
        <v>43422.0</v>
      </c>
      <c r="C9" s="13" t="s">
        <v>16</v>
      </c>
      <c r="D9" s="13" t="s">
        <v>17</v>
      </c>
      <c r="E9" s="13">
        <v>9.0</v>
      </c>
    </row>
    <row r="10">
      <c r="A10" s="10">
        <v>43593.000784178235</v>
      </c>
      <c r="B10" s="12">
        <v>43397.0</v>
      </c>
      <c r="C10" s="13" t="s">
        <v>18</v>
      </c>
      <c r="D10" s="13" t="s">
        <v>10</v>
      </c>
      <c r="E10" s="13">
        <v>8.0</v>
      </c>
    </row>
    <row r="11">
      <c r="A11" s="10">
        <v>43592.94551346065</v>
      </c>
      <c r="B11" s="12">
        <v>43329.0</v>
      </c>
      <c r="C11" s="13" t="s">
        <v>19</v>
      </c>
      <c r="D11" s="13" t="s">
        <v>6</v>
      </c>
      <c r="E11" s="13">
        <v>7.0</v>
      </c>
    </row>
    <row r="12">
      <c r="A12" s="10">
        <v>43592.94319334491</v>
      </c>
      <c r="B12" s="12">
        <v>42904.0</v>
      </c>
      <c r="C12" s="13" t="s">
        <v>20</v>
      </c>
      <c r="D12" s="13" t="s">
        <v>6</v>
      </c>
      <c r="E12" s="13">
        <v>5.0</v>
      </c>
    </row>
    <row r="13">
      <c r="A13" s="10">
        <v>43592.93715534722</v>
      </c>
      <c r="B13" s="12">
        <v>42903.0</v>
      </c>
      <c r="C13" s="13" t="s">
        <v>21</v>
      </c>
      <c r="D13" s="13" t="s">
        <v>6</v>
      </c>
      <c r="E13" s="13">
        <v>4.0</v>
      </c>
    </row>
    <row r="14">
      <c r="A14" s="10">
        <v>43592.94236508102</v>
      </c>
      <c r="B14" s="12">
        <v>42903.0</v>
      </c>
      <c r="C14" s="13" t="s">
        <v>22</v>
      </c>
      <c r="D14" s="13" t="s">
        <v>23</v>
      </c>
      <c r="E14" s="13">
        <v>6.0</v>
      </c>
    </row>
    <row r="15">
      <c r="A15" s="10">
        <v>43592.935959375</v>
      </c>
      <c r="B15" s="12">
        <v>42900.0</v>
      </c>
      <c r="C15" s="13" t="s">
        <v>27</v>
      </c>
      <c r="D15" s="13" t="s">
        <v>29</v>
      </c>
      <c r="E15" s="13">
        <v>3.0</v>
      </c>
    </row>
    <row r="16">
      <c r="A16" s="18">
        <v>43595.09903174768</v>
      </c>
      <c r="B16" s="20">
        <v>42895.0</v>
      </c>
      <c r="C16" s="21" t="s">
        <v>36</v>
      </c>
      <c r="D16" s="21" t="s">
        <v>38</v>
      </c>
      <c r="E16" s="21">
        <v>17.0</v>
      </c>
    </row>
    <row r="17">
      <c r="A17" s="10">
        <v>43592.93474895833</v>
      </c>
      <c r="B17" s="12">
        <v>42535.0</v>
      </c>
      <c r="C17" s="13" t="s">
        <v>39</v>
      </c>
      <c r="D17" s="13" t="s">
        <v>40</v>
      </c>
      <c r="E17" s="13">
        <v>2.0</v>
      </c>
    </row>
    <row r="18">
      <c r="A18" s="10">
        <v>43592.92849284722</v>
      </c>
      <c r="B18" s="12">
        <v>42148.0</v>
      </c>
      <c r="C18" s="13" t="s">
        <v>41</v>
      </c>
      <c r="D18" s="13" t="s">
        <v>6</v>
      </c>
      <c r="E18" s="13">
        <v>1.0</v>
      </c>
    </row>
    <row r="19">
      <c r="A19" s="23">
        <v>43651.0</v>
      </c>
      <c r="B19" s="25">
        <v>42041.0</v>
      </c>
      <c r="C19" s="28" t="s">
        <v>43</v>
      </c>
      <c r="D19" s="28" t="s">
        <v>6</v>
      </c>
      <c r="E19" s="30">
        <v>0.0</v>
      </c>
    </row>
    <row r="20">
      <c r="A20" s="32">
        <v>43601.017518043984</v>
      </c>
      <c r="B20" s="20">
        <v>42505.0</v>
      </c>
      <c r="C20" s="21" t="s">
        <v>45</v>
      </c>
      <c r="D20" s="21" t="s">
        <v>46</v>
      </c>
      <c r="E20" s="34"/>
    </row>
    <row r="21">
      <c r="A21" s="32">
        <v>43601.018403055554</v>
      </c>
      <c r="B21" s="20">
        <v>42509.0</v>
      </c>
      <c r="C21" s="21" t="s">
        <v>48</v>
      </c>
      <c r="D21" s="21" t="s">
        <v>6</v>
      </c>
      <c r="E21" s="34"/>
    </row>
    <row r="22">
      <c r="A22" s="32">
        <v>43601.019320277774</v>
      </c>
      <c r="B22" s="20">
        <v>42505.0</v>
      </c>
      <c r="C22" s="21" t="s">
        <v>49</v>
      </c>
      <c r="D22" s="21" t="s">
        <v>6</v>
      </c>
      <c r="E22" s="34"/>
    </row>
    <row r="23">
      <c r="A23" s="32">
        <v>43601.020611643515</v>
      </c>
      <c r="B23" s="20">
        <v>42511.0</v>
      </c>
      <c r="C23" s="21" t="s">
        <v>50</v>
      </c>
      <c r="D23" s="21" t="s">
        <v>51</v>
      </c>
      <c r="E23" s="34"/>
    </row>
    <row r="24">
      <c r="A24" s="32">
        <v>43601.02143969908</v>
      </c>
      <c r="B24" s="20">
        <v>42511.0</v>
      </c>
      <c r="C24" s="21" t="s">
        <v>52</v>
      </c>
      <c r="D24" s="21" t="s">
        <v>53</v>
      </c>
      <c r="E24" s="34"/>
    </row>
    <row r="25">
      <c r="A25" s="32">
        <v>43601.02200048611</v>
      </c>
      <c r="B25" s="20">
        <v>42536.0</v>
      </c>
      <c r="C25" s="21" t="s">
        <v>54</v>
      </c>
      <c r="D25" s="21" t="s">
        <v>6</v>
      </c>
      <c r="E25" s="34"/>
    </row>
    <row r="26">
      <c r="A26" s="32">
        <v>43601.02332152778</v>
      </c>
      <c r="B26" s="20">
        <v>42889.0</v>
      </c>
      <c r="C26" s="21" t="s">
        <v>55</v>
      </c>
      <c r="D26" s="21" t="s">
        <v>6</v>
      </c>
      <c r="E26" s="34"/>
    </row>
    <row r="27">
      <c r="A27" s="32">
        <v>43601.02420555556</v>
      </c>
      <c r="B27" s="20">
        <v>42889.0</v>
      </c>
      <c r="C27" s="21" t="s">
        <v>56</v>
      </c>
      <c r="D27" s="21" t="s">
        <v>57</v>
      </c>
      <c r="E27" s="34"/>
    </row>
    <row r="28">
      <c r="A28" s="32">
        <v>43601.024918333336</v>
      </c>
      <c r="B28" s="20">
        <v>42889.0</v>
      </c>
      <c r="C28" s="21" t="s">
        <v>58</v>
      </c>
      <c r="D28" s="21" t="s">
        <v>59</v>
      </c>
      <c r="E28" s="34"/>
    </row>
    <row r="29">
      <c r="A29" s="32">
        <v>43601.02575962963</v>
      </c>
      <c r="B29" s="20">
        <v>42900.0</v>
      </c>
      <c r="C29" s="21" t="s">
        <v>60</v>
      </c>
      <c r="D29" s="21" t="s">
        <v>61</v>
      </c>
      <c r="E29" s="34"/>
    </row>
    <row r="30">
      <c r="A30" s="32">
        <v>43601.02666325231</v>
      </c>
      <c r="B30" s="20">
        <v>42995.0</v>
      </c>
      <c r="C30" s="21" t="s">
        <v>62</v>
      </c>
      <c r="D30" s="21" t="s">
        <v>6</v>
      </c>
      <c r="E30" s="34"/>
    </row>
    <row r="31">
      <c r="A31" s="32">
        <v>43601.02765376157</v>
      </c>
      <c r="B31" s="20">
        <v>42997.0</v>
      </c>
      <c r="C31" s="21" t="s">
        <v>63</v>
      </c>
      <c r="D31" s="21" t="s">
        <v>6</v>
      </c>
      <c r="E31" s="34"/>
    </row>
    <row r="32">
      <c r="A32" s="32">
        <v>43601.04417706019</v>
      </c>
      <c r="B32" s="20">
        <v>43021.0</v>
      </c>
      <c r="C32" s="21" t="s">
        <v>64</v>
      </c>
      <c r="D32" s="21" t="s">
        <v>65</v>
      </c>
      <c r="E32" s="37"/>
    </row>
    <row r="33">
      <c r="A33" s="32">
        <v>43601.04550759259</v>
      </c>
      <c r="B33" s="20">
        <v>43021.0</v>
      </c>
      <c r="C33" s="21" t="s">
        <v>66</v>
      </c>
      <c r="D33" s="21" t="s">
        <v>65</v>
      </c>
      <c r="E33" s="34"/>
    </row>
    <row r="34">
      <c r="A34" s="32">
        <v>43601.02835815972</v>
      </c>
      <c r="B34" s="20">
        <v>43031.0</v>
      </c>
      <c r="C34" s="21" t="s">
        <v>67</v>
      </c>
      <c r="D34" s="21" t="s">
        <v>68</v>
      </c>
      <c r="E34" s="34"/>
    </row>
    <row r="35">
      <c r="A35" s="32">
        <v>43601.02926284722</v>
      </c>
      <c r="B35" s="20">
        <v>43119.0</v>
      </c>
      <c r="C35" s="21" t="s">
        <v>69</v>
      </c>
      <c r="D35" s="21" t="s">
        <v>70</v>
      </c>
      <c r="E35" s="21"/>
    </row>
    <row r="36">
      <c r="A36" s="18">
        <v>43596.036284050926</v>
      </c>
      <c r="B36" s="20">
        <v>43151.0</v>
      </c>
      <c r="C36" s="21" t="s">
        <v>71</v>
      </c>
      <c r="D36" s="21" t="s">
        <v>72</v>
      </c>
      <c r="E36" s="34"/>
    </row>
    <row r="37">
      <c r="A37" s="18">
        <v>43596.057872164354</v>
      </c>
      <c r="B37" s="20">
        <v>43151.0</v>
      </c>
      <c r="C37" s="21" t="s">
        <v>73</v>
      </c>
      <c r="D37" s="21" t="s">
        <v>46</v>
      </c>
      <c r="E37" s="34"/>
    </row>
    <row r="38">
      <c r="A38" s="18">
        <v>43596.13622461805</v>
      </c>
      <c r="B38" s="20">
        <v>43160.0</v>
      </c>
      <c r="C38" s="21" t="s">
        <v>74</v>
      </c>
      <c r="D38" s="21" t="s">
        <v>6</v>
      </c>
      <c r="E38" s="34"/>
    </row>
    <row r="39">
      <c r="A39" s="18">
        <v>43596.13725662037</v>
      </c>
      <c r="B39" s="20">
        <v>43160.0</v>
      </c>
      <c r="C39" s="21" t="s">
        <v>75</v>
      </c>
      <c r="D39" s="21" t="s">
        <v>6</v>
      </c>
      <c r="E39" s="34"/>
    </row>
    <row r="40">
      <c r="A40" s="18">
        <v>43596.138302638894</v>
      </c>
      <c r="B40" s="20">
        <v>43171.0</v>
      </c>
      <c r="C40" s="21" t="s">
        <v>76</v>
      </c>
      <c r="D40" s="21" t="s">
        <v>6</v>
      </c>
      <c r="E40" s="34"/>
    </row>
    <row r="41">
      <c r="A41" s="18">
        <v>43596.1390825</v>
      </c>
      <c r="B41" s="20">
        <v>43172.0</v>
      </c>
      <c r="C41" s="21" t="s">
        <v>77</v>
      </c>
      <c r="D41" s="21" t="s">
        <v>78</v>
      </c>
      <c r="E41" s="34"/>
    </row>
    <row r="42">
      <c r="A42" s="32">
        <v>43601.03067423611</v>
      </c>
      <c r="B42" s="20">
        <v>43193.0</v>
      </c>
      <c r="C42" s="21" t="s">
        <v>80</v>
      </c>
      <c r="D42" s="37" t="s">
        <v>81</v>
      </c>
      <c r="E42" s="21"/>
    </row>
    <row r="43">
      <c r="A43" s="18">
        <v>43596.14059956018</v>
      </c>
      <c r="B43" s="20">
        <v>43347.0</v>
      </c>
      <c r="C43" s="21" t="s">
        <v>82</v>
      </c>
      <c r="D43" s="21" t="s">
        <v>6</v>
      </c>
      <c r="E43" s="34"/>
    </row>
    <row r="44">
      <c r="A44" s="18">
        <v>43596.14123170139</v>
      </c>
      <c r="B44" s="20">
        <v>43347.0</v>
      </c>
      <c r="C44" s="21" t="s">
        <v>83</v>
      </c>
      <c r="D44" s="21" t="s">
        <v>6</v>
      </c>
      <c r="E44" s="34"/>
    </row>
    <row r="45">
      <c r="A45" s="32">
        <v>43600.84438743055</v>
      </c>
      <c r="B45" s="20">
        <v>43353.0</v>
      </c>
      <c r="C45" s="21" t="s">
        <v>84</v>
      </c>
      <c r="D45" s="21" t="s">
        <v>85</v>
      </c>
      <c r="E45" s="34"/>
    </row>
    <row r="46">
      <c r="A46" s="32">
        <v>43600.845505370366</v>
      </c>
      <c r="B46" s="20">
        <v>43357.0</v>
      </c>
      <c r="C46" s="21" t="s">
        <v>86</v>
      </c>
      <c r="D46" s="21" t="s">
        <v>87</v>
      </c>
      <c r="E46" s="34"/>
    </row>
    <row r="47">
      <c r="A47" s="32">
        <v>43600.84637422454</v>
      </c>
      <c r="B47" s="20">
        <v>43357.0</v>
      </c>
      <c r="C47" s="21" t="s">
        <v>88</v>
      </c>
      <c r="D47" s="21" t="s">
        <v>89</v>
      </c>
      <c r="E47" s="34"/>
    </row>
    <row r="48">
      <c r="A48" s="32">
        <v>43600.847379224535</v>
      </c>
      <c r="B48" s="20">
        <v>43432.0</v>
      </c>
      <c r="C48" s="21" t="s">
        <v>90</v>
      </c>
      <c r="D48" s="21" t="s">
        <v>91</v>
      </c>
      <c r="E48" s="34"/>
    </row>
    <row r="49">
      <c r="A49" s="32">
        <v>43600.84834012731</v>
      </c>
      <c r="B49" s="20">
        <v>43427.0</v>
      </c>
      <c r="C49" s="21" t="s">
        <v>92</v>
      </c>
      <c r="D49" s="21" t="s">
        <v>93</v>
      </c>
      <c r="E49" s="34"/>
    </row>
    <row r="50">
      <c r="A50" s="32">
        <v>43601.04833435186</v>
      </c>
      <c r="B50" s="20">
        <v>43472.0</v>
      </c>
      <c r="C50" s="21" t="s">
        <v>94</v>
      </c>
      <c r="D50" s="21" t="s">
        <v>95</v>
      </c>
      <c r="E50" s="34"/>
    </row>
    <row r="51">
      <c r="A51" s="32">
        <v>43601.049077592594</v>
      </c>
      <c r="B51" s="20">
        <v>43472.0</v>
      </c>
      <c r="C51" s="21" t="s">
        <v>96</v>
      </c>
      <c r="D51" s="21" t="s">
        <v>97</v>
      </c>
      <c r="E51" s="21" t="s">
        <v>98</v>
      </c>
    </row>
    <row r="52">
      <c r="A52" s="32">
        <v>43601.04962561342</v>
      </c>
      <c r="B52" s="20">
        <v>43472.0</v>
      </c>
      <c r="C52" s="21" t="s">
        <v>99</v>
      </c>
      <c r="D52" s="21" t="s">
        <v>100</v>
      </c>
      <c r="E52" s="21" t="s">
        <v>101</v>
      </c>
    </row>
    <row r="53">
      <c r="A53" s="32">
        <v>43601.05347162037</v>
      </c>
      <c r="B53" s="20">
        <v>43473.0</v>
      </c>
      <c r="C53" s="21" t="s">
        <v>102</v>
      </c>
      <c r="D53" s="21" t="s">
        <v>103</v>
      </c>
      <c r="E53" s="34"/>
    </row>
    <row r="54">
      <c r="A54" s="32">
        <v>43601.056187395836</v>
      </c>
      <c r="B54" s="20">
        <v>43477.0</v>
      </c>
      <c r="C54" s="21" t="s">
        <v>104</v>
      </c>
      <c r="D54" s="21" t="s">
        <v>97</v>
      </c>
      <c r="E54" s="34"/>
    </row>
    <row r="55">
      <c r="A55" s="32">
        <v>43601.05658986111</v>
      </c>
      <c r="B55" s="20">
        <v>43477.0</v>
      </c>
      <c r="C55" s="21" t="s">
        <v>105</v>
      </c>
      <c r="D55" s="21" t="s">
        <v>100</v>
      </c>
      <c r="E55" s="34"/>
    </row>
    <row r="56">
      <c r="A56" s="32">
        <v>43601.057417662036</v>
      </c>
      <c r="B56" s="20">
        <v>43480.0</v>
      </c>
      <c r="C56" s="21" t="s">
        <v>106</v>
      </c>
      <c r="D56" s="21" t="s">
        <v>107</v>
      </c>
      <c r="E56" s="34"/>
    </row>
    <row r="57">
      <c r="A57" s="32">
        <v>43601.05798241898</v>
      </c>
      <c r="B57" s="20">
        <v>43484.0</v>
      </c>
      <c r="C57" s="21" t="s">
        <v>108</v>
      </c>
      <c r="D57" s="21" t="s">
        <v>107</v>
      </c>
      <c r="E57" s="34"/>
    </row>
    <row r="58">
      <c r="A58" s="32">
        <v>43601.061901608795</v>
      </c>
      <c r="B58" s="20">
        <v>43508.0</v>
      </c>
      <c r="C58" s="21" t="s">
        <v>109</v>
      </c>
      <c r="D58" s="21" t="s">
        <v>110</v>
      </c>
      <c r="E58" s="34"/>
    </row>
    <row r="59">
      <c r="A59" s="32">
        <v>43601.062849594906</v>
      </c>
      <c r="B59" s="20">
        <v>43519.0</v>
      </c>
      <c r="C59" s="21" t="s">
        <v>111</v>
      </c>
      <c r="D59" s="21" t="s">
        <v>112</v>
      </c>
      <c r="E59" s="34"/>
    </row>
    <row r="60">
      <c r="A60" s="32">
        <v>43601.08384516204</v>
      </c>
      <c r="B60" s="20">
        <v>43518.0</v>
      </c>
      <c r="C60" s="21" t="s">
        <v>113</v>
      </c>
      <c r="D60" s="21" t="s">
        <v>6</v>
      </c>
      <c r="E60" s="34"/>
    </row>
    <row r="61">
      <c r="A61" s="32">
        <v>43601.08418142361</v>
      </c>
      <c r="B61" s="20">
        <v>43518.0</v>
      </c>
      <c r="C61" s="21" t="s">
        <v>114</v>
      </c>
      <c r="D61" s="21" t="s">
        <v>6</v>
      </c>
      <c r="E61" s="34"/>
    </row>
    <row r="62">
      <c r="A62" s="32">
        <v>43601.08522271991</v>
      </c>
      <c r="B62" s="20">
        <v>43522.0</v>
      </c>
      <c r="C62" s="21" t="s">
        <v>115</v>
      </c>
      <c r="D62" s="21" t="s">
        <v>6</v>
      </c>
      <c r="E62" s="34"/>
    </row>
    <row r="63">
      <c r="A63" s="32">
        <v>43601.08722715278</v>
      </c>
      <c r="B63" s="20">
        <v>43525.0</v>
      </c>
      <c r="C63" s="21" t="s">
        <v>116</v>
      </c>
      <c r="D63" s="21" t="s">
        <v>117</v>
      </c>
      <c r="E63" s="34"/>
    </row>
    <row r="64">
      <c r="A64" s="32">
        <v>43601.11123660879</v>
      </c>
      <c r="B64" s="20">
        <v>43526.0</v>
      </c>
      <c r="C64" s="21" t="s">
        <v>118</v>
      </c>
      <c r="D64" s="21" t="s">
        <v>119</v>
      </c>
      <c r="E64" s="34"/>
    </row>
    <row r="65">
      <c r="A65" s="32">
        <v>43601.114197013885</v>
      </c>
      <c r="B65" s="20">
        <v>43526.0</v>
      </c>
      <c r="C65" s="21" t="s">
        <v>120</v>
      </c>
      <c r="D65" s="21" t="s">
        <v>121</v>
      </c>
      <c r="E65" s="34"/>
    </row>
    <row r="66">
      <c r="A66" s="32">
        <v>43601.115317766205</v>
      </c>
      <c r="B66" s="20">
        <v>43526.0</v>
      </c>
      <c r="C66" s="21" t="s">
        <v>122</v>
      </c>
      <c r="D66" s="21" t="s">
        <v>6</v>
      </c>
      <c r="E66" s="34"/>
    </row>
    <row r="67">
      <c r="A67" s="32">
        <v>43601.11622725695</v>
      </c>
      <c r="B67" s="20">
        <v>43526.0</v>
      </c>
      <c r="C67" s="21" t="s">
        <v>123</v>
      </c>
      <c r="D67" s="21" t="s">
        <v>6</v>
      </c>
      <c r="E67" s="34"/>
    </row>
    <row r="68">
      <c r="A68" s="32">
        <v>43601.11651760417</v>
      </c>
      <c r="B68" s="20">
        <v>43526.0</v>
      </c>
      <c r="C68" s="21" t="s">
        <v>124</v>
      </c>
      <c r="D68" s="21" t="s">
        <v>6</v>
      </c>
      <c r="E68" s="34"/>
    </row>
    <row r="69">
      <c r="A69" s="32">
        <v>43601.1178209375</v>
      </c>
      <c r="B69" s="20">
        <v>43531.0</v>
      </c>
      <c r="C69" s="21" t="s">
        <v>125</v>
      </c>
      <c r="D69" s="21" t="s">
        <v>57</v>
      </c>
      <c r="E69" s="21" t="s">
        <v>126</v>
      </c>
    </row>
    <row r="70">
      <c r="A70" s="32">
        <v>43601.14771563657</v>
      </c>
      <c r="B70" s="20">
        <v>43533.0</v>
      </c>
      <c r="C70" s="21" t="s">
        <v>127</v>
      </c>
      <c r="D70" s="21" t="s">
        <v>128</v>
      </c>
      <c r="E70" s="34"/>
    </row>
    <row r="71">
      <c r="A71" s="32">
        <v>43601.11858009259</v>
      </c>
      <c r="B71" s="20">
        <v>43534.0</v>
      </c>
      <c r="C71" s="21" t="s">
        <v>129</v>
      </c>
      <c r="D71" s="21" t="s">
        <v>10</v>
      </c>
      <c r="E71" s="34"/>
    </row>
    <row r="72">
      <c r="A72" s="32">
        <v>43601.15021291666</v>
      </c>
      <c r="B72" s="20">
        <v>43537.0</v>
      </c>
      <c r="C72" s="21" t="s">
        <v>130</v>
      </c>
      <c r="D72" s="21" t="s">
        <v>131</v>
      </c>
      <c r="E72" s="34"/>
    </row>
    <row r="73">
      <c r="A73" s="32">
        <v>43601.151110555555</v>
      </c>
      <c r="B73" s="20">
        <v>43537.0</v>
      </c>
      <c r="C73" s="21" t="s">
        <v>132</v>
      </c>
      <c r="D73" s="21" t="s">
        <v>6</v>
      </c>
      <c r="E73" s="34"/>
    </row>
    <row r="74">
      <c r="A74" s="32">
        <v>43601.15247971065</v>
      </c>
      <c r="B74" s="20">
        <v>43537.0</v>
      </c>
      <c r="C74" s="21" t="s">
        <v>133</v>
      </c>
      <c r="D74" s="21" t="s">
        <v>134</v>
      </c>
      <c r="E74" s="34"/>
    </row>
    <row r="75">
      <c r="A75" s="32">
        <v>43601.153372685185</v>
      </c>
      <c r="B75" s="20">
        <v>43537.0</v>
      </c>
      <c r="C75" s="21" t="s">
        <v>135</v>
      </c>
      <c r="D75" s="21" t="s">
        <v>136</v>
      </c>
      <c r="E75" s="34"/>
    </row>
    <row r="76">
      <c r="A76" s="32">
        <v>43601.154617754626</v>
      </c>
      <c r="B76" s="20">
        <v>43541.0</v>
      </c>
      <c r="C76" s="21" t="s">
        <v>137</v>
      </c>
      <c r="D76" s="21" t="s">
        <v>138</v>
      </c>
      <c r="E76" s="21" t="s">
        <v>139</v>
      </c>
    </row>
    <row r="77">
      <c r="A77" s="32">
        <v>43601.155448125</v>
      </c>
      <c r="B77" s="20">
        <v>43541.0</v>
      </c>
      <c r="C77" s="21" t="s">
        <v>140</v>
      </c>
      <c r="D77" s="21" t="s">
        <v>138</v>
      </c>
      <c r="E77" s="34"/>
    </row>
    <row r="78">
      <c r="A78" s="32">
        <v>43601.157167881945</v>
      </c>
      <c r="B78" s="20">
        <v>43547.0</v>
      </c>
      <c r="C78" s="21" t="s">
        <v>141</v>
      </c>
      <c r="D78" s="21" t="s">
        <v>6</v>
      </c>
      <c r="E78" s="34"/>
    </row>
    <row r="79">
      <c r="A79" s="18">
        <v>43595.08923359954</v>
      </c>
      <c r="B79" s="20">
        <v>43547.0</v>
      </c>
      <c r="C79" s="21" t="s">
        <v>142</v>
      </c>
      <c r="D79" s="21" t="s">
        <v>143</v>
      </c>
      <c r="E79" s="34"/>
    </row>
    <row r="80">
      <c r="A80" s="32">
        <v>43601.15812440972</v>
      </c>
      <c r="B80" s="20">
        <v>43544.0</v>
      </c>
      <c r="C80" s="21" t="s">
        <v>144</v>
      </c>
      <c r="D80" s="21" t="s">
        <v>6</v>
      </c>
      <c r="E80" s="21" t="s">
        <v>145</v>
      </c>
    </row>
    <row r="81">
      <c r="A81" s="32">
        <v>43601.15956240741</v>
      </c>
      <c r="B81" s="20">
        <v>43556.0</v>
      </c>
      <c r="C81" s="21" t="s">
        <v>146</v>
      </c>
      <c r="D81" s="21" t="s">
        <v>147</v>
      </c>
      <c r="E81" s="34"/>
    </row>
    <row r="82">
      <c r="A82" s="18">
        <v>43595.09070443287</v>
      </c>
      <c r="B82" s="20">
        <v>43557.0</v>
      </c>
      <c r="C82" s="21" t="s">
        <v>148</v>
      </c>
      <c r="D82" s="48" t="s">
        <v>149</v>
      </c>
      <c r="E82" s="34"/>
    </row>
    <row r="83">
      <c r="A83" s="32">
        <v>43601.16065142361</v>
      </c>
      <c r="B83" s="20">
        <v>43567.0</v>
      </c>
      <c r="C83" s="21" t="s">
        <v>152</v>
      </c>
      <c r="D83" s="21" t="s">
        <v>153</v>
      </c>
      <c r="E83" s="34"/>
    </row>
    <row r="84">
      <c r="A84" s="32">
        <v>43601.161413912036</v>
      </c>
      <c r="B84" s="20">
        <v>43567.0</v>
      </c>
      <c r="C84" s="21" t="s">
        <v>154</v>
      </c>
      <c r="D84" s="21" t="s">
        <v>6</v>
      </c>
      <c r="E84" s="34"/>
    </row>
    <row r="85">
      <c r="A85" s="32">
        <v>43601.16225778935</v>
      </c>
      <c r="B85" s="20">
        <v>43577.0</v>
      </c>
      <c r="C85" s="21" t="s">
        <v>155</v>
      </c>
      <c r="D85" s="21" t="s">
        <v>6</v>
      </c>
      <c r="E85" s="34"/>
    </row>
    <row r="86">
      <c r="A86" s="32">
        <v>43601.1641854051</v>
      </c>
      <c r="B86" s="20">
        <v>43577.0</v>
      </c>
      <c r="C86" s="21" t="s">
        <v>156</v>
      </c>
      <c r="D86" s="21" t="s">
        <v>157</v>
      </c>
      <c r="E86" s="34"/>
    </row>
    <row r="87">
      <c r="A87" s="32">
        <v>43601.165225185185</v>
      </c>
      <c r="B87" s="20">
        <v>43578.0</v>
      </c>
      <c r="C87" s="21" t="s">
        <v>158</v>
      </c>
      <c r="D87" s="21" t="s">
        <v>6</v>
      </c>
      <c r="E87" s="34"/>
    </row>
    <row r="88">
      <c r="A88" s="32">
        <v>43601.16819237269</v>
      </c>
      <c r="B88" s="20">
        <v>43577.0</v>
      </c>
      <c r="C88" s="21" t="s">
        <v>159</v>
      </c>
      <c r="D88" s="21" t="s">
        <v>160</v>
      </c>
      <c r="E88" s="34"/>
    </row>
    <row r="89">
      <c r="A89" s="32">
        <v>43601.170351782406</v>
      </c>
      <c r="B89" s="20">
        <v>43580.0</v>
      </c>
      <c r="C89" s="21" t="s">
        <v>161</v>
      </c>
      <c r="D89" s="21" t="s">
        <v>162</v>
      </c>
      <c r="E89" s="34"/>
    </row>
    <row r="90">
      <c r="A90" s="32">
        <v>43601.17225771991</v>
      </c>
      <c r="B90" s="20">
        <v>43579.0</v>
      </c>
      <c r="C90" s="21" t="s">
        <v>163</v>
      </c>
      <c r="D90" s="21" t="s">
        <v>164</v>
      </c>
      <c r="E90" s="34"/>
    </row>
    <row r="91">
      <c r="A91" s="32">
        <v>43601.173334074076</v>
      </c>
      <c r="B91" s="20">
        <v>43548.0</v>
      </c>
      <c r="C91" s="21" t="s">
        <v>165</v>
      </c>
      <c r="D91" s="21" t="s">
        <v>166</v>
      </c>
      <c r="E91" s="21" t="s">
        <v>167</v>
      </c>
    </row>
    <row r="92">
      <c r="A92" s="32">
        <v>43601.174861770836</v>
      </c>
      <c r="B92" s="20">
        <v>43557.0</v>
      </c>
      <c r="C92" s="21" t="s">
        <v>168</v>
      </c>
      <c r="D92" s="21" t="s">
        <v>169</v>
      </c>
      <c r="E92" s="34"/>
    </row>
    <row r="93">
      <c r="A93" s="32">
        <v>43601.17675327546</v>
      </c>
      <c r="B93" s="20">
        <v>43567.0</v>
      </c>
      <c r="C93" s="21" t="s">
        <v>170</v>
      </c>
      <c r="D93" s="21" t="s">
        <v>171</v>
      </c>
      <c r="E93" s="34"/>
    </row>
    <row r="94">
      <c r="A94" s="32">
        <v>43601.178004166664</v>
      </c>
      <c r="B94" s="20">
        <v>43583.0</v>
      </c>
      <c r="C94" s="21" t="s">
        <v>172</v>
      </c>
      <c r="D94" s="21" t="s">
        <v>173</v>
      </c>
      <c r="E94" s="34"/>
    </row>
    <row r="95">
      <c r="A95" s="32">
        <v>43601.17862934028</v>
      </c>
      <c r="B95" s="20">
        <v>43583.0</v>
      </c>
      <c r="C95" s="21" t="s">
        <v>174</v>
      </c>
      <c r="D95" s="21" t="s">
        <v>173</v>
      </c>
      <c r="E95" s="34"/>
    </row>
    <row r="96">
      <c r="A96" s="18">
        <v>43596.02983118055</v>
      </c>
      <c r="B96" s="20">
        <v>43586.0</v>
      </c>
      <c r="C96" s="21" t="s">
        <v>175</v>
      </c>
      <c r="D96" s="21" t="s">
        <v>176</v>
      </c>
      <c r="E96" s="34"/>
    </row>
    <row r="97">
      <c r="A97" s="32">
        <v>43602.02010652778</v>
      </c>
      <c r="B97" s="49">
        <v>43589.0</v>
      </c>
      <c r="C97" s="21" t="s">
        <v>177</v>
      </c>
      <c r="D97" s="21" t="s">
        <v>178</v>
      </c>
      <c r="E97" s="34"/>
    </row>
    <row r="98">
      <c r="A98" s="32">
        <v>43602.02104236111</v>
      </c>
      <c r="B98" s="49">
        <v>43580.0</v>
      </c>
      <c r="C98" s="21" t="s">
        <v>179</v>
      </c>
      <c r="D98" s="21" t="s">
        <v>180</v>
      </c>
      <c r="E98" s="34"/>
    </row>
    <row r="99">
      <c r="A99" s="32">
        <v>43602.02283436342</v>
      </c>
      <c r="B99" s="49">
        <v>43582.0</v>
      </c>
      <c r="C99" s="21" t="s">
        <v>181</v>
      </c>
      <c r="D99" s="21" t="s">
        <v>150</v>
      </c>
      <c r="E99" s="34"/>
    </row>
    <row r="100">
      <c r="A100" s="50">
        <v>43615.07964646991</v>
      </c>
      <c r="B100" s="54">
        <v>43581.0</v>
      </c>
      <c r="C100" s="55" t="s">
        <v>184</v>
      </c>
      <c r="D100" s="56" t="s">
        <v>185</v>
      </c>
      <c r="E100" s="57"/>
    </row>
    <row r="101">
      <c r="A101" s="32">
        <v>43615.08023209491</v>
      </c>
      <c r="B101" s="49">
        <v>43612.0</v>
      </c>
      <c r="C101" s="21" t="s">
        <v>186</v>
      </c>
      <c r="D101" s="37" t="s">
        <v>185</v>
      </c>
      <c r="E101" s="34"/>
    </row>
    <row r="102">
      <c r="A102" s="32">
        <v>43615.081799479165</v>
      </c>
      <c r="B102" s="49">
        <v>43600.0</v>
      </c>
      <c r="C102" s="21" t="s">
        <v>187</v>
      </c>
      <c r="D102" s="21" t="s">
        <v>150</v>
      </c>
      <c r="E102" s="34"/>
    </row>
    <row r="103">
      <c r="A103" s="32">
        <v>43615.08271701389</v>
      </c>
      <c r="B103" s="49">
        <v>43602.0</v>
      </c>
      <c r="C103" s="21" t="s">
        <v>189</v>
      </c>
      <c r="D103" s="21" t="s">
        <v>185</v>
      </c>
      <c r="E103" s="34"/>
    </row>
    <row r="104">
      <c r="A104" s="32">
        <v>43615.0850291088</v>
      </c>
      <c r="B104" s="49">
        <v>43604.0</v>
      </c>
      <c r="C104" s="21" t="s">
        <v>190</v>
      </c>
      <c r="D104" s="21" t="s">
        <v>191</v>
      </c>
      <c r="E104" s="34"/>
    </row>
    <row r="105">
      <c r="A105" s="32">
        <v>43615.08578444444</v>
      </c>
      <c r="B105" s="49">
        <v>43604.0</v>
      </c>
      <c r="C105" s="21" t="s">
        <v>192</v>
      </c>
      <c r="D105" s="37" t="s">
        <v>185</v>
      </c>
      <c r="E105" s="34"/>
    </row>
    <row r="106">
      <c r="A106" s="32">
        <v>43615.08623702546</v>
      </c>
      <c r="B106" s="49">
        <v>43604.0</v>
      </c>
      <c r="C106" s="21" t="s">
        <v>193</v>
      </c>
      <c r="D106" s="37" t="s">
        <v>185</v>
      </c>
      <c r="E106" s="34"/>
    </row>
    <row r="107">
      <c r="A107" s="32">
        <v>43615.088891956024</v>
      </c>
      <c r="B107" s="49">
        <v>43608.0</v>
      </c>
      <c r="C107" s="21" t="s">
        <v>194</v>
      </c>
      <c r="D107" s="21" t="s">
        <v>195</v>
      </c>
      <c r="E107" s="34"/>
    </row>
    <row r="108">
      <c r="A108" s="32">
        <v>43615.0896440625</v>
      </c>
      <c r="B108" s="49">
        <v>43608.0</v>
      </c>
      <c r="C108" s="21" t="s">
        <v>196</v>
      </c>
      <c r="D108" s="21" t="s">
        <v>197</v>
      </c>
      <c r="E108" s="34"/>
    </row>
    <row r="109">
      <c r="A109" s="32">
        <v>43615.090452592594</v>
      </c>
      <c r="B109" s="49">
        <v>43608.0</v>
      </c>
      <c r="C109" s="21" t="s">
        <v>198</v>
      </c>
      <c r="D109" s="21" t="s">
        <v>199</v>
      </c>
      <c r="E109" s="34"/>
    </row>
    <row r="110">
      <c r="A110" s="32">
        <v>43615.091426122686</v>
      </c>
      <c r="B110" s="49">
        <v>43611.0</v>
      </c>
      <c r="C110" s="21" t="s">
        <v>200</v>
      </c>
      <c r="D110" s="21" t="s">
        <v>201</v>
      </c>
      <c r="E110" s="34"/>
    </row>
    <row r="111">
      <c r="A111" s="32">
        <v>43615.092763333334</v>
      </c>
      <c r="B111" s="49">
        <v>43612.0</v>
      </c>
      <c r="C111" s="21" t="s">
        <v>202</v>
      </c>
      <c r="D111" s="21" t="s">
        <v>185</v>
      </c>
      <c r="E111" s="34"/>
    </row>
    <row r="112">
      <c r="A112" s="32">
        <v>43615.094754074074</v>
      </c>
      <c r="B112" s="49">
        <v>43607.0</v>
      </c>
      <c r="C112" s="21" t="s">
        <v>203</v>
      </c>
      <c r="D112" s="21" t="s">
        <v>204</v>
      </c>
      <c r="E112" s="34"/>
    </row>
    <row r="113">
      <c r="A113" s="32">
        <v>43615.09678310185</v>
      </c>
      <c r="B113" s="49">
        <v>43613.0</v>
      </c>
      <c r="C113" s="21" t="s">
        <v>205</v>
      </c>
      <c r="D113" s="21" t="s">
        <v>201</v>
      </c>
      <c r="E113" s="34"/>
    </row>
    <row r="114">
      <c r="A114" s="60"/>
      <c r="B114" s="61"/>
      <c r="C114" s="62"/>
      <c r="D114" s="62"/>
      <c r="E114" s="63"/>
    </row>
  </sheetData>
  <autoFilter ref="$A$1:$E$19"/>
  <customSheetViews>
    <customSheetView guid="{4A94CAAD-1D10-4873-82D8-208853D25441}" filter="1" showAutoFilter="1">
      <autoFilter ref="$A$1:$A$85"/>
    </customSheetView>
  </customSheetViews>
  <drawing r:id="rId2"/>
  <legacyDrawing r:id="rId3"/>
</worksheet>
</file>