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Nemalogic_Git_Hub\Nematode-Morphometricss\"/>
    </mc:Choice>
  </mc:AlternateContent>
  <xr:revisionPtr revIDLastSave="0" documentId="13_ncr:1_{2EA8AB03-BC66-47BC-BA80-6A17EA0F4F34}" xr6:coauthVersionLast="47" xr6:coauthVersionMax="47" xr10:uidLastSave="{00000000-0000-0000-0000-000000000000}"/>
  <bookViews>
    <workbookView xWindow="4065" yWindow="3570" windowWidth="24600" windowHeight="12165" xr2:uid="{00000000-000D-0000-FFFF-FFFF00000000}"/>
  </bookViews>
  <sheets>
    <sheet name="Metrics" sheetId="1" r:id="rId1"/>
    <sheet name="Characters" sheetId="3" r:id="rId2"/>
  </sheets>
  <definedNames>
    <definedName name="bprime" localSheetId="1">Characters!$A$39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R912" i="1" s="1"/>
  <c r="I2" i="1"/>
  <c r="H2" i="1"/>
  <c r="F2" i="1"/>
  <c r="P815" i="1" s="1"/>
  <c r="E2" i="1"/>
  <c r="D2" i="1"/>
  <c r="Q600" i="1"/>
  <c r="O362" i="1"/>
  <c r="N478" i="1"/>
  <c r="F242" i="1"/>
  <c r="G463" i="1"/>
  <c r="G498" i="1"/>
  <c r="G581" i="1"/>
  <c r="F349" i="1"/>
  <c r="J364" i="1"/>
  <c r="F364" i="1"/>
  <c r="L773" i="1"/>
  <c r="J773" i="1"/>
  <c r="G773" i="1"/>
  <c r="F773" i="1"/>
  <c r="F651" i="1"/>
  <c r="F741" i="1"/>
  <c r="J430" i="1"/>
  <c r="J450" i="1"/>
  <c r="F450" i="1"/>
  <c r="J428" i="1"/>
  <c r="J446" i="1"/>
  <c r="J283" i="1"/>
  <c r="F283" i="1"/>
  <c r="J410" i="1"/>
  <c r="F533" i="1"/>
  <c r="F538" i="1"/>
  <c r="F510" i="1"/>
  <c r="F547" i="1"/>
  <c r="J602" i="1"/>
  <c r="F602" i="1"/>
  <c r="J708" i="1"/>
  <c r="H708" i="1"/>
  <c r="G708" i="1"/>
  <c r="F708" i="1"/>
  <c r="J660" i="1"/>
  <c r="H660" i="1"/>
  <c r="G660" i="1"/>
  <c r="F660" i="1"/>
  <c r="J100" i="1"/>
  <c r="H100" i="1"/>
  <c r="G100" i="1"/>
  <c r="F100" i="1"/>
  <c r="F174" i="1"/>
  <c r="G236" i="1"/>
  <c r="F236" i="1"/>
  <c r="H172" i="1"/>
  <c r="G172" i="1"/>
  <c r="F172" i="1"/>
  <c r="G218" i="1"/>
  <c r="F466" i="1"/>
  <c r="J68" i="1"/>
  <c r="H68" i="1"/>
  <c r="G68" i="1"/>
  <c r="F68" i="1"/>
  <c r="F82" i="1"/>
  <c r="F108" i="1"/>
  <c r="J165" i="1"/>
  <c r="H165" i="1"/>
  <c r="G165" i="1"/>
  <c r="F165" i="1"/>
  <c r="J377" i="1"/>
  <c r="H377" i="1"/>
  <c r="G377" i="1"/>
  <c r="F377" i="1"/>
  <c r="L618" i="1"/>
  <c r="J618" i="1"/>
  <c r="F765" i="1"/>
  <c r="F678" i="1"/>
  <c r="J846" i="1"/>
  <c r="F851" i="1"/>
  <c r="K157" i="1"/>
  <c r="J48" i="1"/>
  <c r="H48" i="1"/>
  <c r="G48" i="1"/>
  <c r="F48" i="1"/>
  <c r="L87" i="1"/>
  <c r="J87" i="1"/>
  <c r="H87" i="1"/>
  <c r="G87" i="1"/>
  <c r="F87" i="1"/>
  <c r="J42" i="1"/>
  <c r="H42" i="1"/>
  <c r="G42" i="1"/>
  <c r="F42" i="1"/>
  <c r="L20" i="1"/>
  <c r="J20" i="1"/>
  <c r="H20" i="1"/>
  <c r="G20" i="1"/>
  <c r="F20" i="1"/>
  <c r="H24" i="1"/>
  <c r="L59" i="1"/>
  <c r="K59" i="1"/>
  <c r="J59" i="1"/>
  <c r="I59" i="1"/>
  <c r="H59" i="1"/>
  <c r="G59" i="1"/>
  <c r="F59" i="1"/>
  <c r="L52" i="1"/>
  <c r="K83" i="1"/>
  <c r="J83" i="1"/>
  <c r="G83" i="1"/>
  <c r="F83" i="1"/>
  <c r="L92" i="1"/>
  <c r="J92" i="1"/>
  <c r="H92" i="1"/>
  <c r="G92" i="1"/>
  <c r="F92" i="1"/>
  <c r="L161" i="1"/>
  <c r="J161" i="1"/>
  <c r="H161" i="1"/>
  <c r="G161" i="1"/>
  <c r="F161" i="1"/>
  <c r="F86" i="1"/>
  <c r="L112" i="1"/>
  <c r="J112" i="1"/>
  <c r="H112" i="1"/>
  <c r="G112" i="1"/>
  <c r="F112" i="1"/>
  <c r="J43" i="1"/>
  <c r="H43" i="1"/>
  <c r="G43" i="1"/>
  <c r="F43" i="1"/>
  <c r="L29" i="1"/>
  <c r="J29" i="1"/>
  <c r="H29" i="1"/>
  <c r="G29" i="1"/>
  <c r="F29" i="1"/>
  <c r="J54" i="1"/>
  <c r="H54" i="1"/>
  <c r="G54" i="1"/>
  <c r="F54" i="1"/>
  <c r="L38" i="1"/>
  <c r="J38" i="1"/>
  <c r="H38" i="1"/>
  <c r="G38" i="1"/>
  <c r="F38" i="1"/>
  <c r="J9" i="1"/>
  <c r="H9" i="1"/>
  <c r="G9" i="1"/>
  <c r="F9" i="1"/>
  <c r="L6" i="1"/>
  <c r="J6" i="1"/>
  <c r="H6" i="1"/>
  <c r="G6" i="1"/>
  <c r="F6" i="1"/>
  <c r="G16" i="1"/>
  <c r="F16" i="1"/>
  <c r="L122" i="1"/>
  <c r="J122" i="1"/>
  <c r="H122" i="1"/>
  <c r="G122" i="1"/>
  <c r="F122" i="1"/>
  <c r="L50" i="1"/>
  <c r="J50" i="1"/>
  <c r="I50" i="1"/>
  <c r="H50" i="1"/>
  <c r="G50" i="1"/>
  <c r="F50" i="1"/>
  <c r="L107" i="1"/>
  <c r="J107" i="1"/>
  <c r="H107" i="1"/>
  <c r="G107" i="1"/>
  <c r="F107" i="1"/>
  <c r="K131" i="1"/>
  <c r="K124" i="1"/>
  <c r="J19" i="1"/>
  <c r="H19" i="1"/>
  <c r="G19" i="1"/>
  <c r="F19" i="1"/>
  <c r="K39" i="1"/>
  <c r="J39" i="1"/>
  <c r="H39" i="1"/>
  <c r="G39" i="1"/>
  <c r="F39" i="1"/>
  <c r="L5" i="1"/>
  <c r="K5" i="1"/>
  <c r="J5" i="1"/>
  <c r="H5" i="1"/>
  <c r="G5" i="1"/>
  <c r="F5" i="1"/>
  <c r="L27" i="1"/>
  <c r="K27" i="1"/>
  <c r="J27" i="1"/>
  <c r="H27" i="1"/>
  <c r="G27" i="1"/>
  <c r="F27" i="1"/>
  <c r="L26" i="1"/>
  <c r="K26" i="1"/>
  <c r="J26" i="1"/>
  <c r="H26" i="1"/>
  <c r="G26" i="1"/>
  <c r="F26" i="1"/>
  <c r="J36" i="1"/>
  <c r="H36" i="1"/>
  <c r="G36" i="1"/>
  <c r="F36" i="1"/>
  <c r="L14" i="1"/>
  <c r="J14" i="1"/>
  <c r="H14" i="1"/>
  <c r="G14" i="1"/>
  <c r="F14" i="1"/>
  <c r="L47" i="1"/>
  <c r="J47" i="1"/>
  <c r="H47" i="1"/>
  <c r="G47" i="1"/>
  <c r="L922" i="1"/>
  <c r="G922" i="1"/>
  <c r="F922" i="1"/>
  <c r="J366" i="1"/>
  <c r="J348" i="1"/>
  <c r="H348" i="1"/>
  <c r="J696" i="1"/>
  <c r="H696" i="1"/>
  <c r="G696" i="1"/>
  <c r="F696" i="1"/>
  <c r="L844" i="1"/>
  <c r="J844" i="1"/>
  <c r="H844" i="1"/>
  <c r="G844" i="1"/>
  <c r="F844" i="1"/>
  <c r="J573" i="1"/>
  <c r="H573" i="1"/>
  <c r="G573" i="1"/>
  <c r="F573" i="1"/>
  <c r="L494" i="1"/>
  <c r="J494" i="1"/>
  <c r="H494" i="1"/>
  <c r="G494" i="1"/>
  <c r="F494" i="1"/>
  <c r="J801" i="1"/>
  <c r="H801" i="1"/>
  <c r="G801" i="1"/>
  <c r="F801" i="1"/>
  <c r="J850" i="1"/>
  <c r="H850" i="1"/>
  <c r="G850" i="1"/>
  <c r="F850" i="1"/>
  <c r="J627" i="1"/>
  <c r="H627" i="1"/>
  <c r="G627" i="1"/>
  <c r="F627" i="1"/>
  <c r="L418" i="1"/>
  <c r="H418" i="1"/>
  <c r="G418" i="1"/>
  <c r="F418" i="1"/>
  <c r="J673" i="1"/>
  <c r="H673" i="1"/>
  <c r="G673" i="1"/>
  <c r="F673" i="1"/>
  <c r="L567" i="1"/>
  <c r="J567" i="1"/>
  <c r="H567" i="1"/>
  <c r="G567" i="1"/>
  <c r="F567" i="1"/>
  <c r="J396" i="1"/>
  <c r="H396" i="1"/>
  <c r="G396" i="1"/>
  <c r="F396" i="1"/>
  <c r="L372" i="1"/>
  <c r="J372" i="1"/>
  <c r="H372" i="1"/>
  <c r="G372" i="1"/>
  <c r="F372" i="1"/>
  <c r="J381" i="1"/>
  <c r="H381" i="1"/>
  <c r="F381" i="1"/>
  <c r="L322" i="1"/>
  <c r="J322" i="1"/>
  <c r="H322" i="1"/>
  <c r="G322" i="1"/>
  <c r="F322" i="1"/>
  <c r="J327" i="1"/>
  <c r="H327" i="1"/>
  <c r="F327" i="1"/>
  <c r="L329" i="1"/>
  <c r="J329" i="1"/>
  <c r="H329" i="1"/>
  <c r="G329" i="1"/>
  <c r="F329" i="1"/>
  <c r="L288" i="1"/>
  <c r="J288" i="1"/>
  <c r="H288" i="1"/>
  <c r="G288" i="1"/>
  <c r="F288" i="1"/>
  <c r="J613" i="1"/>
  <c r="J810" i="1"/>
  <c r="J317" i="1"/>
  <c r="H290" i="1"/>
  <c r="F473" i="1"/>
  <c r="L277" i="1"/>
  <c r="H277" i="1"/>
  <c r="G277" i="1"/>
  <c r="F277" i="1"/>
  <c r="L659" i="1"/>
  <c r="J659" i="1"/>
  <c r="H659" i="1"/>
  <c r="G659" i="1"/>
  <c r="F659" i="1"/>
  <c r="F644" i="1"/>
  <c r="F641" i="1"/>
  <c r="L379" i="1"/>
  <c r="J379" i="1"/>
  <c r="H379" i="1"/>
  <c r="G379" i="1"/>
  <c r="F379" i="1"/>
  <c r="J827" i="1"/>
  <c r="J871" i="1"/>
  <c r="H871" i="1"/>
  <c r="G871" i="1"/>
  <c r="H800" i="1"/>
  <c r="L229" i="1"/>
  <c r="J229" i="1"/>
  <c r="H229" i="1"/>
  <c r="G229" i="1"/>
  <c r="F229" i="1"/>
  <c r="J449" i="1"/>
  <c r="H449" i="1"/>
  <c r="G449" i="1"/>
  <c r="F449" i="1"/>
  <c r="L540" i="1"/>
  <c r="J540" i="1"/>
  <c r="H540" i="1"/>
  <c r="G540" i="1"/>
  <c r="F540" i="1"/>
  <c r="L782" i="1"/>
  <c r="J782" i="1"/>
  <c r="H782" i="1"/>
  <c r="G782" i="1"/>
  <c r="F782" i="1"/>
  <c r="J793" i="1"/>
  <c r="H793" i="1"/>
  <c r="G793" i="1"/>
  <c r="F793" i="1"/>
  <c r="L751" i="1"/>
  <c r="J751" i="1"/>
  <c r="H751" i="1"/>
  <c r="G751" i="1"/>
  <c r="F751" i="1"/>
  <c r="J583" i="1"/>
  <c r="H583" i="1"/>
  <c r="G583" i="1"/>
  <c r="F563" i="1"/>
  <c r="L530" i="1"/>
  <c r="J530" i="1"/>
  <c r="H530" i="1"/>
  <c r="G530" i="1"/>
  <c r="F530" i="1"/>
  <c r="G629" i="1"/>
  <c r="F744" i="1"/>
  <c r="F814" i="1"/>
  <c r="L454" i="1"/>
  <c r="J454" i="1"/>
  <c r="H454" i="1"/>
  <c r="G454" i="1"/>
  <c r="J537" i="1"/>
  <c r="H537" i="1"/>
  <c r="G537" i="1"/>
  <c r="J826" i="1"/>
  <c r="H826" i="1"/>
  <c r="G826" i="1"/>
  <c r="J480" i="1"/>
  <c r="H480" i="1"/>
  <c r="G480" i="1"/>
  <c r="F480" i="1"/>
  <c r="J493" i="1"/>
  <c r="H493" i="1"/>
  <c r="G493" i="1"/>
  <c r="F493" i="1"/>
  <c r="L513" i="1"/>
  <c r="J513" i="1"/>
  <c r="H513" i="1"/>
  <c r="G513" i="1"/>
  <c r="F513" i="1"/>
  <c r="L654" i="1"/>
  <c r="J654" i="1"/>
  <c r="H654" i="1"/>
  <c r="G654" i="1"/>
  <c r="F654" i="1"/>
  <c r="F326" i="1"/>
  <c r="J380" i="1"/>
  <c r="H380" i="1"/>
  <c r="G380" i="1"/>
  <c r="F380" i="1"/>
  <c r="J479" i="1"/>
  <c r="H479" i="1"/>
  <c r="G479" i="1"/>
  <c r="F479" i="1"/>
  <c r="H669" i="1"/>
  <c r="F669" i="1"/>
  <c r="F656" i="1"/>
  <c r="F339" i="1"/>
  <c r="F409" i="1"/>
  <c r="L906" i="1"/>
  <c r="J906" i="1"/>
  <c r="H906" i="1"/>
  <c r="G906" i="1"/>
  <c r="F906" i="1"/>
  <c r="J340" i="1"/>
  <c r="G340" i="1"/>
  <c r="J386" i="1"/>
  <c r="G386" i="1"/>
  <c r="F386" i="1"/>
  <c r="J335" i="1"/>
  <c r="H335" i="1"/>
  <c r="G335" i="1"/>
  <c r="F335" i="1"/>
  <c r="L558" i="1"/>
  <c r="J558" i="1"/>
  <c r="H558" i="1"/>
  <c r="G558" i="1"/>
  <c r="F558" i="1"/>
  <c r="J785" i="1"/>
  <c r="H785" i="1"/>
  <c r="G785" i="1"/>
  <c r="F785" i="1"/>
  <c r="L795" i="1"/>
  <c r="J795" i="1"/>
  <c r="H795" i="1"/>
  <c r="G795" i="1"/>
  <c r="F795" i="1"/>
  <c r="G208" i="1"/>
  <c r="L266" i="1"/>
  <c r="J266" i="1"/>
  <c r="H266" i="1"/>
  <c r="G266" i="1"/>
  <c r="L837" i="1"/>
  <c r="J837" i="1"/>
  <c r="H837" i="1"/>
  <c r="G837" i="1"/>
  <c r="F837" i="1"/>
  <c r="H713" i="1"/>
  <c r="G713" i="1"/>
  <c r="F713" i="1"/>
  <c r="L548" i="1"/>
  <c r="J548" i="1"/>
  <c r="H548" i="1"/>
  <c r="G548" i="1"/>
  <c r="F548" i="1"/>
  <c r="H224" i="1"/>
  <c r="G224" i="1"/>
  <c r="J472" i="1"/>
  <c r="H472" i="1"/>
  <c r="G472" i="1"/>
  <c r="J307" i="1"/>
  <c r="J276" i="1"/>
  <c r="L892" i="1"/>
  <c r="J892" i="1"/>
  <c r="H892" i="1"/>
  <c r="G892" i="1"/>
  <c r="F892" i="1"/>
  <c r="G864" i="1"/>
  <c r="L724" i="1"/>
  <c r="J724" i="1"/>
  <c r="H724" i="1"/>
  <c r="G724" i="1"/>
  <c r="F724" i="1"/>
  <c r="J666" i="1"/>
  <c r="H666" i="1"/>
  <c r="G666" i="1"/>
  <c r="F666" i="1"/>
  <c r="L477" i="1"/>
  <c r="J477" i="1"/>
  <c r="H477" i="1"/>
  <c r="G477" i="1"/>
  <c r="F477" i="1"/>
  <c r="L734" i="1"/>
  <c r="J734" i="1"/>
  <c r="H734" i="1"/>
  <c r="G734" i="1"/>
  <c r="F734" i="1"/>
  <c r="J551" i="1"/>
  <c r="H551" i="1"/>
  <c r="G551" i="1"/>
  <c r="J462" i="1"/>
  <c r="H462" i="1"/>
  <c r="G462" i="1"/>
  <c r="J710" i="1"/>
  <c r="H710" i="1"/>
  <c r="G710" i="1"/>
  <c r="F710" i="1"/>
  <c r="L730" i="1"/>
  <c r="J730" i="1"/>
  <c r="H730" i="1"/>
  <c r="G730" i="1"/>
  <c r="F730" i="1"/>
  <c r="J746" i="1"/>
  <c r="H746" i="1"/>
  <c r="G746" i="1"/>
  <c r="F746" i="1"/>
  <c r="J763" i="1"/>
  <c r="H763" i="1"/>
  <c r="G763" i="1"/>
  <c r="F763" i="1"/>
  <c r="J688" i="1"/>
  <c r="H688" i="1"/>
  <c r="J731" i="1"/>
  <c r="H731" i="1"/>
  <c r="G731" i="1"/>
  <c r="J474" i="1"/>
  <c r="H474" i="1"/>
  <c r="G474" i="1"/>
  <c r="J568" i="1"/>
  <c r="H568" i="1"/>
  <c r="G568" i="1"/>
  <c r="J661" i="1"/>
  <c r="H661" i="1"/>
  <c r="J732" i="1"/>
  <c r="H732" i="1"/>
  <c r="J672" i="1"/>
  <c r="H672" i="1"/>
  <c r="G672" i="1"/>
  <c r="F672" i="1"/>
  <c r="L728" i="1"/>
  <c r="J728" i="1"/>
  <c r="H728" i="1"/>
  <c r="G728" i="1"/>
  <c r="F728" i="1"/>
  <c r="J689" i="1"/>
  <c r="H689" i="1"/>
  <c r="G689" i="1"/>
  <c r="F689" i="1"/>
  <c r="L768" i="1"/>
  <c r="J768" i="1"/>
  <c r="H768" i="1"/>
  <c r="G768" i="1"/>
  <c r="J664" i="1"/>
  <c r="J539" i="1"/>
  <c r="G604" i="1"/>
  <c r="G541" i="1"/>
  <c r="J448" i="1"/>
  <c r="H448" i="1"/>
  <c r="G448" i="1"/>
  <c r="F448" i="1"/>
  <c r="J856" i="1"/>
  <c r="H856" i="1"/>
  <c r="G856" i="1"/>
  <c r="F856" i="1"/>
  <c r="L891" i="1"/>
  <c r="J891" i="1"/>
  <c r="H891" i="1"/>
  <c r="G891" i="1"/>
  <c r="F891" i="1"/>
  <c r="L914" i="1"/>
  <c r="J914" i="1"/>
  <c r="H914" i="1"/>
  <c r="G914" i="1"/>
  <c r="F914" i="1"/>
  <c r="J866" i="1"/>
  <c r="H866" i="1"/>
  <c r="G866" i="1"/>
  <c r="F866" i="1"/>
  <c r="L824" i="1"/>
  <c r="J824" i="1"/>
  <c r="H824" i="1"/>
  <c r="G824" i="1"/>
  <c r="F824" i="1"/>
  <c r="J921" i="1"/>
  <c r="G921" i="1"/>
  <c r="F921" i="1"/>
  <c r="J920" i="1"/>
  <c r="G920" i="1"/>
  <c r="F920" i="1"/>
  <c r="J911" i="1"/>
  <c r="H911" i="1"/>
  <c r="G911" i="1"/>
  <c r="F911" i="1"/>
  <c r="J888" i="1"/>
  <c r="H888" i="1"/>
  <c r="G888" i="1"/>
  <c r="F888" i="1"/>
  <c r="J840" i="1"/>
  <c r="H840" i="1"/>
  <c r="G840" i="1"/>
  <c r="F840" i="1"/>
  <c r="L849" i="1"/>
  <c r="J849" i="1"/>
  <c r="H849" i="1"/>
  <c r="G849" i="1"/>
  <c r="F849" i="1"/>
  <c r="L833" i="1"/>
  <c r="J833" i="1"/>
  <c r="H833" i="1"/>
  <c r="G833" i="1"/>
  <c r="F833" i="1"/>
  <c r="J783" i="1"/>
  <c r="H783" i="1"/>
  <c r="G783" i="1"/>
  <c r="F783" i="1"/>
  <c r="L760" i="1"/>
  <c r="J760" i="1"/>
  <c r="H760" i="1"/>
  <c r="G760" i="1"/>
  <c r="F760" i="1"/>
  <c r="J404" i="1"/>
  <c r="H404" i="1"/>
  <c r="G404" i="1"/>
  <c r="L363" i="1"/>
  <c r="J363" i="1"/>
  <c r="H363" i="1"/>
  <c r="G363" i="1"/>
  <c r="J343" i="1"/>
  <c r="H343" i="1"/>
  <c r="G343" i="1"/>
  <c r="F343" i="1"/>
  <c r="L311" i="1"/>
  <c r="J311" i="1"/>
  <c r="H311" i="1"/>
  <c r="G311" i="1"/>
  <c r="F311" i="1"/>
  <c r="J378" i="1"/>
  <c r="H378" i="1"/>
  <c r="G378" i="1"/>
  <c r="L745" i="1"/>
  <c r="J745" i="1"/>
  <c r="H745" i="1"/>
  <c r="G745" i="1"/>
  <c r="F745" i="1"/>
  <c r="J635" i="1"/>
  <c r="H635" i="1"/>
  <c r="G635" i="1"/>
  <c r="F635" i="1"/>
  <c r="L717" i="1"/>
  <c r="J717" i="1"/>
  <c r="H717" i="1"/>
  <c r="G717" i="1"/>
  <c r="F717" i="1"/>
  <c r="J247" i="1"/>
  <c r="H247" i="1"/>
  <c r="G247" i="1"/>
  <c r="F247" i="1"/>
  <c r="J909" i="1"/>
  <c r="L889" i="1"/>
  <c r="J889" i="1"/>
  <c r="H889" i="1"/>
  <c r="G889" i="1"/>
  <c r="F889" i="1"/>
  <c r="H726" i="1"/>
  <c r="G726" i="1"/>
  <c r="G521" i="1"/>
  <c r="L910" i="1"/>
  <c r="J910" i="1"/>
  <c r="H910" i="1"/>
  <c r="G910" i="1"/>
  <c r="F910" i="1"/>
  <c r="L764" i="1"/>
  <c r="J764" i="1"/>
  <c r="H764" i="1"/>
  <c r="G764" i="1"/>
  <c r="F764" i="1"/>
  <c r="J787" i="1"/>
  <c r="H787" i="1"/>
  <c r="G787" i="1"/>
  <c r="F787" i="1"/>
  <c r="L839" i="1"/>
  <c r="J839" i="1"/>
  <c r="H839" i="1"/>
  <c r="G839" i="1"/>
  <c r="F839" i="1"/>
  <c r="J823" i="1"/>
  <c r="H823" i="1"/>
  <c r="G823" i="1"/>
  <c r="F823" i="1"/>
  <c r="J243" i="1"/>
  <c r="H243" i="1"/>
  <c r="G243" i="1"/>
  <c r="F243" i="1"/>
  <c r="L201" i="1"/>
  <c r="J201" i="1"/>
  <c r="H201" i="1"/>
  <c r="G201" i="1"/>
  <c r="F201" i="1"/>
  <c r="J737" i="1"/>
  <c r="H737" i="1"/>
  <c r="G737" i="1"/>
  <c r="O737" i="1" s="1"/>
  <c r="F737" i="1"/>
  <c r="L487" i="1"/>
  <c r="J487" i="1"/>
  <c r="H487" i="1"/>
  <c r="G487" i="1"/>
  <c r="F487" i="1"/>
  <c r="J855" i="1"/>
  <c r="J860" i="1"/>
  <c r="H860" i="1"/>
  <c r="G860" i="1"/>
  <c r="F860" i="1"/>
  <c r="J670" i="1"/>
  <c r="H670" i="1"/>
  <c r="G670" i="1"/>
  <c r="F670" i="1"/>
  <c r="J699" i="1"/>
  <c r="H699" i="1"/>
  <c r="G699" i="1"/>
  <c r="F699" i="1"/>
  <c r="J509" i="1"/>
  <c r="H509" i="1"/>
  <c r="G509" i="1"/>
  <c r="F509" i="1"/>
  <c r="J230" i="1"/>
  <c r="H230" i="1"/>
  <c r="G230" i="1"/>
  <c r="F230" i="1"/>
  <c r="J587" i="1"/>
  <c r="H587" i="1"/>
  <c r="G587" i="1"/>
  <c r="F587" i="1"/>
  <c r="F883" i="1"/>
  <c r="L334" i="1"/>
  <c r="J334" i="1"/>
  <c r="H334" i="1"/>
  <c r="G334" i="1"/>
  <c r="F334" i="1"/>
  <c r="G310" i="1"/>
  <c r="F310" i="1"/>
  <c r="L585" i="1"/>
  <c r="J585" i="1"/>
  <c r="H585" i="1"/>
  <c r="G585" i="1"/>
  <c r="F585" i="1"/>
  <c r="J766" i="1"/>
  <c r="H766" i="1"/>
  <c r="G766" i="1"/>
  <c r="F766" i="1"/>
  <c r="L806" i="1"/>
  <c r="J806" i="1"/>
  <c r="H806" i="1"/>
  <c r="G806" i="1"/>
  <c r="F806" i="1"/>
  <c r="J512" i="1"/>
  <c r="H512" i="1"/>
  <c r="G512" i="1"/>
  <c r="F512" i="1"/>
  <c r="L799" i="1"/>
  <c r="J799" i="1"/>
  <c r="H799" i="1"/>
  <c r="G799" i="1"/>
  <c r="F799" i="1"/>
  <c r="L848" i="1"/>
  <c r="J848" i="1"/>
  <c r="H848" i="1"/>
  <c r="G848" i="1"/>
  <c r="F848" i="1"/>
  <c r="J622" i="1"/>
  <c r="H622" i="1"/>
  <c r="G622" i="1"/>
  <c r="F622" i="1"/>
  <c r="L431" i="1"/>
  <c r="J431" i="1"/>
  <c r="H431" i="1"/>
  <c r="G431" i="1"/>
  <c r="F431" i="1"/>
  <c r="J701" i="1"/>
  <c r="G701" i="1"/>
  <c r="F701" i="1"/>
  <c r="G395" i="1"/>
  <c r="F395" i="1"/>
  <c r="J780" i="1"/>
  <c r="H780" i="1"/>
  <c r="G780" i="1"/>
  <c r="F780" i="1"/>
  <c r="L321" i="1"/>
  <c r="H321" i="1"/>
  <c r="G321" i="1"/>
  <c r="F321" i="1"/>
  <c r="J647" i="1"/>
  <c r="H647" i="1"/>
  <c r="F647" i="1"/>
  <c r="L716" i="1"/>
  <c r="J716" i="1"/>
  <c r="H716" i="1"/>
  <c r="G716" i="1"/>
  <c r="F716" i="1"/>
  <c r="J757" i="1"/>
  <c r="H757" i="1"/>
  <c r="G757" i="1"/>
  <c r="F757" i="1"/>
  <c r="L812" i="1"/>
  <c r="J812" i="1"/>
  <c r="H812" i="1"/>
  <c r="G812" i="1"/>
  <c r="F812" i="1"/>
  <c r="J818" i="1"/>
  <c r="H818" i="1"/>
  <c r="G818" i="1"/>
  <c r="F818" i="1"/>
  <c r="L803" i="1"/>
  <c r="J803" i="1"/>
  <c r="H803" i="1"/>
  <c r="G803" i="1"/>
  <c r="F803" i="1"/>
  <c r="J882" i="1"/>
  <c r="G882" i="1"/>
  <c r="F882" i="1"/>
  <c r="L847" i="1"/>
  <c r="J847" i="1"/>
  <c r="H847" i="1"/>
  <c r="G847" i="1"/>
  <c r="F847" i="1"/>
  <c r="J879" i="1"/>
  <c r="H879" i="1"/>
  <c r="G879" i="1"/>
  <c r="F879" i="1"/>
  <c r="L775" i="1"/>
  <c r="J775" i="1"/>
  <c r="H775" i="1"/>
  <c r="G775" i="1"/>
  <c r="F775" i="1"/>
  <c r="J707" i="1"/>
  <c r="H707" i="1"/>
  <c r="G707" i="1"/>
  <c r="F707" i="1"/>
  <c r="L397" i="1"/>
  <c r="J397" i="1"/>
  <c r="H397" i="1"/>
  <c r="G397" i="1"/>
  <c r="F397" i="1"/>
  <c r="J739" i="1"/>
  <c r="H739" i="1"/>
  <c r="G739" i="1"/>
  <c r="F739" i="1"/>
  <c r="L517" i="1"/>
  <c r="J517" i="1"/>
  <c r="H517" i="1"/>
  <c r="G517" i="1"/>
  <c r="F517" i="1"/>
  <c r="J831" i="1"/>
  <c r="H831" i="1"/>
  <c r="G831" i="1"/>
  <c r="F831" i="1"/>
  <c r="L624" i="1"/>
  <c r="J624" i="1"/>
  <c r="H624" i="1"/>
  <c r="G624" i="1"/>
  <c r="F624" i="1"/>
  <c r="L779" i="1"/>
  <c r="J779" i="1"/>
  <c r="H779" i="1"/>
  <c r="G779" i="1"/>
  <c r="F779" i="1"/>
  <c r="J667" i="1"/>
  <c r="H667" i="1"/>
  <c r="G667" i="1"/>
  <c r="F667" i="1"/>
  <c r="L770" i="1"/>
  <c r="J770" i="1"/>
  <c r="H770" i="1"/>
  <c r="G770" i="1"/>
  <c r="F770" i="1"/>
  <c r="L705" i="1"/>
  <c r="J705" i="1"/>
  <c r="H705" i="1"/>
  <c r="G705" i="1"/>
  <c r="F705" i="1"/>
  <c r="J714" i="1"/>
  <c r="H714" i="1"/>
  <c r="G714" i="1"/>
  <c r="F714" i="1"/>
  <c r="L820" i="1"/>
  <c r="J820" i="1"/>
  <c r="H820" i="1"/>
  <c r="G820" i="1"/>
  <c r="F820" i="1"/>
  <c r="J756" i="1"/>
  <c r="G756" i="1"/>
  <c r="F756" i="1"/>
  <c r="L743" i="1"/>
  <c r="H743" i="1"/>
  <c r="G743" i="1"/>
  <c r="F743" i="1"/>
  <c r="J198" i="1"/>
  <c r="H198" i="1"/>
  <c r="G198" i="1"/>
  <c r="F198" i="1"/>
  <c r="L320" i="1"/>
  <c r="J320" i="1"/>
  <c r="H320" i="1"/>
  <c r="G320" i="1"/>
  <c r="F320" i="1"/>
  <c r="J146" i="1"/>
  <c r="H146" i="1"/>
  <c r="G146" i="1"/>
  <c r="F146" i="1"/>
  <c r="L206" i="1"/>
  <c r="J206" i="1"/>
  <c r="H206" i="1"/>
  <c r="G206" i="1"/>
  <c r="F206" i="1"/>
  <c r="L588" i="1"/>
  <c r="J588" i="1"/>
  <c r="H588" i="1"/>
  <c r="G588" i="1"/>
  <c r="F588" i="1"/>
  <c r="J640" i="1"/>
  <c r="H640" i="1"/>
  <c r="G640" i="1"/>
  <c r="F640" i="1"/>
  <c r="L495" i="1"/>
  <c r="J495" i="1"/>
  <c r="H495" i="1"/>
  <c r="G495" i="1"/>
  <c r="F495" i="1"/>
  <c r="J562" i="1"/>
  <c r="H562" i="1"/>
  <c r="G562" i="1"/>
  <c r="F562" i="1"/>
  <c r="L834" i="1"/>
  <c r="J834" i="1"/>
  <c r="H834" i="1"/>
  <c r="G834" i="1"/>
  <c r="F834" i="1"/>
  <c r="J500" i="1"/>
  <c r="H500" i="1"/>
  <c r="G500" i="1"/>
  <c r="F500" i="1"/>
  <c r="L619" i="1"/>
  <c r="J619" i="1"/>
  <c r="H619" i="1"/>
  <c r="G619" i="1"/>
  <c r="F619" i="1"/>
  <c r="L261" i="1"/>
  <c r="J261" i="1"/>
  <c r="H261" i="1"/>
  <c r="G261" i="1"/>
  <c r="F261" i="1"/>
  <c r="J239" i="1"/>
  <c r="H239" i="1"/>
  <c r="G239" i="1"/>
  <c r="F239" i="1"/>
  <c r="L649" i="1"/>
  <c r="J649" i="1"/>
  <c r="H649" i="1"/>
  <c r="G649" i="1"/>
  <c r="F649" i="1"/>
  <c r="J789" i="1"/>
  <c r="H789" i="1"/>
  <c r="F789" i="1"/>
  <c r="L804" i="1"/>
  <c r="J804" i="1"/>
  <c r="H804" i="1"/>
  <c r="G804" i="1"/>
  <c r="F804" i="1"/>
  <c r="J342" i="1"/>
  <c r="H342" i="1"/>
  <c r="G342" i="1"/>
  <c r="F342" i="1"/>
  <c r="L634" i="1"/>
  <c r="J634" i="1"/>
  <c r="H634" i="1"/>
  <c r="G634" i="1"/>
  <c r="F634" i="1"/>
  <c r="J598" i="1"/>
  <c r="H598" i="1"/>
  <c r="G598" i="1"/>
  <c r="F598" i="1"/>
  <c r="L697" i="1"/>
  <c r="J697" i="1"/>
  <c r="H697" i="1"/>
  <c r="G697" i="1"/>
  <c r="F697" i="1"/>
  <c r="J318" i="1"/>
  <c r="H318" i="1"/>
  <c r="G318" i="1"/>
  <c r="F318" i="1"/>
  <c r="L426" i="1"/>
  <c r="J426" i="1"/>
  <c r="H426" i="1"/>
  <c r="G426" i="1"/>
  <c r="F426" i="1"/>
  <c r="J881" i="1"/>
  <c r="H881" i="1"/>
  <c r="G881" i="1"/>
  <c r="F881" i="1"/>
  <c r="L862" i="1"/>
  <c r="J862" i="1"/>
  <c r="H862" i="1"/>
  <c r="G862" i="1"/>
  <c r="F862" i="1"/>
  <c r="J880" i="1"/>
  <c r="H880" i="1"/>
  <c r="G880" i="1"/>
  <c r="F880" i="1"/>
  <c r="L861" i="1"/>
  <c r="J861" i="1"/>
  <c r="H861" i="1"/>
  <c r="G861" i="1"/>
  <c r="F861" i="1"/>
  <c r="J531" i="1"/>
  <c r="H531" i="1"/>
  <c r="G531" i="1"/>
  <c r="F531" i="1"/>
  <c r="L425" i="1"/>
  <c r="J425" i="1"/>
  <c r="H425" i="1"/>
  <c r="G425" i="1"/>
  <c r="F425" i="1"/>
  <c r="J796" i="1"/>
  <c r="H796" i="1"/>
  <c r="G796" i="1"/>
  <c r="F796" i="1"/>
  <c r="L808" i="1"/>
  <c r="J808" i="1"/>
  <c r="H808" i="1"/>
  <c r="G808" i="1"/>
  <c r="F808" i="1"/>
  <c r="J119" i="1"/>
  <c r="H119" i="1"/>
  <c r="G119" i="1"/>
  <c r="F119" i="1"/>
  <c r="L693" i="1"/>
  <c r="J693" i="1"/>
  <c r="H693" i="1"/>
  <c r="G693" i="1"/>
  <c r="F693" i="1"/>
  <c r="J162" i="1"/>
  <c r="H162" i="1"/>
  <c r="G162" i="1"/>
  <c r="F162" i="1"/>
  <c r="L374" i="1"/>
  <c r="J374" i="1"/>
  <c r="H374" i="1"/>
  <c r="G374" i="1"/>
  <c r="F374" i="1"/>
  <c r="J750" i="1"/>
  <c r="H750" i="1"/>
  <c r="G750" i="1"/>
  <c r="F750" i="1"/>
  <c r="L807" i="1"/>
  <c r="J807" i="1"/>
  <c r="H807" i="1"/>
  <c r="G807" i="1"/>
  <c r="F807" i="1"/>
  <c r="J246" i="1"/>
  <c r="H246" i="1"/>
  <c r="G246" i="1"/>
  <c r="F246" i="1"/>
  <c r="L577" i="1"/>
  <c r="J577" i="1"/>
  <c r="H577" i="1"/>
  <c r="G577" i="1"/>
  <c r="F577" i="1"/>
  <c r="J857" i="1"/>
  <c r="H857" i="1"/>
  <c r="G857" i="1"/>
  <c r="F857" i="1"/>
  <c r="L863" i="1"/>
  <c r="J863" i="1"/>
  <c r="H863" i="1"/>
  <c r="G863" i="1"/>
  <c r="F863" i="1"/>
  <c r="J901" i="1"/>
  <c r="H901" i="1"/>
  <c r="G901" i="1"/>
  <c r="F901" i="1"/>
  <c r="L896" i="1"/>
  <c r="J896" i="1"/>
  <c r="H896" i="1"/>
  <c r="G896" i="1"/>
  <c r="F896" i="1"/>
  <c r="J156" i="1"/>
  <c r="H156" i="1"/>
  <c r="G156" i="1"/>
  <c r="F156" i="1"/>
  <c r="L312" i="1"/>
  <c r="R312" i="1" s="1"/>
  <c r="J312" i="1"/>
  <c r="H312" i="1"/>
  <c r="G312" i="1"/>
  <c r="F312" i="1"/>
  <c r="J886" i="1"/>
  <c r="H886" i="1"/>
  <c r="G886" i="1"/>
  <c r="F886" i="1"/>
  <c r="J867" i="1"/>
  <c r="H867" i="1"/>
  <c r="G867" i="1"/>
  <c r="F867" i="1"/>
  <c r="J222" i="1"/>
  <c r="H222" i="1"/>
  <c r="G222" i="1"/>
  <c r="F222" i="1"/>
  <c r="L399" i="1"/>
  <c r="J399" i="1"/>
  <c r="H399" i="1"/>
  <c r="G399" i="1"/>
  <c r="F399" i="1"/>
  <c r="J606" i="1"/>
  <c r="H606" i="1"/>
  <c r="G606" i="1"/>
  <c r="F606" i="1"/>
  <c r="L791" i="1"/>
  <c r="J791" i="1"/>
  <c r="H791" i="1"/>
  <c r="G791" i="1"/>
  <c r="F791" i="1"/>
  <c r="J109" i="1"/>
  <c r="H109" i="1"/>
  <c r="G109" i="1"/>
  <c r="F109" i="1"/>
  <c r="L460" i="1"/>
  <c r="J460" i="1"/>
  <c r="H460" i="1"/>
  <c r="G460" i="1"/>
  <c r="F460" i="1"/>
  <c r="J887" i="1"/>
  <c r="H887" i="1"/>
  <c r="G887" i="1"/>
  <c r="F887" i="1"/>
  <c r="L895" i="1"/>
  <c r="J895" i="1"/>
  <c r="H895" i="1"/>
  <c r="G895" i="1"/>
  <c r="F895" i="1"/>
  <c r="J918" i="1"/>
  <c r="H918" i="1"/>
  <c r="G918" i="1"/>
  <c r="F918" i="1"/>
  <c r="L919" i="1"/>
  <c r="J919" i="1"/>
  <c r="H919" i="1"/>
  <c r="G919" i="1"/>
  <c r="F919" i="1"/>
  <c r="J907" i="1"/>
  <c r="H907" i="1"/>
  <c r="G907" i="1"/>
  <c r="F907" i="1"/>
  <c r="L908" i="1"/>
  <c r="J908" i="1"/>
  <c r="H908" i="1"/>
  <c r="G908" i="1"/>
  <c r="F908" i="1"/>
  <c r="J852" i="1"/>
  <c r="H852" i="1"/>
  <c r="G852" i="1"/>
  <c r="F852" i="1"/>
  <c r="L877" i="1"/>
  <c r="J877" i="1"/>
  <c r="H877" i="1"/>
  <c r="G877" i="1"/>
  <c r="F877" i="1"/>
  <c r="J884" i="1"/>
  <c r="H884" i="1"/>
  <c r="G884" i="1"/>
  <c r="F884" i="1"/>
  <c r="L900" i="1"/>
  <c r="J900" i="1"/>
  <c r="H900" i="1"/>
  <c r="G900" i="1"/>
  <c r="F900" i="1"/>
  <c r="J393" i="1"/>
  <c r="H393" i="1"/>
  <c r="G393" i="1"/>
  <c r="F393" i="1"/>
  <c r="L582" i="1"/>
  <c r="J582" i="1"/>
  <c r="H582" i="1"/>
  <c r="G582" i="1"/>
  <c r="F582" i="1"/>
  <c r="J913" i="1"/>
  <c r="H913" i="1"/>
  <c r="G913" i="1"/>
  <c r="F913" i="1"/>
  <c r="L916" i="1"/>
  <c r="J916" i="1"/>
  <c r="H916" i="1"/>
  <c r="G916" i="1"/>
  <c r="F916" i="1"/>
  <c r="J915" i="1"/>
  <c r="H915" i="1"/>
  <c r="G915" i="1"/>
  <c r="F915" i="1"/>
  <c r="L902" i="1"/>
  <c r="J902" i="1"/>
  <c r="H902" i="1"/>
  <c r="G902" i="1"/>
  <c r="F902" i="1"/>
  <c r="J233" i="1"/>
  <c r="H233" i="1"/>
  <c r="G233" i="1"/>
  <c r="F233" i="1"/>
  <c r="L502" i="1"/>
  <c r="J502" i="1"/>
  <c r="H502" i="1"/>
  <c r="G502" i="1"/>
  <c r="F502" i="1"/>
  <c r="J903" i="1"/>
  <c r="H903" i="1"/>
  <c r="G903" i="1"/>
  <c r="F903" i="1"/>
  <c r="J872" i="1"/>
  <c r="H872" i="1"/>
  <c r="G872" i="1"/>
  <c r="F872" i="1"/>
  <c r="L894" i="1"/>
  <c r="J894" i="1"/>
  <c r="H894" i="1"/>
  <c r="G894" i="1"/>
  <c r="F894" i="1"/>
  <c r="J853" i="1"/>
  <c r="H853" i="1"/>
  <c r="G853" i="1"/>
  <c r="F853" i="1"/>
  <c r="L905" i="1"/>
  <c r="J905" i="1"/>
  <c r="H905" i="1"/>
  <c r="G905" i="1"/>
  <c r="F905" i="1"/>
  <c r="J556" i="1"/>
  <c r="H556" i="1"/>
  <c r="G556" i="1"/>
  <c r="F556" i="1"/>
  <c r="L805" i="1"/>
  <c r="J805" i="1"/>
  <c r="H805" i="1"/>
  <c r="G805" i="1"/>
  <c r="F805" i="1"/>
  <c r="J432" i="1"/>
  <c r="H432" i="1"/>
  <c r="G432" i="1"/>
  <c r="F432" i="1"/>
  <c r="L868" i="1"/>
  <c r="J868" i="1"/>
  <c r="H868" i="1"/>
  <c r="G868" i="1"/>
  <c r="F868" i="1"/>
  <c r="H209" i="1"/>
  <c r="G209" i="1"/>
  <c r="F209" i="1"/>
  <c r="L375" i="1"/>
  <c r="H375" i="1"/>
  <c r="G375" i="1"/>
  <c r="F375" i="1"/>
  <c r="F778" i="1"/>
  <c r="L859" i="1"/>
  <c r="J859" i="1"/>
  <c r="G859" i="1"/>
  <c r="F859" i="1"/>
  <c r="H784" i="1"/>
  <c r="G784" i="1"/>
  <c r="F784" i="1"/>
  <c r="L774" i="1"/>
  <c r="J774" i="1"/>
  <c r="H774" i="1"/>
  <c r="G774" i="1"/>
  <c r="F774" i="1"/>
  <c r="L69" i="1"/>
  <c r="J69" i="1"/>
  <c r="H69" i="1"/>
  <c r="G69" i="1"/>
  <c r="F69" i="1"/>
  <c r="J73" i="1"/>
  <c r="H73" i="1"/>
  <c r="G73" i="1"/>
  <c r="O73" i="1" s="1"/>
  <c r="F73" i="1"/>
  <c r="L35" i="1"/>
  <c r="R35" i="1" s="1"/>
  <c r="J35" i="1"/>
  <c r="H35" i="1"/>
  <c r="G35" i="1"/>
  <c r="F35" i="1"/>
  <c r="F924" i="1"/>
  <c r="J151" i="1"/>
  <c r="H151" i="1"/>
  <c r="G151" i="1"/>
  <c r="F151" i="1"/>
  <c r="L212" i="1"/>
  <c r="J212" i="1"/>
  <c r="H212" i="1"/>
  <c r="G212" i="1"/>
  <c r="F212" i="1"/>
  <c r="J668" i="1"/>
  <c r="H668" i="1"/>
  <c r="G668" i="1"/>
  <c r="F668" i="1"/>
  <c r="L414" i="1"/>
  <c r="J414" i="1"/>
  <c r="H414" i="1"/>
  <c r="G414" i="1"/>
  <c r="F414" i="1"/>
  <c r="J333" i="1"/>
  <c r="H333" i="1"/>
  <c r="G333" i="1"/>
  <c r="F333" i="1"/>
  <c r="L164" i="1"/>
  <c r="J164" i="1"/>
  <c r="H164" i="1"/>
  <c r="G164" i="1"/>
  <c r="F164" i="1"/>
  <c r="J105" i="1"/>
  <c r="H105" i="1"/>
  <c r="G105" i="1"/>
  <c r="F105" i="1"/>
  <c r="L769" i="1"/>
  <c r="J769" i="1"/>
  <c r="H769" i="1"/>
  <c r="G769" i="1"/>
  <c r="F769" i="1"/>
  <c r="J690" i="1"/>
  <c r="H690" i="1"/>
  <c r="G690" i="1"/>
  <c r="F690" i="1"/>
  <c r="L829" i="1"/>
  <c r="J829" i="1"/>
  <c r="H829" i="1"/>
  <c r="G829" i="1"/>
  <c r="F829" i="1"/>
  <c r="J376" i="1"/>
  <c r="G376" i="1"/>
  <c r="F376" i="1"/>
  <c r="L506" i="1"/>
  <c r="J506" i="1"/>
  <c r="G506" i="1"/>
  <c r="F506" i="1"/>
  <c r="J214" i="1"/>
  <c r="H214" i="1"/>
  <c r="G214" i="1"/>
  <c r="F214" i="1"/>
  <c r="L197" i="1"/>
  <c r="J197" i="1"/>
  <c r="H197" i="1"/>
  <c r="G197" i="1"/>
  <c r="F197" i="1"/>
  <c r="H781" i="1"/>
  <c r="G781" i="1"/>
  <c r="F781" i="1"/>
  <c r="L508" i="1"/>
  <c r="R508" i="1" s="1"/>
  <c r="J508" i="1"/>
  <c r="H508" i="1"/>
  <c r="G508" i="1"/>
  <c r="F508" i="1"/>
  <c r="H899" i="1"/>
  <c r="G899" i="1"/>
  <c r="F899" i="1"/>
  <c r="L875" i="1"/>
  <c r="J875" i="1"/>
  <c r="H875" i="1"/>
  <c r="G875" i="1"/>
  <c r="F875" i="1"/>
  <c r="J123" i="1"/>
  <c r="H123" i="1"/>
  <c r="G123" i="1"/>
  <c r="F123" i="1"/>
  <c r="L298" i="1"/>
  <c r="J298" i="1"/>
  <c r="H298" i="1"/>
  <c r="G298" i="1"/>
  <c r="F298" i="1"/>
  <c r="J240" i="1"/>
  <c r="H240" i="1"/>
  <c r="G240" i="1"/>
  <c r="F240" i="1"/>
  <c r="L219" i="1"/>
  <c r="J219" i="1"/>
  <c r="H219" i="1"/>
  <c r="G219" i="1"/>
  <c r="F219" i="1"/>
  <c r="J93" i="1"/>
  <c r="H93" i="1"/>
  <c r="G93" i="1"/>
  <c r="F93" i="1"/>
  <c r="L103" i="1"/>
  <c r="J103" i="1"/>
  <c r="H103" i="1"/>
  <c r="G103" i="1"/>
  <c r="F103" i="1"/>
  <c r="J870" i="1"/>
  <c r="H870" i="1"/>
  <c r="G870" i="1"/>
  <c r="J858" i="1"/>
  <c r="H858" i="1"/>
  <c r="G858" i="1"/>
  <c r="J330" i="1"/>
  <c r="G330" i="1"/>
  <c r="F330" i="1"/>
  <c r="J140" i="1"/>
  <c r="H140" i="1"/>
  <c r="G140" i="1"/>
  <c r="O140" i="1" s="1"/>
  <c r="F140" i="1"/>
  <c r="L98" i="1"/>
  <c r="J98" i="1"/>
  <c r="H98" i="1"/>
  <c r="G98" i="1"/>
  <c r="F98" i="1"/>
  <c r="J564" i="1"/>
  <c r="H564" i="1"/>
  <c r="G564" i="1"/>
  <c r="F564" i="1"/>
  <c r="L352" i="1"/>
  <c r="J352" i="1"/>
  <c r="H352" i="1"/>
  <c r="G352" i="1"/>
  <c r="F352" i="1"/>
  <c r="J328" i="1"/>
  <c r="H328" i="1"/>
  <c r="G328" i="1"/>
  <c r="F328" i="1"/>
  <c r="L482" i="1"/>
  <c r="J482" i="1"/>
  <c r="H482" i="1"/>
  <c r="G482" i="1"/>
  <c r="F482" i="1"/>
  <c r="J249" i="1"/>
  <c r="H249" i="1"/>
  <c r="G249" i="1"/>
  <c r="F249" i="1"/>
  <c r="L777" i="1"/>
  <c r="J777" i="1"/>
  <c r="H777" i="1"/>
  <c r="G777" i="1"/>
  <c r="F777" i="1"/>
  <c r="N777" i="1" s="1"/>
  <c r="J471" i="1"/>
  <c r="H471" i="1"/>
  <c r="G471" i="1"/>
  <c r="F471" i="1"/>
  <c r="L373" i="1"/>
  <c r="J373" i="1"/>
  <c r="H373" i="1"/>
  <c r="G373" i="1"/>
  <c r="O373" i="1" s="1"/>
  <c r="F373" i="1"/>
  <c r="H227" i="1"/>
  <c r="G227" i="1"/>
  <c r="L62" i="1"/>
  <c r="J62" i="1"/>
  <c r="H62" i="1"/>
  <c r="G62" i="1"/>
  <c r="O62" i="1" s="1"/>
  <c r="J452" i="1"/>
  <c r="G452" i="1"/>
  <c r="L344" i="1"/>
  <c r="J344" i="1"/>
  <c r="H344" i="1"/>
  <c r="G344" i="1"/>
  <c r="F344" i="1"/>
  <c r="F842" i="1"/>
  <c r="J930" i="1"/>
  <c r="G930" i="1"/>
  <c r="F930" i="1"/>
  <c r="L830" i="1"/>
  <c r="J830" i="1"/>
  <c r="H830" i="1"/>
  <c r="G830" i="1"/>
  <c r="F830" i="1"/>
  <c r="J929" i="1"/>
  <c r="G929" i="1"/>
  <c r="F929" i="1"/>
  <c r="L476" i="1"/>
  <c r="J476" i="1"/>
  <c r="H476" i="1"/>
  <c r="G476" i="1"/>
  <c r="F476" i="1"/>
  <c r="J928" i="1"/>
  <c r="G928" i="1"/>
  <c r="F928" i="1"/>
  <c r="L484" i="1"/>
  <c r="J484" i="1"/>
  <c r="H484" i="1"/>
  <c r="G484" i="1"/>
  <c r="F484" i="1"/>
  <c r="J927" i="1"/>
  <c r="G927" i="1"/>
  <c r="F927" i="1"/>
  <c r="F926" i="1"/>
  <c r="J925" i="1"/>
  <c r="G925" i="1"/>
  <c r="F925" i="1"/>
  <c r="J526" i="1"/>
  <c r="F685" i="1"/>
  <c r="J412" i="1"/>
  <c r="G412" i="1"/>
  <c r="F412" i="1"/>
  <c r="L297" i="1"/>
  <c r="J297" i="1"/>
  <c r="G297" i="1"/>
  <c r="F297" i="1"/>
  <c r="N297" i="1" s="1"/>
  <c r="J358" i="1"/>
  <c r="H358" i="1"/>
  <c r="G358" i="1"/>
  <c r="F358" i="1"/>
  <c r="L355" i="1"/>
  <c r="J355" i="1"/>
  <c r="H355" i="1"/>
  <c r="G355" i="1"/>
  <c r="O355" i="1" s="1"/>
  <c r="F355" i="1"/>
  <c r="L37" i="1"/>
  <c r="R37" i="1" s="1"/>
  <c r="J37" i="1"/>
  <c r="H37" i="1"/>
  <c r="G37" i="1"/>
  <c r="O37" i="1" s="1"/>
  <c r="F37" i="1"/>
  <c r="J148" i="1"/>
  <c r="H148" i="1"/>
  <c r="G148" i="1"/>
  <c r="F148" i="1"/>
  <c r="L128" i="1"/>
  <c r="J128" i="1"/>
  <c r="H128" i="1"/>
  <c r="G128" i="1"/>
  <c r="F128" i="1"/>
  <c r="J64" i="1"/>
  <c r="H64" i="1"/>
  <c r="G64" i="1"/>
  <c r="O64" i="1" s="1"/>
  <c r="F64" i="1"/>
  <c r="L41" i="1"/>
  <c r="J41" i="1"/>
  <c r="H41" i="1"/>
  <c r="G41" i="1"/>
  <c r="F41" i="1"/>
  <c r="N41" i="1" s="1"/>
  <c r="H286" i="1"/>
  <c r="G286" i="1"/>
  <c r="F286" i="1"/>
  <c r="L270" i="1"/>
  <c r="J270" i="1"/>
  <c r="H270" i="1"/>
  <c r="G270" i="1"/>
  <c r="F270" i="1"/>
  <c r="J576" i="1"/>
  <c r="H576" i="1"/>
  <c r="G576" i="1"/>
  <c r="F576" i="1"/>
  <c r="L542" i="1"/>
  <c r="R542" i="1" s="1"/>
  <c r="J542" i="1"/>
  <c r="H542" i="1"/>
  <c r="G542" i="1"/>
  <c r="F542" i="1"/>
  <c r="J316" i="1"/>
  <c r="H316" i="1"/>
  <c r="G316" i="1"/>
  <c r="F316" i="1"/>
  <c r="L367" i="1"/>
  <c r="J367" i="1"/>
  <c r="H367" i="1"/>
  <c r="G367" i="1"/>
  <c r="O367" i="1" s="1"/>
  <c r="F367" i="1"/>
  <c r="J195" i="1"/>
  <c r="H195" i="1"/>
  <c r="G195" i="1"/>
  <c r="O195" i="1" s="1"/>
  <c r="F195" i="1"/>
  <c r="L141" i="1"/>
  <c r="J141" i="1"/>
  <c r="H141" i="1"/>
  <c r="G141" i="1"/>
  <c r="F141" i="1"/>
  <c r="J384" i="1"/>
  <c r="J166" i="1"/>
  <c r="H166" i="1"/>
  <c r="G166" i="1"/>
  <c r="F166" i="1"/>
  <c r="L193" i="1"/>
  <c r="R193" i="1" s="1"/>
  <c r="J193" i="1"/>
  <c r="H193" i="1"/>
  <c r="G193" i="1"/>
  <c r="F193" i="1"/>
  <c r="N193" i="1" s="1"/>
  <c r="J213" i="1"/>
  <c r="H213" i="1"/>
  <c r="G213" i="1"/>
  <c r="F213" i="1"/>
  <c r="N213" i="1" s="1"/>
  <c r="L359" i="1"/>
  <c r="J359" i="1"/>
  <c r="H359" i="1"/>
  <c r="G359" i="1"/>
  <c r="F359" i="1"/>
  <c r="J511" i="1"/>
  <c r="H511" i="1"/>
  <c r="G511" i="1"/>
  <c r="F511" i="1"/>
  <c r="F438" i="1"/>
  <c r="J719" i="1"/>
  <c r="H719" i="1"/>
  <c r="G719" i="1"/>
  <c r="F719" i="1"/>
  <c r="L625" i="1"/>
  <c r="J625" i="1"/>
  <c r="H625" i="1"/>
  <c r="G625" i="1"/>
  <c r="F625" i="1"/>
  <c r="J434" i="1"/>
  <c r="H434" i="1"/>
  <c r="G434" i="1"/>
  <c r="L357" i="1"/>
  <c r="R357" i="1" s="1"/>
  <c r="J357" i="1"/>
  <c r="H357" i="1"/>
  <c r="G357" i="1"/>
  <c r="F357" i="1"/>
  <c r="L187" i="1"/>
  <c r="R187" i="1" s="1"/>
  <c r="J187" i="1"/>
  <c r="G187" i="1"/>
  <c r="J369" i="1"/>
  <c r="H369" i="1"/>
  <c r="G369" i="1"/>
  <c r="F369" i="1"/>
  <c r="L492" i="1"/>
  <c r="R492" i="1" s="1"/>
  <c r="J492" i="1"/>
  <c r="H492" i="1"/>
  <c r="G492" i="1"/>
  <c r="F492" i="1"/>
  <c r="J216" i="1"/>
  <c r="H216" i="1"/>
  <c r="G216" i="1"/>
  <c r="F216" i="1"/>
  <c r="L228" i="1"/>
  <c r="R228" i="1" s="1"/>
  <c r="J228" i="1"/>
  <c r="H228" i="1"/>
  <c r="G228" i="1"/>
  <c r="F228" i="1"/>
  <c r="J155" i="1"/>
  <c r="H155" i="1"/>
  <c r="G155" i="1"/>
  <c r="F155" i="1"/>
  <c r="N155" i="1" s="1"/>
  <c r="L183" i="1"/>
  <c r="R183" i="1" s="1"/>
  <c r="J183" i="1"/>
  <c r="H183" i="1"/>
  <c r="G183" i="1"/>
  <c r="F183" i="1"/>
  <c r="J303" i="1"/>
  <c r="H303" i="1"/>
  <c r="G303" i="1"/>
  <c r="F303" i="1"/>
  <c r="L294" i="1"/>
  <c r="J294" i="1"/>
  <c r="H294" i="1"/>
  <c r="G294" i="1"/>
  <c r="F294" i="1"/>
  <c r="J273" i="1"/>
  <c r="H273" i="1"/>
  <c r="G273" i="1"/>
  <c r="F273" i="1"/>
  <c r="L461" i="1"/>
  <c r="J461" i="1"/>
  <c r="H461" i="1"/>
  <c r="G461" i="1"/>
  <c r="F461" i="1"/>
  <c r="J142" i="1"/>
  <c r="H142" i="1"/>
  <c r="G142" i="1"/>
  <c r="F142" i="1"/>
  <c r="L199" i="1"/>
  <c r="J199" i="1"/>
  <c r="H199" i="1"/>
  <c r="G199" i="1"/>
  <c r="O199" i="1" s="1"/>
  <c r="F199" i="1"/>
  <c r="N199" i="1" s="1"/>
  <c r="J194" i="1"/>
  <c r="H194" i="1"/>
  <c r="G194" i="1"/>
  <c r="F194" i="1"/>
  <c r="N194" i="1" s="1"/>
  <c r="L215" i="1"/>
  <c r="J215" i="1"/>
  <c r="H215" i="1"/>
  <c r="G215" i="1"/>
  <c r="F215" i="1"/>
  <c r="J186" i="1"/>
  <c r="H186" i="1"/>
  <c r="G186" i="1"/>
  <c r="F186" i="1"/>
  <c r="L202" i="1"/>
  <c r="J202" i="1"/>
  <c r="H202" i="1"/>
  <c r="P202" i="1" s="1"/>
  <c r="G202" i="1"/>
  <c r="F202" i="1"/>
  <c r="J798" i="1"/>
  <c r="H798" i="1"/>
  <c r="G798" i="1"/>
  <c r="F798" i="1"/>
  <c r="J677" i="1"/>
  <c r="H677" i="1"/>
  <c r="G677" i="1"/>
  <c r="F677" i="1"/>
  <c r="G815" i="1"/>
  <c r="F815" i="1"/>
  <c r="J704" i="1"/>
  <c r="H704" i="1"/>
  <c r="G704" i="1"/>
  <c r="F704" i="1"/>
  <c r="O930" i="1" l="1"/>
  <c r="P270" i="1"/>
  <c r="P199" i="1"/>
  <c r="R128" i="1"/>
  <c r="O432" i="1"/>
  <c r="O760" i="1"/>
  <c r="R98" i="1"/>
  <c r="P103" i="1"/>
  <c r="O640" i="1"/>
  <c r="O502" i="1"/>
  <c r="O840" i="1"/>
  <c r="R379" i="1"/>
  <c r="N719" i="1"/>
  <c r="O41" i="1"/>
  <c r="O297" i="1"/>
  <c r="N303" i="1"/>
  <c r="N461" i="1"/>
  <c r="N216" i="1"/>
  <c r="R41" i="1"/>
  <c r="R484" i="1"/>
  <c r="O123" i="1"/>
  <c r="P215" i="1"/>
  <c r="P303" i="1"/>
  <c r="N357" i="1"/>
  <c r="N576" i="1"/>
  <c r="R830" i="1"/>
  <c r="O330" i="1"/>
  <c r="O412" i="1"/>
  <c r="O434" i="1"/>
  <c r="O270" i="1"/>
  <c r="O564" i="1"/>
  <c r="N249" i="1"/>
  <c r="N438" i="1"/>
  <c r="N492" i="1"/>
  <c r="N270" i="1"/>
  <c r="N842" i="1"/>
  <c r="N128" i="1"/>
  <c r="N926" i="1"/>
  <c r="N883" i="1"/>
  <c r="N141" i="1"/>
  <c r="N298" i="1"/>
  <c r="O93" i="1"/>
  <c r="O460" i="1"/>
  <c r="O820" i="1"/>
  <c r="O230" i="1"/>
  <c r="O901" i="1"/>
  <c r="O812" i="1"/>
  <c r="O155" i="1"/>
  <c r="O815" i="1"/>
  <c r="O719" i="1"/>
  <c r="O445" i="1"/>
  <c r="O440" i="1"/>
  <c r="O499" i="1"/>
  <c r="O18" i="1"/>
  <c r="N369" i="1"/>
  <c r="R367" i="1"/>
  <c r="O476" i="1"/>
  <c r="O781" i="1"/>
  <c r="R320" i="1"/>
  <c r="O482" i="1"/>
  <c r="O376" i="1"/>
  <c r="O369" i="1"/>
  <c r="O359" i="1"/>
  <c r="N316" i="1"/>
  <c r="R355" i="1"/>
  <c r="O344" i="1"/>
  <c r="O105" i="1"/>
  <c r="R414" i="1"/>
  <c r="R202" i="1"/>
  <c r="N815" i="1"/>
  <c r="R199" i="1"/>
  <c r="O625" i="1"/>
  <c r="O316" i="1"/>
  <c r="R270" i="1"/>
  <c r="N471" i="1"/>
  <c r="N775" i="1"/>
  <c r="N563" i="1"/>
  <c r="O142" i="1"/>
  <c r="R294" i="1"/>
  <c r="O187" i="1"/>
  <c r="R359" i="1"/>
  <c r="O286" i="1"/>
  <c r="N927" i="1"/>
  <c r="R344" i="1"/>
  <c r="O870" i="1"/>
  <c r="O872" i="1"/>
  <c r="N195" i="1"/>
  <c r="O484" i="1"/>
  <c r="O830" i="1"/>
  <c r="O214" i="1"/>
  <c r="O690" i="1"/>
  <c r="N713" i="1"/>
  <c r="O751" i="1"/>
  <c r="P677" i="1"/>
  <c r="O215" i="1"/>
  <c r="O303" i="1"/>
  <c r="O358" i="1"/>
  <c r="O829" i="1"/>
  <c r="O668" i="1"/>
  <c r="O148" i="1"/>
  <c r="O452" i="1"/>
  <c r="O328" i="1"/>
  <c r="O884" i="1"/>
  <c r="O277" i="1"/>
  <c r="O461" i="1"/>
  <c r="O798" i="1"/>
  <c r="O880" i="1"/>
  <c r="P492" i="1"/>
  <c r="O193" i="1"/>
  <c r="P195" i="1"/>
  <c r="Q830" i="1"/>
  <c r="Q214" i="1"/>
  <c r="Q690" i="1"/>
  <c r="O333" i="1"/>
  <c r="Q903" i="1"/>
  <c r="Q425" i="1"/>
  <c r="Q318" i="1"/>
  <c r="Q766" i="1"/>
  <c r="Q717" i="1"/>
  <c r="Q892" i="1"/>
  <c r="Q698" i="1"/>
  <c r="Q273" i="1"/>
  <c r="Q195" i="1"/>
  <c r="Q37" i="1"/>
  <c r="Q352" i="1"/>
  <c r="Q432" i="1"/>
  <c r="Q877" i="1"/>
  <c r="Q887" i="1"/>
  <c r="Q896" i="1"/>
  <c r="Q500" i="1"/>
  <c r="Q146" i="1"/>
  <c r="Q879" i="1"/>
  <c r="Q477" i="1"/>
  <c r="Q340" i="1"/>
  <c r="Q810" i="1"/>
  <c r="Q254" i="1"/>
  <c r="Q915" i="1"/>
  <c r="Q862" i="1"/>
  <c r="Q342" i="1"/>
  <c r="Q799" i="1"/>
  <c r="Q672" i="1"/>
  <c r="Q613" i="1"/>
  <c r="Q573" i="1"/>
  <c r="Q738" i="1"/>
  <c r="Q434" i="1"/>
  <c r="Q69" i="1"/>
  <c r="Q853" i="1"/>
  <c r="Q919" i="1"/>
  <c r="Q606" i="1"/>
  <c r="Q577" i="1"/>
  <c r="Q119" i="1"/>
  <c r="Q239" i="1"/>
  <c r="Q770" i="1"/>
  <c r="Q397" i="1"/>
  <c r="Q785" i="1"/>
  <c r="Q449" i="1"/>
  <c r="Q815" i="1"/>
  <c r="Q193" i="1"/>
  <c r="Q64" i="1"/>
  <c r="Q526" i="1"/>
  <c r="Q928" i="1"/>
  <c r="Q930" i="1"/>
  <c r="Q249" i="1"/>
  <c r="Q769" i="1"/>
  <c r="Q502" i="1"/>
  <c r="Q886" i="1"/>
  <c r="Q431" i="1"/>
  <c r="Q585" i="1"/>
  <c r="Q891" i="1"/>
  <c r="Q768" i="1"/>
  <c r="Q104" i="1"/>
  <c r="Q369" i="1"/>
  <c r="Q367" i="1"/>
  <c r="Q93" i="1"/>
  <c r="Q805" i="1"/>
  <c r="Q834" i="1"/>
  <c r="Q787" i="1"/>
  <c r="Q635" i="1"/>
  <c r="Q462" i="1"/>
  <c r="Q625" i="1"/>
  <c r="Q355" i="1"/>
  <c r="Q373" i="1"/>
  <c r="Q564" i="1"/>
  <c r="Q414" i="1"/>
  <c r="Q916" i="1"/>
  <c r="Q852" i="1"/>
  <c r="Q804" i="1"/>
  <c r="Q831" i="1"/>
  <c r="Q855" i="1"/>
  <c r="Q783" i="1"/>
  <c r="Q666" i="1"/>
  <c r="Q472" i="1"/>
  <c r="Q375" i="1"/>
  <c r="Q228" i="1"/>
  <c r="Q187" i="1"/>
  <c r="Q166" i="1"/>
  <c r="Q270" i="1"/>
  <c r="Q123" i="1"/>
  <c r="Q376" i="1"/>
  <c r="Q894" i="1"/>
  <c r="Q399" i="1"/>
  <c r="Q808" i="1"/>
  <c r="Q881" i="1"/>
  <c r="Q261" i="1"/>
  <c r="Q588" i="1"/>
  <c r="Q512" i="1"/>
  <c r="Q558" i="1"/>
  <c r="Q229" i="1"/>
  <c r="Q142" i="1"/>
  <c r="Q384" i="1"/>
  <c r="Q476" i="1"/>
  <c r="Q482" i="1"/>
  <c r="Q900" i="1"/>
  <c r="Q918" i="1"/>
  <c r="Q312" i="1"/>
  <c r="Q667" i="1"/>
  <c r="Q909" i="1"/>
  <c r="Q888" i="1"/>
  <c r="Q266" i="1"/>
  <c r="Q605" i="1"/>
  <c r="Q359" i="1"/>
  <c r="Q344" i="1"/>
  <c r="Q858" i="1"/>
  <c r="Q105" i="1"/>
  <c r="Q233" i="1"/>
  <c r="Q598" i="1"/>
  <c r="Q622" i="1"/>
  <c r="Q509" i="1"/>
  <c r="Q689" i="1"/>
  <c r="Q826" i="1"/>
  <c r="Q801" i="1"/>
  <c r="Q14" i="1"/>
  <c r="R205" i="1"/>
  <c r="Q215" i="1"/>
  <c r="Q303" i="1"/>
  <c r="Q316" i="1"/>
  <c r="Q98" i="1"/>
  <c r="Q908" i="1"/>
  <c r="Q109" i="1"/>
  <c r="Q162" i="1"/>
  <c r="Q789" i="1"/>
  <c r="Q562" i="1"/>
  <c r="Q517" i="1"/>
  <c r="R764" i="1"/>
  <c r="R745" i="1"/>
  <c r="R526" i="1"/>
  <c r="Q521" i="1"/>
  <c r="Q719" i="1"/>
  <c r="Q358" i="1"/>
  <c r="Q471" i="1"/>
  <c r="Q197" i="1"/>
  <c r="Q913" i="1"/>
  <c r="Q426" i="1"/>
  <c r="Q757" i="1"/>
  <c r="Q806" i="1"/>
  <c r="Q611" i="1"/>
  <c r="Q202" i="1"/>
  <c r="Q199" i="1"/>
  <c r="Q929" i="1"/>
  <c r="Q452" i="1"/>
  <c r="Q868" i="1"/>
  <c r="Q872" i="1"/>
  <c r="Q807" i="1"/>
  <c r="Q796" i="1"/>
  <c r="Q619" i="1"/>
  <c r="Q779" i="1"/>
  <c r="Q823" i="1"/>
  <c r="Q247" i="1"/>
  <c r="Q911" i="1"/>
  <c r="Q734" i="1"/>
  <c r="R704" i="1"/>
  <c r="O816" i="1"/>
  <c r="Q541" i="1"/>
  <c r="Q461" i="1"/>
  <c r="Q798" i="1"/>
  <c r="Q148" i="1"/>
  <c r="Q328" i="1"/>
  <c r="Q164" i="1"/>
  <c r="Q156" i="1"/>
  <c r="Q848" i="1"/>
  <c r="Q699" i="1"/>
  <c r="Q448" i="1"/>
  <c r="Q728" i="1"/>
  <c r="Q513" i="1"/>
  <c r="Q842" i="1"/>
  <c r="Q874" i="1"/>
  <c r="Q333" i="1"/>
  <c r="Q155" i="1"/>
  <c r="Q183" i="1"/>
  <c r="Q357" i="1"/>
  <c r="Q213" i="1"/>
  <c r="Q542" i="1"/>
  <c r="Q297" i="1"/>
  <c r="Q495" i="1"/>
  <c r="Q705" i="1"/>
  <c r="Q910" i="1"/>
  <c r="Q795" i="1"/>
  <c r="O636" i="1"/>
  <c r="Q419" i="1"/>
  <c r="Q677" i="1"/>
  <c r="Q194" i="1"/>
  <c r="Q41" i="1"/>
  <c r="Q62" i="1"/>
  <c r="Q777" i="1"/>
  <c r="Q140" i="1"/>
  <c r="Q212" i="1"/>
  <c r="Q73" i="1"/>
  <c r="Q859" i="1"/>
  <c r="Q582" i="1"/>
  <c r="Q907" i="1"/>
  <c r="Q739" i="1"/>
  <c r="Q479" i="1"/>
  <c r="Q454" i="1"/>
  <c r="P358" i="1"/>
  <c r="N253" i="1"/>
  <c r="Q289" i="1"/>
  <c r="O439" i="1"/>
  <c r="Q286" i="1"/>
  <c r="Q499" i="1"/>
  <c r="Q636" i="1"/>
  <c r="N546" i="1"/>
  <c r="N875" i="1"/>
  <c r="Q18" i="1"/>
  <c r="Q559" i="1"/>
  <c r="Q726" i="1"/>
  <c r="Q744" i="1"/>
  <c r="Q439" i="1"/>
  <c r="N434" i="1"/>
  <c r="O565" i="1"/>
  <c r="N181" i="1"/>
  <c r="P478" i="1"/>
  <c r="Q899" i="1"/>
  <c r="Q774" i="1"/>
  <c r="Q743" i="1"/>
  <c r="Q709" i="1"/>
  <c r="Q703" i="1"/>
  <c r="Q844" i="1"/>
  <c r="R439" i="1"/>
  <c r="Q740" i="1"/>
  <c r="Q565" i="1"/>
  <c r="Q181" i="1"/>
  <c r="Q478" i="1"/>
  <c r="Q508" i="1"/>
  <c r="N778" i="1"/>
  <c r="Q331" i="1"/>
  <c r="N921" i="1"/>
  <c r="Q391" i="1"/>
  <c r="N445" i="1"/>
  <c r="N625" i="1"/>
  <c r="Q712" i="1"/>
  <c r="N816" i="1"/>
  <c r="O227" i="1"/>
  <c r="O738" i="1"/>
  <c r="O104" i="1"/>
  <c r="Q778" i="1"/>
  <c r="Q205" i="1"/>
  <c r="N263" i="1"/>
  <c r="Q663" i="1"/>
  <c r="Q445" i="1"/>
  <c r="N148" i="1"/>
  <c r="Q816" i="1"/>
  <c r="Q253" i="1"/>
  <c r="O190" i="1"/>
  <c r="R104" i="1"/>
  <c r="Q209" i="1"/>
  <c r="Q306" i="1"/>
  <c r="Q746" i="1"/>
  <c r="Q759" i="1"/>
  <c r="R677" i="1"/>
  <c r="Q898" i="1"/>
  <c r="O101" i="1"/>
  <c r="R190" i="1"/>
  <c r="O272" i="1"/>
  <c r="N913" i="1"/>
  <c r="Q245" i="1"/>
  <c r="Q878" i="1"/>
  <c r="Q890" i="1"/>
  <c r="Q372" i="1"/>
  <c r="N186" i="1"/>
  <c r="Q412" i="1"/>
  <c r="R898" i="1"/>
  <c r="Q101" i="1"/>
  <c r="O72" i="1"/>
  <c r="Q506" i="1"/>
  <c r="Q876" i="1"/>
  <c r="Q395" i="1"/>
  <c r="N307" i="1"/>
  <c r="Q676" i="1"/>
  <c r="N215" i="1"/>
  <c r="O926" i="1"/>
  <c r="N370" i="1"/>
  <c r="Q72" i="1"/>
  <c r="R769" i="1"/>
  <c r="Q893" i="1"/>
  <c r="Q143" i="1"/>
  <c r="Q761" i="1"/>
  <c r="Q301" i="1"/>
  <c r="O273" i="1"/>
  <c r="N511" i="1"/>
  <c r="Q370" i="1"/>
  <c r="R352" i="1"/>
  <c r="O151" i="1"/>
  <c r="Q246" i="1"/>
  <c r="Q287" i="1"/>
  <c r="O423" i="1"/>
  <c r="Q237" i="1"/>
  <c r="N183" i="1"/>
  <c r="O384" i="1"/>
  <c r="N126" i="1"/>
  <c r="Q484" i="1"/>
  <c r="N408" i="1"/>
  <c r="Q924" i="1"/>
  <c r="Q819" i="1"/>
  <c r="Q204" i="1"/>
  <c r="Q339" i="1"/>
  <c r="R790" i="1"/>
  <c r="P36" i="1"/>
  <c r="O228" i="1"/>
  <c r="N385" i="1"/>
  <c r="O126" i="1"/>
  <c r="O928" i="1"/>
  <c r="P408" i="1"/>
  <c r="R858" i="1"/>
  <c r="R924" i="1"/>
  <c r="Q304" i="1"/>
  <c r="Q167" i="1"/>
  <c r="O326" i="1"/>
  <c r="O385" i="1"/>
  <c r="Q126" i="1"/>
  <c r="P830" i="1"/>
  <c r="Q408" i="1"/>
  <c r="O374" i="1"/>
  <c r="Q809" i="1"/>
  <c r="Q543" i="1"/>
  <c r="Q407" i="1"/>
  <c r="Q440" i="1"/>
  <c r="Q385" i="1"/>
  <c r="O526" i="1"/>
  <c r="O842" i="1"/>
  <c r="N698" i="1"/>
  <c r="N615" i="1"/>
  <c r="Q657" i="1"/>
  <c r="Q147" i="1"/>
  <c r="P142" i="1"/>
  <c r="P193" i="1"/>
  <c r="P64" i="1"/>
  <c r="P499" i="1"/>
  <c r="P181" i="1"/>
  <c r="P93" i="1"/>
  <c r="P740" i="1"/>
  <c r="P482" i="1"/>
  <c r="P539" i="1"/>
  <c r="P166" i="1"/>
  <c r="P219" i="1"/>
  <c r="P732" i="1"/>
  <c r="P467" i="1"/>
  <c r="P186" i="1"/>
  <c r="P369" i="1"/>
  <c r="P128" i="1"/>
  <c r="P254" i="1"/>
  <c r="P829" i="1"/>
  <c r="P596" i="1"/>
  <c r="N384" i="1"/>
  <c r="N565" i="1"/>
  <c r="N227" i="1"/>
  <c r="P445" i="1"/>
  <c r="P273" i="1"/>
  <c r="P228" i="1"/>
  <c r="P511" i="1"/>
  <c r="P565" i="1"/>
  <c r="P227" i="1"/>
  <c r="P546" i="1"/>
  <c r="P875" i="1"/>
  <c r="P148" i="1"/>
  <c r="N429" i="1"/>
  <c r="N589" i="1"/>
  <c r="N561" i="1"/>
  <c r="N729" i="1"/>
  <c r="N435" i="1"/>
  <c r="N607" i="1"/>
  <c r="N603" i="1"/>
  <c r="N371" i="1"/>
  <c r="N220" i="1"/>
  <c r="N752" i="1"/>
  <c r="N309" i="1"/>
  <c r="N706" i="1"/>
  <c r="N504" i="1"/>
  <c r="N486" i="1"/>
  <c r="N283" i="1"/>
  <c r="N665" i="1"/>
  <c r="N510" i="1"/>
  <c r="N695" i="1"/>
  <c r="N341" i="1"/>
  <c r="N285" i="1"/>
  <c r="N390" i="1"/>
  <c r="N571" i="1"/>
  <c r="N747" i="1"/>
  <c r="N267" i="1"/>
  <c r="N457" i="1"/>
  <c r="N507" i="1"/>
  <c r="N748" i="1"/>
  <c r="N458" i="1"/>
  <c r="N522" i="1"/>
  <c r="N545" i="1"/>
  <c r="N153" i="1"/>
  <c r="N292" i="1"/>
  <c r="N735" i="1"/>
  <c r="N416" i="1"/>
  <c r="N643" i="1"/>
  <c r="N723" i="1"/>
  <c r="N430" i="1"/>
  <c r="N655" i="1"/>
  <c r="N459" i="1"/>
  <c r="N402" i="1"/>
  <c r="N347" i="1"/>
  <c r="N417" i="1"/>
  <c r="N463" i="1"/>
  <c r="N275" i="1"/>
  <c r="N364" i="1"/>
  <c r="N515" i="1"/>
  <c r="N595" i="1"/>
  <c r="N491" i="1"/>
  <c r="N314" i="1"/>
  <c r="N313" i="1"/>
  <c r="N569" i="1"/>
  <c r="N682" i="1"/>
  <c r="N639" i="1"/>
  <c r="N691" i="1"/>
  <c r="N612" i="1"/>
  <c r="N485" i="1"/>
  <c r="N869" i="1"/>
  <c r="N251" i="1"/>
  <c r="N465" i="1"/>
  <c r="N242" i="1"/>
  <c r="N497" i="1"/>
  <c r="N323" i="1"/>
  <c r="N742" i="1"/>
  <c r="N601" i="1"/>
  <c r="N406" i="1"/>
  <c r="N382" i="1"/>
  <c r="N822" i="1"/>
  <c r="N489" i="1"/>
  <c r="N586" i="1"/>
  <c r="N593" i="1"/>
  <c r="N106" i="1"/>
  <c r="N481" i="1"/>
  <c r="N76" i="1"/>
  <c r="N466" i="1"/>
  <c r="N196" i="1"/>
  <c r="N618" i="1"/>
  <c r="N388" i="1"/>
  <c r="N692" i="1"/>
  <c r="N594" i="1"/>
  <c r="N524" i="1"/>
  <c r="N718" i="1"/>
  <c r="N279" i="1"/>
  <c r="N345" i="1"/>
  <c r="N400" i="1"/>
  <c r="N923" i="1"/>
  <c r="N498" i="1"/>
  <c r="N305" i="1"/>
  <c r="N662" i="1"/>
  <c r="N633" i="1"/>
  <c r="N483" i="1"/>
  <c r="N674" i="1"/>
  <c r="N721" i="1"/>
  <c r="N792" i="1"/>
  <c r="N525" i="1"/>
  <c r="N519" i="1"/>
  <c r="N658" i="1"/>
  <c r="N244" i="1"/>
  <c r="N424" i="1"/>
  <c r="N405" i="1"/>
  <c r="N584" i="1"/>
  <c r="N771" i="1"/>
  <c r="N671" i="1"/>
  <c r="N616" i="1"/>
  <c r="N528" i="1"/>
  <c r="N518" i="1"/>
  <c r="N361" i="1"/>
  <c r="N575" i="1"/>
  <c r="N648" i="1"/>
  <c r="N645" i="1"/>
  <c r="N651" i="1"/>
  <c r="N741" i="1"/>
  <c r="N470" i="1"/>
  <c r="N554" i="1"/>
  <c r="N579" i="1"/>
  <c r="N475" i="1"/>
  <c r="N336" i="1"/>
  <c r="N533" i="1"/>
  <c r="N523" i="1"/>
  <c r="N702" i="1"/>
  <c r="N257" i="1"/>
  <c r="N236" i="1"/>
  <c r="N621" i="1"/>
  <c r="N160" i="1"/>
  <c r="N274" i="1"/>
  <c r="N171" i="1"/>
  <c r="N226" i="1"/>
  <c r="N614" i="1"/>
  <c r="N271" i="1"/>
  <c r="N350" i="1"/>
  <c r="N360" i="1"/>
  <c r="N753" i="1"/>
  <c r="N628" i="1"/>
  <c r="N403" i="1"/>
  <c r="N383" i="1"/>
  <c r="N268" i="1"/>
  <c r="N544" i="1"/>
  <c r="N265" i="1"/>
  <c r="N415" i="1"/>
  <c r="N686" i="1"/>
  <c r="N727" i="1"/>
  <c r="N501" i="1"/>
  <c r="N469" i="1"/>
  <c r="N683" i="1"/>
  <c r="N420" i="1"/>
  <c r="N392" i="1"/>
  <c r="N574" i="1"/>
  <c r="N100" i="1"/>
  <c r="N572" i="1"/>
  <c r="N221" i="1"/>
  <c r="N238" i="1"/>
  <c r="N280" i="1"/>
  <c r="N158" i="1"/>
  <c r="N113" i="1"/>
  <c r="N527" i="1"/>
  <c r="N581" i="1"/>
  <c r="N173" i="1"/>
  <c r="N264" i="1"/>
  <c r="N608" i="1"/>
  <c r="N451" i="1"/>
  <c r="N505" i="1"/>
  <c r="N733" i="1"/>
  <c r="N444" i="1"/>
  <c r="N450" i="1"/>
  <c r="N428" i="1"/>
  <c r="N410" i="1"/>
  <c r="N387" i="1"/>
  <c r="N642" i="1"/>
  <c r="N660" i="1"/>
  <c r="N99" i="1"/>
  <c r="N637" i="1"/>
  <c r="N422" i="1"/>
  <c r="N211" i="1"/>
  <c r="N218" i="1"/>
  <c r="N223" i="1"/>
  <c r="N754" i="1"/>
  <c r="N620" i="1"/>
  <c r="N773" i="1"/>
  <c r="N675" i="1"/>
  <c r="N749" i="1"/>
  <c r="N630" i="1"/>
  <c r="N632" i="1"/>
  <c r="N446" i="1"/>
  <c r="N299" i="1"/>
  <c r="N354" i="1"/>
  <c r="N368" i="1"/>
  <c r="N552" i="1"/>
  <c r="N626" i="1"/>
  <c r="N496" i="1"/>
  <c r="N684" i="1"/>
  <c r="N115" i="1"/>
  <c r="N653" i="1"/>
  <c r="N120" i="1"/>
  <c r="N163" i="1"/>
  <c r="N165" i="1"/>
  <c r="N168" i="1"/>
  <c r="N121" i="1"/>
  <c r="N560" i="1"/>
  <c r="N200" i="1"/>
  <c r="N797" i="1"/>
  <c r="N532" i="1"/>
  <c r="N182" i="1"/>
  <c r="N873" i="1"/>
  <c r="N346" i="1"/>
  <c r="N63" i="1"/>
  <c r="N84" i="1"/>
  <c r="N31" i="1"/>
  <c r="N13" i="1"/>
  <c r="N124" i="1"/>
  <c r="N922" i="1"/>
  <c r="N337" i="1"/>
  <c r="N715" i="1"/>
  <c r="N301" i="1"/>
  <c r="N284" i="1"/>
  <c r="N516" i="1"/>
  <c r="N534" i="1"/>
  <c r="N137" i="1"/>
  <c r="N398" i="1"/>
  <c r="N132" i="1"/>
  <c r="N184" i="1"/>
  <c r="N324" i="1"/>
  <c r="N765" i="1"/>
  <c r="N617" i="1"/>
  <c r="N904" i="1"/>
  <c r="N794" i="1"/>
  <c r="N535" i="1"/>
  <c r="N700" i="1"/>
  <c r="N80" i="1"/>
  <c r="N566" i="1"/>
  <c r="N365" i="1"/>
  <c r="N46" i="1"/>
  <c r="N134" i="1"/>
  <c r="N178" i="1"/>
  <c r="N255" i="1"/>
  <c r="N78" i="1"/>
  <c r="N687" i="1"/>
  <c r="N679" i="1"/>
  <c r="N75" i="1"/>
  <c r="N529" i="1"/>
  <c r="N638" i="1"/>
  <c r="N646" i="1"/>
  <c r="N207" i="1"/>
  <c r="N394" i="1"/>
  <c r="N149" i="1"/>
  <c r="N278" i="1"/>
  <c r="N125" i="1"/>
  <c r="N427" i="1"/>
  <c r="N592" i="1"/>
  <c r="N256" i="1"/>
  <c r="N356" i="1"/>
  <c r="N836" i="1"/>
  <c r="N175" i="1"/>
  <c r="N60" i="1"/>
  <c r="N57" i="1"/>
  <c r="N20" i="1"/>
  <c r="N88" i="1"/>
  <c r="N22" i="1"/>
  <c r="N21" i="1"/>
  <c r="N122" i="1"/>
  <c r="N27" i="1"/>
  <c r="N772" i="1"/>
  <c r="N258" i="1"/>
  <c r="N644" i="1"/>
  <c r="N259" i="1"/>
  <c r="N583" i="1"/>
  <c r="N401" i="1"/>
  <c r="N657" i="1"/>
  <c r="N281" i="1"/>
  <c r="N536" i="1"/>
  <c r="N188" i="1"/>
  <c r="N437" i="1"/>
  <c r="N817" i="1"/>
  <c r="N225" i="1"/>
  <c r="N52" i="1"/>
  <c r="N441" i="1"/>
  <c r="N547" i="1"/>
  <c r="N231" i="1"/>
  <c r="N377" i="1"/>
  <c r="N170" i="1"/>
  <c r="N865" i="1"/>
  <c r="N11" i="1"/>
  <c r="N71" i="1"/>
  <c r="N353" i="1"/>
  <c r="N260" i="1"/>
  <c r="N217" i="1"/>
  <c r="N108" i="1"/>
  <c r="N154" i="1"/>
  <c r="N118" i="1"/>
  <c r="N296" i="1"/>
  <c r="N79" i="1"/>
  <c r="N81" i="1"/>
  <c r="N349" i="1"/>
  <c r="N443" i="1"/>
  <c r="N433" i="1"/>
  <c r="N825" i="1"/>
  <c r="N152" i="1"/>
  <c r="N776" i="1"/>
  <c r="N17" i="1"/>
  <c r="N45" i="1"/>
  <c r="N24" i="1"/>
  <c r="N92" i="1"/>
  <c r="N43" i="1"/>
  <c r="N650" i="1"/>
  <c r="N722" i="1"/>
  <c r="N851" i="1"/>
  <c r="N65" i="1"/>
  <c r="N570" i="1"/>
  <c r="N788" i="1"/>
  <c r="N138" i="1"/>
  <c r="N117" i="1"/>
  <c r="N846" i="1"/>
  <c r="N67" i="1"/>
  <c r="N86" i="1"/>
  <c r="N33" i="1"/>
  <c r="N15" i="1"/>
  <c r="N567" i="1"/>
  <c r="N277" i="1"/>
  <c r="N827" i="1"/>
  <c r="N449" i="1"/>
  <c r="N467" i="1"/>
  <c r="N874" i="1"/>
  <c r="N326" i="1"/>
  <c r="N785" i="1"/>
  <c r="N378" i="1"/>
  <c r="N823" i="1"/>
  <c r="N779" i="1"/>
  <c r="N94" i="1"/>
  <c r="N51" i="1"/>
  <c r="N133" i="1"/>
  <c r="N813" i="1"/>
  <c r="N597" i="1"/>
  <c r="N711" i="1"/>
  <c r="N89" i="1"/>
  <c r="N44" i="1"/>
  <c r="N48" i="1"/>
  <c r="N66" i="1"/>
  <c r="N192" i="1"/>
  <c r="N520" i="1"/>
  <c r="N538" i="1"/>
  <c r="N300" i="1"/>
  <c r="N234" i="1"/>
  <c r="N144" i="1"/>
  <c r="N23" i="1"/>
  <c r="N161" i="1"/>
  <c r="N28" i="1"/>
  <c r="N49" i="1"/>
  <c r="N107" i="1"/>
  <c r="N366" i="1"/>
  <c r="N494" i="1"/>
  <c r="N241" i="1"/>
  <c r="N237" i="1"/>
  <c r="N762" i="1"/>
  <c r="N703" i="1"/>
  <c r="N543" i="1"/>
  <c r="N623" i="1"/>
  <c r="N169" i="1"/>
  <c r="N235" i="1"/>
  <c r="N720" i="1"/>
  <c r="N139" i="1"/>
  <c r="N95" i="1"/>
  <c r="N91" i="1"/>
  <c r="N30" i="1"/>
  <c r="N129" i="1"/>
  <c r="N396" i="1"/>
  <c r="N897" i="1"/>
  <c r="N262" i="1"/>
  <c r="N890" i="1"/>
  <c r="N436" i="1"/>
  <c r="N380" i="1"/>
  <c r="N351" i="1"/>
  <c r="N761" i="1"/>
  <c r="N477" i="1"/>
  <c r="N920" i="1"/>
  <c r="N464" i="1"/>
  <c r="N889" i="1"/>
  <c r="N243" i="1"/>
  <c r="N699" i="1"/>
  <c r="N587" i="1"/>
  <c r="N622" i="1"/>
  <c r="N306" i="1"/>
  <c r="N812" i="1"/>
  <c r="N667" i="1"/>
  <c r="N743" i="1"/>
  <c r="N206" i="1"/>
  <c r="N189" i="1"/>
  <c r="N308" i="1"/>
  <c r="N145" i="1"/>
  <c r="N110" i="1"/>
  <c r="N56" i="1"/>
  <c r="N127" i="1"/>
  <c r="N550" i="1"/>
  <c r="N591" i="1"/>
  <c r="N114" i="1"/>
  <c r="N282" i="1"/>
  <c r="N157" i="1"/>
  <c r="N87" i="1"/>
  <c r="N42" i="1"/>
  <c r="N453" i="1"/>
  <c r="N708" i="1"/>
  <c r="N503" i="1"/>
  <c r="N172" i="1"/>
  <c r="N90" i="1"/>
  <c r="N838" i="1"/>
  <c r="N176" i="1"/>
  <c r="N83" i="1"/>
  <c r="N102" i="1"/>
  <c r="N609" i="1"/>
  <c r="N269" i="1"/>
  <c r="N61" i="1"/>
  <c r="N7" i="1"/>
  <c r="N97" i="1"/>
  <c r="N116" i="1"/>
  <c r="N418" i="1"/>
  <c r="N871" i="1"/>
  <c r="N663" i="1"/>
  <c r="N530" i="1"/>
  <c r="N513" i="1"/>
  <c r="N656" i="1"/>
  <c r="N266" i="1"/>
  <c r="N276" i="1"/>
  <c r="N539" i="1"/>
  <c r="N911" i="1"/>
  <c r="N521" i="1"/>
  <c r="N362" i="1"/>
  <c r="N514" i="1"/>
  <c r="N585" i="1"/>
  <c r="N177" i="1"/>
  <c r="N818" i="1"/>
  <c r="N397" i="1"/>
  <c r="N605" i="1"/>
  <c r="N619" i="1"/>
  <c r="N150" i="1"/>
  <c r="N59" i="1"/>
  <c r="N159" i="1"/>
  <c r="N850" i="1"/>
  <c r="N845" i="1"/>
  <c r="N725" i="1"/>
  <c r="N759" i="1"/>
  <c r="N811" i="1"/>
  <c r="N782" i="1"/>
  <c r="N490" i="1"/>
  <c r="N537" i="1"/>
  <c r="N335" i="1"/>
  <c r="N854" i="1"/>
  <c r="N136" i="1"/>
  <c r="N85" i="1"/>
  <c r="N26" i="1"/>
  <c r="N409" i="1"/>
  <c r="N878" i="1"/>
  <c r="N666" i="1"/>
  <c r="N688" i="1"/>
  <c r="N888" i="1"/>
  <c r="N783" i="1"/>
  <c r="N909" i="1"/>
  <c r="N590" i="1"/>
  <c r="N809" i="1"/>
  <c r="N230" i="1"/>
  <c r="N806" i="1"/>
  <c r="N757" i="1"/>
  <c r="N624" i="1"/>
  <c r="N198" i="1"/>
  <c r="N789" i="1"/>
  <c r="N302" i="1"/>
  <c r="N893" i="1"/>
  <c r="N399" i="1"/>
  <c r="N414" i="1"/>
  <c r="N508" i="1"/>
  <c r="N219" i="1"/>
  <c r="N295" i="1"/>
  <c r="N828" i="1"/>
  <c r="N468" i="1"/>
  <c r="N488" i="1"/>
  <c r="N613" i="1"/>
  <c r="N676" i="1"/>
  <c r="N540" i="1"/>
  <c r="N751" i="1"/>
  <c r="N332" i="1"/>
  <c r="N419" i="1"/>
  <c r="N669" i="1"/>
  <c r="N892" i="1"/>
  <c r="N664" i="1"/>
  <c r="N760" i="1"/>
  <c r="N821" i="1"/>
  <c r="N739" i="1"/>
  <c r="N320" i="1"/>
  <c r="N588" i="1"/>
  <c r="N834" i="1"/>
  <c r="N261" i="1"/>
  <c r="N318" i="1"/>
  <c r="N425" i="1"/>
  <c r="N606" i="1"/>
  <c r="N919" i="1"/>
  <c r="N502" i="1"/>
  <c r="N805" i="1"/>
  <c r="N602" i="1"/>
  <c r="N9" i="1"/>
  <c r="N74" i="1"/>
  <c r="N39" i="1"/>
  <c r="N696" i="1"/>
  <c r="N573" i="1"/>
  <c r="N553" i="1"/>
  <c r="N340" i="1"/>
  <c r="N681" i="1"/>
  <c r="N112" i="1"/>
  <c r="N68" i="1"/>
  <c r="N678" i="1"/>
  <c r="N38" i="1"/>
  <c r="N10" i="1"/>
  <c r="N131" i="1"/>
  <c r="N47" i="1"/>
  <c r="N210" i="1"/>
  <c r="N659" i="1"/>
  <c r="N442" i="1"/>
  <c r="N843" i="1"/>
  <c r="N391" i="1"/>
  <c r="N454" i="1"/>
  <c r="N885" i="1"/>
  <c r="N557" i="1"/>
  <c r="N864" i="1"/>
  <c r="N404" i="1"/>
  <c r="N247" i="1"/>
  <c r="N910" i="1"/>
  <c r="N509" i="1"/>
  <c r="N287" i="1"/>
  <c r="N647" i="1"/>
  <c r="N517" i="1"/>
  <c r="N146" i="1"/>
  <c r="N640" i="1"/>
  <c r="N500" i="1"/>
  <c r="N796" i="1"/>
  <c r="N807" i="1"/>
  <c r="N907" i="1"/>
  <c r="N582" i="1"/>
  <c r="N432" i="1"/>
  <c r="N774" i="1"/>
  <c r="N214" i="1"/>
  <c r="N328" i="1"/>
  <c r="N254" i="1"/>
  <c r="N70" i="1"/>
  <c r="N82" i="1"/>
  <c r="N248" i="1"/>
  <c r="N16" i="1"/>
  <c r="N185" i="1"/>
  <c r="N801" i="1"/>
  <c r="N288" i="1"/>
  <c r="N473" i="1"/>
  <c r="N786" i="1"/>
  <c r="N447" i="1"/>
  <c r="N413" i="1"/>
  <c r="N755" i="1"/>
  <c r="N479" i="1"/>
  <c r="N599" i="1"/>
  <c r="N551" i="1"/>
  <c r="N604" i="1"/>
  <c r="N395" i="1"/>
  <c r="N803" i="1"/>
  <c r="N770" i="1"/>
  <c r="N578" i="1"/>
  <c r="N174" i="1"/>
  <c r="N130" i="1"/>
  <c r="N147" i="1"/>
  <c r="N381" i="1"/>
  <c r="N379" i="1"/>
  <c r="N600" i="1"/>
  <c r="N339" i="1"/>
  <c r="N724" i="1"/>
  <c r="N689" i="1"/>
  <c r="N363" i="1"/>
  <c r="N338" i="1"/>
  <c r="N611" i="1"/>
  <c r="N764" i="1"/>
  <c r="N315" i="1"/>
  <c r="N167" i="1"/>
  <c r="N766" i="1"/>
  <c r="N848" i="1"/>
  <c r="N716" i="1"/>
  <c r="N831" i="1"/>
  <c r="N495" i="1"/>
  <c r="N649" i="1"/>
  <c r="N25" i="1"/>
  <c r="N180" i="1"/>
  <c r="N36" i="1"/>
  <c r="N596" i="1"/>
  <c r="N423" i="1"/>
  <c r="N732" i="1"/>
  <c r="N840" i="1"/>
  <c r="N745" i="1"/>
  <c r="N737" i="1"/>
  <c r="N707" i="1"/>
  <c r="N820" i="1"/>
  <c r="N880" i="1"/>
  <c r="N374" i="1"/>
  <c r="N901" i="1"/>
  <c r="N460" i="1"/>
  <c r="N884" i="1"/>
  <c r="N18" i="1"/>
  <c r="N151" i="1"/>
  <c r="N333" i="1"/>
  <c r="N690" i="1"/>
  <c r="N781" i="1"/>
  <c r="N870" i="1"/>
  <c r="N140" i="1"/>
  <c r="N72" i="1"/>
  <c r="N252" i="1"/>
  <c r="N526" i="1"/>
  <c r="N37" i="1"/>
  <c r="N286" i="1"/>
  <c r="N187" i="1"/>
  <c r="N439" i="1"/>
  <c r="N77" i="1"/>
  <c r="N790" i="1"/>
  <c r="N558" i="1"/>
  <c r="N912" i="1"/>
  <c r="N746" i="1"/>
  <c r="N856" i="1"/>
  <c r="N701" i="1"/>
  <c r="N342" i="1"/>
  <c r="N808" i="1"/>
  <c r="N246" i="1"/>
  <c r="N853" i="1"/>
  <c r="N8" i="1"/>
  <c r="N14" i="1"/>
  <c r="N810" i="1"/>
  <c r="N480" i="1"/>
  <c r="N293" i="1"/>
  <c r="N548" i="1"/>
  <c r="N763" i="1"/>
  <c r="N204" i="1"/>
  <c r="N334" i="1"/>
  <c r="N205" i="1"/>
  <c r="N756" i="1"/>
  <c r="N191" i="1"/>
  <c r="N179" i="1"/>
  <c r="N389" i="1"/>
  <c r="N493" i="1"/>
  <c r="N672" i="1"/>
  <c r="N849" i="1"/>
  <c r="N635" i="1"/>
  <c r="N726" i="1"/>
  <c r="N787" i="1"/>
  <c r="N487" i="1"/>
  <c r="N96" i="1"/>
  <c r="N512" i="1"/>
  <c r="N750" i="1"/>
  <c r="N312" i="1"/>
  <c r="N887" i="1"/>
  <c r="N916" i="1"/>
  <c r="N34" i="1"/>
  <c r="N53" i="1"/>
  <c r="N12" i="1"/>
  <c r="N627" i="1"/>
  <c r="N322" i="1"/>
  <c r="N208" i="1"/>
  <c r="N734" i="1"/>
  <c r="N891" i="1"/>
  <c r="N562" i="1"/>
  <c r="N634" i="1"/>
  <c r="N861" i="1"/>
  <c r="N119" i="1"/>
  <c r="N896" i="1"/>
  <c r="N868" i="1"/>
  <c r="N859" i="1"/>
  <c r="N69" i="1"/>
  <c r="N164" i="1"/>
  <c r="N829" i="1"/>
  <c r="N123" i="1"/>
  <c r="N93" i="1"/>
  <c r="N98" i="1"/>
  <c r="N190" i="1"/>
  <c r="N482" i="1"/>
  <c r="N373" i="1"/>
  <c r="N452" i="1"/>
  <c r="N476" i="1"/>
  <c r="N50" i="1"/>
  <c r="N317" i="1"/>
  <c r="N767" i="1"/>
  <c r="N652" i="1"/>
  <c r="N795" i="1"/>
  <c r="N580" i="1"/>
  <c r="N541" i="1"/>
  <c r="N319" i="1"/>
  <c r="N855" i="1"/>
  <c r="N780" i="1"/>
  <c r="N331" i="1"/>
  <c r="N239" i="1"/>
  <c r="N577" i="1"/>
  <c r="N900" i="1"/>
  <c r="N905" i="1"/>
  <c r="N212" i="1"/>
  <c r="N197" i="1"/>
  <c r="N844" i="1"/>
  <c r="N327" i="1"/>
  <c r="N421" i="1"/>
  <c r="N728" i="1"/>
  <c r="N717" i="1"/>
  <c r="N839" i="1"/>
  <c r="N799" i="1"/>
  <c r="N882" i="1"/>
  <c r="N886" i="1"/>
  <c r="N908" i="1"/>
  <c r="N903" i="1"/>
  <c r="N930" i="1"/>
  <c r="N358" i="1"/>
  <c r="N228" i="1"/>
  <c r="N142" i="1"/>
  <c r="N40" i="1"/>
  <c r="N800" i="1"/>
  <c r="N325" i="1"/>
  <c r="N455" i="1"/>
  <c r="N731" i="1"/>
  <c r="N832" i="1"/>
  <c r="N914" i="1"/>
  <c r="N343" i="1"/>
  <c r="N860" i="1"/>
  <c r="N143" i="1"/>
  <c r="N917" i="1"/>
  <c r="N598" i="1"/>
  <c r="N426" i="1"/>
  <c r="N531" i="1"/>
  <c r="N895" i="1"/>
  <c r="N915" i="1"/>
  <c r="N209" i="1"/>
  <c r="N784" i="1"/>
  <c r="N680" i="1"/>
  <c r="N29" i="1"/>
  <c r="N6" i="1"/>
  <c r="N19" i="1"/>
  <c r="N407" i="1"/>
  <c r="N411" i="1"/>
  <c r="N329" i="1"/>
  <c r="N629" i="1"/>
  <c r="N906" i="1"/>
  <c r="N833" i="1"/>
  <c r="N321" i="1"/>
  <c r="N232" i="1"/>
  <c r="N693" i="1"/>
  <c r="N791" i="1"/>
  <c r="N393" i="1"/>
  <c r="N73" i="1"/>
  <c r="N668" i="1"/>
  <c r="N105" i="1"/>
  <c r="N376" i="1"/>
  <c r="N272" i="1"/>
  <c r="N103" i="1"/>
  <c r="N330" i="1"/>
  <c r="N564" i="1"/>
  <c r="N738" i="1"/>
  <c r="N62" i="1"/>
  <c r="N636" i="1"/>
  <c r="N928" i="1"/>
  <c r="N685" i="1"/>
  <c r="M685" i="1" s="1"/>
  <c r="N367" i="1"/>
  <c r="N54" i="1"/>
  <c r="N555" i="1"/>
  <c r="N673" i="1"/>
  <c r="N250" i="1"/>
  <c r="N224" i="1"/>
  <c r="N462" i="1"/>
  <c r="N866" i="1"/>
  <c r="N709" i="1"/>
  <c r="N310" i="1"/>
  <c r="N847" i="1"/>
  <c r="N881" i="1"/>
  <c r="N857" i="1"/>
  <c r="N852" i="1"/>
  <c r="N556" i="1"/>
  <c r="N55" i="1"/>
  <c r="N826" i="1"/>
  <c r="N631" i="1"/>
  <c r="N802" i="1"/>
  <c r="N474" i="1"/>
  <c r="N835" i="1"/>
  <c r="N841" i="1"/>
  <c r="N311" i="1"/>
  <c r="N670" i="1"/>
  <c r="N559" i="1"/>
  <c r="N304" i="1"/>
  <c r="N867" i="1"/>
  <c r="N872" i="1"/>
  <c r="N5" i="1"/>
  <c r="N456" i="1"/>
  <c r="N289" i="1"/>
  <c r="N654" i="1"/>
  <c r="N710" i="1"/>
  <c r="N768" i="1"/>
  <c r="N758" i="1"/>
  <c r="N245" i="1"/>
  <c r="N879" i="1"/>
  <c r="N705" i="1"/>
  <c r="N697" i="1"/>
  <c r="N162" i="1"/>
  <c r="N876" i="1"/>
  <c r="N918" i="1"/>
  <c r="N902" i="1"/>
  <c r="N101" i="1"/>
  <c r="N830" i="1"/>
  <c r="N499" i="1"/>
  <c r="N355" i="1"/>
  <c r="N32" i="1"/>
  <c r="N290" i="1"/>
  <c r="N744" i="1"/>
  <c r="N291" i="1"/>
  <c r="N568" i="1"/>
  <c r="N824" i="1"/>
  <c r="N549" i="1"/>
  <c r="N109" i="1"/>
  <c r="N375" i="1"/>
  <c r="N35" i="1"/>
  <c r="N769" i="1"/>
  <c r="N506" i="1"/>
  <c r="N899" i="1"/>
  <c r="N240" i="1"/>
  <c r="N352" i="1"/>
  <c r="N135" i="1"/>
  <c r="N641" i="1"/>
  <c r="N793" i="1"/>
  <c r="N386" i="1"/>
  <c r="N837" i="1"/>
  <c r="N472" i="1"/>
  <c r="N661" i="1"/>
  <c r="N448" i="1"/>
  <c r="N201" i="1"/>
  <c r="N694" i="1"/>
  <c r="N714" i="1"/>
  <c r="N862" i="1"/>
  <c r="N863" i="1"/>
  <c r="N222" i="1"/>
  <c r="N877" i="1"/>
  <c r="N924" i="1"/>
  <c r="N104" i="1"/>
  <c r="N344" i="1"/>
  <c r="N484" i="1"/>
  <c r="N412" i="1"/>
  <c r="N64" i="1"/>
  <c r="M64" i="1" s="1"/>
  <c r="N359" i="1"/>
  <c r="N440" i="1"/>
  <c r="N273" i="1"/>
  <c r="N111" i="1"/>
  <c r="N348" i="1"/>
  <c r="N372" i="1"/>
  <c r="N229" i="1"/>
  <c r="N814" i="1"/>
  <c r="N610" i="1"/>
  <c r="N730" i="1"/>
  <c r="N736" i="1"/>
  <c r="N431" i="1"/>
  <c r="N804" i="1"/>
  <c r="N819" i="1"/>
  <c r="N156" i="1"/>
  <c r="N894" i="1"/>
  <c r="N898" i="1"/>
  <c r="N542" i="1"/>
  <c r="N166" i="1"/>
  <c r="N740" i="1"/>
  <c r="N202" i="1"/>
  <c r="N677" i="1"/>
  <c r="N294" i="1"/>
  <c r="P719" i="1"/>
  <c r="P359" i="1"/>
  <c r="P542" i="1"/>
  <c r="N712" i="1"/>
  <c r="P373" i="1"/>
  <c r="N858" i="1"/>
  <c r="N58" i="1"/>
  <c r="N233" i="1"/>
  <c r="P302" i="1"/>
  <c r="O20" i="1"/>
  <c r="P294" i="1"/>
  <c r="P385" i="1"/>
  <c r="P712" i="1"/>
  <c r="P898" i="1"/>
  <c r="P889" i="1"/>
  <c r="P442" i="1"/>
  <c r="P285" i="1"/>
  <c r="P390" i="1"/>
  <c r="P571" i="1"/>
  <c r="P747" i="1"/>
  <c r="P267" i="1"/>
  <c r="P457" i="1"/>
  <c r="P507" i="1"/>
  <c r="P748" i="1"/>
  <c r="P292" i="1"/>
  <c r="P735" i="1"/>
  <c r="P416" i="1"/>
  <c r="P643" i="1"/>
  <c r="P723" i="1"/>
  <c r="P430" i="1"/>
  <c r="P655" i="1"/>
  <c r="P459" i="1"/>
  <c r="P402" i="1"/>
  <c r="P347" i="1"/>
  <c r="P417" i="1"/>
  <c r="P650" i="1"/>
  <c r="P592" i="1"/>
  <c r="P463" i="1"/>
  <c r="P275" i="1"/>
  <c r="P364" i="1"/>
  <c r="P515" i="1"/>
  <c r="P595" i="1"/>
  <c r="P491" i="1"/>
  <c r="P314" i="1"/>
  <c r="P313" i="1"/>
  <c r="P538" i="1"/>
  <c r="P646" i="1"/>
  <c r="P207" i="1"/>
  <c r="P569" i="1"/>
  <c r="P682" i="1"/>
  <c r="P639" i="1"/>
  <c r="P691" i="1"/>
  <c r="P612" i="1"/>
  <c r="P485" i="1"/>
  <c r="P869" i="1"/>
  <c r="P251" i="1"/>
  <c r="P465" i="1"/>
  <c r="P242" i="1"/>
  <c r="P497" i="1"/>
  <c r="P323" i="1"/>
  <c r="P742" i="1"/>
  <c r="P601" i="1"/>
  <c r="P406" i="1"/>
  <c r="P382" i="1"/>
  <c r="P822" i="1"/>
  <c r="P489" i="1"/>
  <c r="P388" i="1"/>
  <c r="P692" i="1"/>
  <c r="P594" i="1"/>
  <c r="P524" i="1"/>
  <c r="P718" i="1"/>
  <c r="P279" i="1"/>
  <c r="P345" i="1"/>
  <c r="P923" i="1"/>
  <c r="P498" i="1"/>
  <c r="P305" i="1"/>
  <c r="P662" i="1"/>
  <c r="P633" i="1"/>
  <c r="P483" i="1"/>
  <c r="P674" i="1"/>
  <c r="P721" i="1"/>
  <c r="P792" i="1"/>
  <c r="P525" i="1"/>
  <c r="P519" i="1"/>
  <c r="P658" i="1"/>
  <c r="P244" i="1"/>
  <c r="P424" i="1"/>
  <c r="P547" i="1"/>
  <c r="P708" i="1"/>
  <c r="P353" i="1"/>
  <c r="P174" i="1"/>
  <c r="P231" i="1"/>
  <c r="P260" i="1"/>
  <c r="P217" i="1"/>
  <c r="P134" i="1"/>
  <c r="P138" i="1"/>
  <c r="P117" i="1"/>
  <c r="P813" i="1"/>
  <c r="P597" i="1"/>
  <c r="P405" i="1"/>
  <c r="P584" i="1"/>
  <c r="P771" i="1"/>
  <c r="P671" i="1"/>
  <c r="P616" i="1"/>
  <c r="P528" i="1"/>
  <c r="P518" i="1"/>
  <c r="P361" i="1"/>
  <c r="P645" i="1"/>
  <c r="P651" i="1"/>
  <c r="P741" i="1"/>
  <c r="P470" i="1"/>
  <c r="P554" i="1"/>
  <c r="P579" i="1"/>
  <c r="P475" i="1"/>
  <c r="P336" i="1"/>
  <c r="P533" i="1"/>
  <c r="P271" i="1"/>
  <c r="P350" i="1"/>
  <c r="P360" i="1"/>
  <c r="P753" i="1"/>
  <c r="P628" i="1"/>
  <c r="P403" i="1"/>
  <c r="P383" i="1"/>
  <c r="P268" i="1"/>
  <c r="P544" i="1"/>
  <c r="P602" i="1"/>
  <c r="P70" i="1"/>
  <c r="P265" i="1"/>
  <c r="P415" i="1"/>
  <c r="P686" i="1"/>
  <c r="P727" i="1"/>
  <c r="P501" i="1"/>
  <c r="P469" i="1"/>
  <c r="P683" i="1"/>
  <c r="P420" i="1"/>
  <c r="P392" i="1"/>
  <c r="P574" i="1"/>
  <c r="P100" i="1"/>
  <c r="P572" i="1"/>
  <c r="P221" i="1"/>
  <c r="P238" i="1"/>
  <c r="P280" i="1"/>
  <c r="P158" i="1"/>
  <c r="P113" i="1"/>
  <c r="P527" i="1"/>
  <c r="P581" i="1"/>
  <c r="P173" i="1"/>
  <c r="P264" i="1"/>
  <c r="P608" i="1"/>
  <c r="P451" i="1"/>
  <c r="P505" i="1"/>
  <c r="P733" i="1"/>
  <c r="P444" i="1"/>
  <c r="P450" i="1"/>
  <c r="P428" i="1"/>
  <c r="P410" i="1"/>
  <c r="P387" i="1"/>
  <c r="P620" i="1"/>
  <c r="P773" i="1"/>
  <c r="P675" i="1"/>
  <c r="P749" i="1"/>
  <c r="P630" i="1"/>
  <c r="P632" i="1"/>
  <c r="P446" i="1"/>
  <c r="P299" i="1"/>
  <c r="P354" i="1"/>
  <c r="P368" i="1"/>
  <c r="P552" i="1"/>
  <c r="P626" i="1"/>
  <c r="P496" i="1"/>
  <c r="P684" i="1"/>
  <c r="P115" i="1"/>
  <c r="P653" i="1"/>
  <c r="P120" i="1"/>
  <c r="P163" i="1"/>
  <c r="P165" i="1"/>
  <c r="P168" i="1"/>
  <c r="P121" i="1"/>
  <c r="P281" i="1"/>
  <c r="P349" i="1"/>
  <c r="P535" i="1"/>
  <c r="P638" i="1"/>
  <c r="P623" i="1"/>
  <c r="P427" i="1"/>
  <c r="P443" i="1"/>
  <c r="P394" i="1"/>
  <c r="P520" i="1"/>
  <c r="P516" i="1"/>
  <c r="P700" i="1"/>
  <c r="P80" i="1"/>
  <c r="P550" i="1"/>
  <c r="P503" i="1"/>
  <c r="P172" i="1"/>
  <c r="P609" i="1"/>
  <c r="P437" i="1"/>
  <c r="P817" i="1"/>
  <c r="P429" i="1"/>
  <c r="P589" i="1"/>
  <c r="P561" i="1"/>
  <c r="P729" i="1"/>
  <c r="P435" i="1"/>
  <c r="P607" i="1"/>
  <c r="P603" i="1"/>
  <c r="P371" i="1"/>
  <c r="P441" i="1"/>
  <c r="P468" i="1"/>
  <c r="P149" i="1"/>
  <c r="P825" i="1"/>
  <c r="P82" i="1"/>
  <c r="P220" i="1"/>
  <c r="P283" i="1"/>
  <c r="P433" i="1"/>
  <c r="P510" i="1"/>
  <c r="P695" i="1"/>
  <c r="P341" i="1"/>
  <c r="P637" i="1"/>
  <c r="P300" i="1"/>
  <c r="P189" i="1"/>
  <c r="P114" i="1"/>
  <c r="P614" i="1"/>
  <c r="P838" i="1"/>
  <c r="P89" i="1"/>
  <c r="P176" i="1"/>
  <c r="P192" i="1"/>
  <c r="P112" i="1"/>
  <c r="P54" i="1"/>
  <c r="P203" i="1"/>
  <c r="P50" i="1"/>
  <c r="P348" i="1"/>
  <c r="P810" i="1"/>
  <c r="P473" i="1"/>
  <c r="P665" i="1"/>
  <c r="P257" i="1"/>
  <c r="P171" i="1"/>
  <c r="P248" i="1"/>
  <c r="P846" i="1"/>
  <c r="P836" i="1"/>
  <c r="P161" i="1"/>
  <c r="P133" i="1"/>
  <c r="P788" i="1"/>
  <c r="P235" i="1"/>
  <c r="P170" i="1"/>
  <c r="P486" i="1"/>
  <c r="P458" i="1"/>
  <c r="P522" i="1"/>
  <c r="P309" i="1"/>
  <c r="P570" i="1"/>
  <c r="P94" i="1"/>
  <c r="P621" i="1"/>
  <c r="P68" i="1"/>
  <c r="P188" i="1"/>
  <c r="P150" i="1"/>
  <c r="P722" i="1"/>
  <c r="P90" i="1"/>
  <c r="P400" i="1"/>
  <c r="P536" i="1"/>
  <c r="P566" i="1"/>
  <c r="P132" i="1"/>
  <c r="P679" i="1"/>
  <c r="P904" i="1"/>
  <c r="P11" i="1"/>
  <c r="P84" i="1"/>
  <c r="P71" i="1"/>
  <c r="P77" i="1"/>
  <c r="P47" i="1"/>
  <c r="P844" i="1"/>
  <c r="P673" i="1"/>
  <c r="P288" i="1"/>
  <c r="P811" i="1"/>
  <c r="P751" i="1"/>
  <c r="P826" i="1"/>
  <c r="P593" i="1"/>
  <c r="P137" i="1"/>
  <c r="P560" i="1"/>
  <c r="P108" i="1"/>
  <c r="P377" i="1"/>
  <c r="P154" i="1"/>
  <c r="P532" i="1"/>
  <c r="P296" i="1"/>
  <c r="P865" i="1"/>
  <c r="P81" i="1"/>
  <c r="P648" i="1"/>
  <c r="P118" i="1"/>
  <c r="P776" i="1"/>
  <c r="P17" i="1"/>
  <c r="P63" i="1"/>
  <c r="P45" i="1"/>
  <c r="P79" i="1"/>
  <c r="P24" i="1"/>
  <c r="P504" i="1"/>
  <c r="P642" i="1"/>
  <c r="P702" i="1"/>
  <c r="P46" i="1"/>
  <c r="P152" i="1"/>
  <c r="P687" i="1"/>
  <c r="P75" i="1"/>
  <c r="P545" i="1"/>
  <c r="P99" i="1"/>
  <c r="P422" i="1"/>
  <c r="P211" i="1"/>
  <c r="P160" i="1"/>
  <c r="P255" i="1"/>
  <c r="P765" i="1"/>
  <c r="P851" i="1"/>
  <c r="P67" i="1"/>
  <c r="P65" i="1"/>
  <c r="P86" i="1"/>
  <c r="P153" i="1"/>
  <c r="P51" i="1"/>
  <c r="P200" i="1"/>
  <c r="P218" i="1"/>
  <c r="P711" i="1"/>
  <c r="P48" i="1"/>
  <c r="P66" i="1"/>
  <c r="P586" i="1"/>
  <c r="P234" i="1"/>
  <c r="P182" i="1"/>
  <c r="P44" i="1"/>
  <c r="P23" i="1"/>
  <c r="P28" i="1"/>
  <c r="P107" i="1"/>
  <c r="P366" i="1"/>
  <c r="P241" i="1"/>
  <c r="P237" i="1"/>
  <c r="P762" i="1"/>
  <c r="P703" i="1"/>
  <c r="P543" i="1"/>
  <c r="P409" i="1"/>
  <c r="P386" i="1"/>
  <c r="P462" i="1"/>
  <c r="P717" i="1"/>
  <c r="P764" i="1"/>
  <c r="P487" i="1"/>
  <c r="P809" i="1"/>
  <c r="P395" i="1"/>
  <c r="P331" i="1"/>
  <c r="P705" i="1"/>
  <c r="P549" i="1"/>
  <c r="P752" i="1"/>
  <c r="P178" i="1"/>
  <c r="P144" i="1"/>
  <c r="P828" i="1"/>
  <c r="P346" i="1"/>
  <c r="P59" i="1"/>
  <c r="P481" i="1"/>
  <c r="P184" i="1"/>
  <c r="P324" i="1"/>
  <c r="P754" i="1"/>
  <c r="P678" i="1"/>
  <c r="P720" i="1"/>
  <c r="P95" i="1"/>
  <c r="P91" i="1"/>
  <c r="P13" i="1"/>
  <c r="P30" i="1"/>
  <c r="P129" i="1"/>
  <c r="P337" i="1"/>
  <c r="P396" i="1"/>
  <c r="P897" i="1"/>
  <c r="P262" i="1"/>
  <c r="P890" i="1"/>
  <c r="P436" i="1"/>
  <c r="P380" i="1"/>
  <c r="P534" i="1"/>
  <c r="P125" i="1"/>
  <c r="P282" i="1"/>
  <c r="P308" i="1"/>
  <c r="P794" i="1"/>
  <c r="P157" i="1"/>
  <c r="P87" i="1"/>
  <c r="P42" i="1"/>
  <c r="P31" i="1"/>
  <c r="P9" i="1"/>
  <c r="P32" i="1"/>
  <c r="P131" i="1"/>
  <c r="P5" i="1"/>
  <c r="P801" i="1"/>
  <c r="P381" i="1"/>
  <c r="P317" i="1"/>
  <c r="P725" i="1"/>
  <c r="P759" i="1"/>
  <c r="P563" i="1"/>
  <c r="P744" i="1"/>
  <c r="P885" i="1"/>
  <c r="P423" i="1"/>
  <c r="P455" i="1"/>
  <c r="P864" i="1"/>
  <c r="P710" i="1"/>
  <c r="P728" i="1"/>
  <c r="P866" i="1"/>
  <c r="P247" i="1"/>
  <c r="P787" i="1"/>
  <c r="P855" i="1"/>
  <c r="P230" i="1"/>
  <c r="P334" i="1"/>
  <c r="P780" i="1"/>
  <c r="P647" i="1"/>
  <c r="P847" i="1"/>
  <c r="P831" i="1"/>
  <c r="P714" i="1"/>
  <c r="P198" i="1"/>
  <c r="P495" i="1"/>
  <c r="P706" i="1"/>
  <c r="P127" i="1"/>
  <c r="P591" i="1"/>
  <c r="P236" i="1"/>
  <c r="P78" i="1"/>
  <c r="P102" i="1"/>
  <c r="P453" i="1"/>
  <c r="P106" i="1"/>
  <c r="P398" i="1"/>
  <c r="P196" i="1"/>
  <c r="P523" i="1"/>
  <c r="P274" i="1"/>
  <c r="P618" i="1"/>
  <c r="P681" i="1"/>
  <c r="P269" i="1"/>
  <c r="P854" i="1"/>
  <c r="P873" i="1"/>
  <c r="P660" i="1"/>
  <c r="P278" i="1"/>
  <c r="P295" i="1"/>
  <c r="P223" i="1"/>
  <c r="P226" i="1"/>
  <c r="P680" i="1"/>
  <c r="P175" i="1"/>
  <c r="P60" i="1"/>
  <c r="P20" i="1"/>
  <c r="P88" i="1"/>
  <c r="P22" i="1"/>
  <c r="P21" i="1"/>
  <c r="P122" i="1"/>
  <c r="P85" i="1"/>
  <c r="P27" i="1"/>
  <c r="P772" i="1"/>
  <c r="P258" i="1"/>
  <c r="P644" i="1"/>
  <c r="P259" i="1"/>
  <c r="P583" i="1"/>
  <c r="P401" i="1"/>
  <c r="P657" i="1"/>
  <c r="P325" i="1"/>
  <c r="P224" i="1"/>
  <c r="P689" i="1"/>
  <c r="P835" i="1"/>
  <c r="P736" i="1"/>
  <c r="P760" i="1"/>
  <c r="P204" i="1"/>
  <c r="P96" i="1"/>
  <c r="P799" i="1"/>
  <c r="P879" i="1"/>
  <c r="P562" i="1"/>
  <c r="P529" i="1"/>
  <c r="P136" i="1"/>
  <c r="P55" i="1"/>
  <c r="P179" i="1"/>
  <c r="P26" i="1"/>
  <c r="P555" i="1"/>
  <c r="P322" i="1"/>
  <c r="P277" i="1"/>
  <c r="P43" i="1"/>
  <c r="P34" i="1"/>
  <c r="P52" i="1"/>
  <c r="P7" i="1"/>
  <c r="P135" i="1"/>
  <c r="P407" i="1"/>
  <c r="P627" i="1"/>
  <c r="P289" i="1"/>
  <c r="P449" i="1"/>
  <c r="P493" i="1"/>
  <c r="P291" i="1"/>
  <c r="P558" i="1"/>
  <c r="P631" i="1"/>
  <c r="P208" i="1"/>
  <c r="P713" i="1"/>
  <c r="P849" i="1"/>
  <c r="P737" i="1"/>
  <c r="P143" i="1"/>
  <c r="P321" i="1"/>
  <c r="P743" i="1"/>
  <c r="P598" i="1"/>
  <c r="P862" i="1"/>
  <c r="P886" i="1"/>
  <c r="P460" i="1"/>
  <c r="P894" i="1"/>
  <c r="P69" i="1"/>
  <c r="P151" i="1"/>
  <c r="P769" i="1"/>
  <c r="P272" i="1"/>
  <c r="P123" i="1"/>
  <c r="P870" i="1"/>
  <c r="P352" i="1"/>
  <c r="P575" i="1"/>
  <c r="P83" i="1"/>
  <c r="P76" i="1"/>
  <c r="P797" i="1"/>
  <c r="P74" i="1"/>
  <c r="P111" i="1"/>
  <c r="P14" i="1"/>
  <c r="P696" i="1"/>
  <c r="P573" i="1"/>
  <c r="P329" i="1"/>
  <c r="P301" i="1"/>
  <c r="P871" i="1"/>
  <c r="P326" i="1"/>
  <c r="P340" i="1"/>
  <c r="P785" i="1"/>
  <c r="P761" i="1"/>
  <c r="P266" i="1"/>
  <c r="P548" i="1"/>
  <c r="P472" i="1"/>
  <c r="P730" i="1"/>
  <c r="P672" i="1"/>
  <c r="P245" i="1"/>
  <c r="P917" i="1"/>
  <c r="P880" i="1"/>
  <c r="P693" i="1"/>
  <c r="P887" i="1"/>
  <c r="P877" i="1"/>
  <c r="P915" i="1"/>
  <c r="P853" i="1"/>
  <c r="P466" i="1"/>
  <c r="P145" i="1"/>
  <c r="P418" i="1"/>
  <c r="P210" i="1"/>
  <c r="P659" i="1"/>
  <c r="P641" i="1"/>
  <c r="P663" i="1"/>
  <c r="P391" i="1"/>
  <c r="P454" i="1"/>
  <c r="P557" i="1"/>
  <c r="P656" i="1"/>
  <c r="P110" i="1"/>
  <c r="P38" i="1"/>
  <c r="P10" i="1"/>
  <c r="P191" i="1"/>
  <c r="P6" i="1"/>
  <c r="P40" i="1"/>
  <c r="P494" i="1"/>
  <c r="P284" i="1"/>
  <c r="P795" i="1"/>
  <c r="P610" i="1"/>
  <c r="P802" i="1"/>
  <c r="P746" i="1"/>
  <c r="P568" i="1"/>
  <c r="P448" i="1"/>
  <c r="P914" i="1"/>
  <c r="P464" i="1"/>
  <c r="P306" i="1"/>
  <c r="P775" i="1"/>
  <c r="P820" i="1"/>
  <c r="P162" i="1"/>
  <c r="P577" i="1"/>
  <c r="P884" i="1"/>
  <c r="P778" i="1"/>
  <c r="P471" i="1"/>
  <c r="P101" i="1"/>
  <c r="P225" i="1"/>
  <c r="P169" i="1"/>
  <c r="P256" i="1"/>
  <c r="P57" i="1"/>
  <c r="P33" i="1"/>
  <c r="P147" i="1"/>
  <c r="P379" i="1"/>
  <c r="P600" i="1"/>
  <c r="P276" i="1"/>
  <c r="P763" i="1"/>
  <c r="P661" i="1"/>
  <c r="P860" i="1"/>
  <c r="P167" i="1"/>
  <c r="P177" i="1"/>
  <c r="P707" i="1"/>
  <c r="P206" i="1"/>
  <c r="P881" i="1"/>
  <c r="P617" i="1"/>
  <c r="P15" i="1"/>
  <c r="P159" i="1"/>
  <c r="P12" i="1"/>
  <c r="P411" i="1"/>
  <c r="P845" i="1"/>
  <c r="P530" i="1"/>
  <c r="P537" i="1"/>
  <c r="P335" i="1"/>
  <c r="P912" i="1"/>
  <c r="P263" i="1"/>
  <c r="P840" i="1"/>
  <c r="P841" i="1"/>
  <c r="P745" i="1"/>
  <c r="P756" i="1"/>
  <c r="P634" i="1"/>
  <c r="P16" i="1"/>
  <c r="P790" i="1"/>
  <c r="P613" i="1"/>
  <c r="P786" i="1"/>
  <c r="P477" i="1"/>
  <c r="P856" i="1"/>
  <c r="P806" i="1"/>
  <c r="P818" i="1"/>
  <c r="P779" i="1"/>
  <c r="P320" i="1"/>
  <c r="P342" i="1"/>
  <c r="P808" i="1"/>
  <c r="P246" i="1"/>
  <c r="P399" i="1"/>
  <c r="P907" i="1"/>
  <c r="P842" i="1"/>
  <c r="P816" i="1"/>
  <c r="P297" i="1"/>
  <c r="P316" i="1"/>
  <c r="P434" i="1"/>
  <c r="P461" i="1"/>
  <c r="P798" i="1"/>
  <c r="P365" i="1"/>
  <c r="P8" i="1"/>
  <c r="P850" i="1"/>
  <c r="P827" i="1"/>
  <c r="P843" i="1"/>
  <c r="P480" i="1"/>
  <c r="P293" i="1"/>
  <c r="P604" i="1"/>
  <c r="P404" i="1"/>
  <c r="P315" i="1"/>
  <c r="P205" i="1"/>
  <c r="P261" i="1"/>
  <c r="P750" i="1"/>
  <c r="P312" i="1"/>
  <c r="P502" i="1"/>
  <c r="P356" i="1"/>
  <c r="P56" i="1"/>
  <c r="P389" i="1"/>
  <c r="P479" i="1"/>
  <c r="P878" i="1"/>
  <c r="P635" i="1"/>
  <c r="P726" i="1"/>
  <c r="P512" i="1"/>
  <c r="P397" i="1"/>
  <c r="P667" i="1"/>
  <c r="P318" i="1"/>
  <c r="P861" i="1"/>
  <c r="P896" i="1"/>
  <c r="P916" i="1"/>
  <c r="P868" i="1"/>
  <c r="P859" i="1"/>
  <c r="P53" i="1"/>
  <c r="P185" i="1"/>
  <c r="P419" i="1"/>
  <c r="P599" i="1"/>
  <c r="P734" i="1"/>
  <c r="P688" i="1"/>
  <c r="P891" i="1"/>
  <c r="P911" i="1"/>
  <c r="P803" i="1"/>
  <c r="P146" i="1"/>
  <c r="P119" i="1"/>
  <c r="P606" i="1"/>
  <c r="P900" i="1"/>
  <c r="P905" i="1"/>
  <c r="P212" i="1"/>
  <c r="P164" i="1"/>
  <c r="P197" i="1"/>
  <c r="P508" i="1"/>
  <c r="P858" i="1"/>
  <c r="P98" i="1"/>
  <c r="P767" i="1"/>
  <c r="P652" i="1"/>
  <c r="P580" i="1"/>
  <c r="P541" i="1"/>
  <c r="P319" i="1"/>
  <c r="P363" i="1"/>
  <c r="P839" i="1"/>
  <c r="P287" i="1"/>
  <c r="P739" i="1"/>
  <c r="P239" i="1"/>
  <c r="P908" i="1"/>
  <c r="P488" i="1"/>
  <c r="P327" i="1"/>
  <c r="P421" i="1"/>
  <c r="P513" i="1"/>
  <c r="P351" i="1"/>
  <c r="P551" i="1"/>
  <c r="P731" i="1"/>
  <c r="P888" i="1"/>
  <c r="P343" i="1"/>
  <c r="P611" i="1"/>
  <c r="P882" i="1"/>
  <c r="P770" i="1"/>
  <c r="P531" i="1"/>
  <c r="P807" i="1"/>
  <c r="P895" i="1"/>
  <c r="P903" i="1"/>
  <c r="P784" i="1"/>
  <c r="P49" i="1"/>
  <c r="P19" i="1"/>
  <c r="P715" i="1"/>
  <c r="P800" i="1"/>
  <c r="P540" i="1"/>
  <c r="P669" i="1"/>
  <c r="P892" i="1"/>
  <c r="P832" i="1"/>
  <c r="P821" i="1"/>
  <c r="P232" i="1"/>
  <c r="P834" i="1"/>
  <c r="P426" i="1"/>
  <c r="P893" i="1"/>
  <c r="P393" i="1"/>
  <c r="P209" i="1"/>
  <c r="P73" i="1"/>
  <c r="P668" i="1"/>
  <c r="P105" i="1"/>
  <c r="P376" i="1"/>
  <c r="P564" i="1"/>
  <c r="P738" i="1"/>
  <c r="P249" i="1"/>
  <c r="P62" i="1"/>
  <c r="P636" i="1"/>
  <c r="P367" i="1"/>
  <c r="P29" i="1"/>
  <c r="P250" i="1"/>
  <c r="P629" i="1"/>
  <c r="P755" i="1"/>
  <c r="P906" i="1"/>
  <c r="P833" i="1"/>
  <c r="P590" i="1"/>
  <c r="P587" i="1"/>
  <c r="P649" i="1"/>
  <c r="P857" i="1"/>
  <c r="P791" i="1"/>
  <c r="P556" i="1"/>
  <c r="P58" i="1"/>
  <c r="P298" i="1"/>
  <c r="P130" i="1"/>
  <c r="P332" i="1"/>
  <c r="P474" i="1"/>
  <c r="P709" i="1"/>
  <c r="P311" i="1"/>
  <c r="P823" i="1"/>
  <c r="P514" i="1"/>
  <c r="P310" i="1"/>
  <c r="P848" i="1"/>
  <c r="P517" i="1"/>
  <c r="P605" i="1"/>
  <c r="P304" i="1"/>
  <c r="P867" i="1"/>
  <c r="P852" i="1"/>
  <c r="P872" i="1"/>
  <c r="P384" i="1"/>
  <c r="P625" i="1"/>
  <c r="P155" i="1"/>
  <c r="P39" i="1"/>
  <c r="P447" i="1"/>
  <c r="P670" i="1"/>
  <c r="P509" i="1"/>
  <c r="P716" i="1"/>
  <c r="P559" i="1"/>
  <c r="P500" i="1"/>
  <c r="P789" i="1"/>
  <c r="P697" i="1"/>
  <c r="P425" i="1"/>
  <c r="P918" i="1"/>
  <c r="P902" i="1"/>
  <c r="P139" i="1"/>
  <c r="P124" i="1"/>
  <c r="P456" i="1"/>
  <c r="P567" i="1"/>
  <c r="P553" i="1"/>
  <c r="P676" i="1"/>
  <c r="P654" i="1"/>
  <c r="P768" i="1"/>
  <c r="P758" i="1"/>
  <c r="P338" i="1"/>
  <c r="P521" i="1"/>
  <c r="P243" i="1"/>
  <c r="P622" i="1"/>
  <c r="P876" i="1"/>
  <c r="P109" i="1"/>
  <c r="P582" i="1"/>
  <c r="P375" i="1"/>
  <c r="P774" i="1"/>
  <c r="P35" i="1"/>
  <c r="P506" i="1"/>
  <c r="P240" i="1"/>
  <c r="P97" i="1"/>
  <c r="P290" i="1"/>
  <c r="P782" i="1"/>
  <c r="P413" i="1"/>
  <c r="P339" i="1"/>
  <c r="P837" i="1"/>
  <c r="P724" i="1"/>
  <c r="P824" i="1"/>
  <c r="P378" i="1"/>
  <c r="P694" i="1"/>
  <c r="P585" i="1"/>
  <c r="P757" i="1"/>
  <c r="P588" i="1"/>
  <c r="P863" i="1"/>
  <c r="P222" i="1"/>
  <c r="P805" i="1"/>
  <c r="P414" i="1"/>
  <c r="P104" i="1"/>
  <c r="P899" i="1"/>
  <c r="P344" i="1"/>
  <c r="P484" i="1"/>
  <c r="P412" i="1"/>
  <c r="P61" i="1"/>
  <c r="P793" i="1"/>
  <c r="P874" i="1"/>
  <c r="P664" i="1"/>
  <c r="P783" i="1"/>
  <c r="P909" i="1"/>
  <c r="P201" i="1"/>
  <c r="P699" i="1"/>
  <c r="P624" i="1"/>
  <c r="P619" i="1"/>
  <c r="P578" i="1"/>
  <c r="P796" i="1"/>
  <c r="P92" i="1"/>
  <c r="P372" i="1"/>
  <c r="P229" i="1"/>
  <c r="P490" i="1"/>
  <c r="P814" i="1"/>
  <c r="P666" i="1"/>
  <c r="P910" i="1"/>
  <c r="P766" i="1"/>
  <c r="P431" i="1"/>
  <c r="P615" i="1"/>
  <c r="P804" i="1"/>
  <c r="P819" i="1"/>
  <c r="P156" i="1"/>
  <c r="P919" i="1"/>
  <c r="P913" i="1"/>
  <c r="P233" i="1"/>
  <c r="P698" i="1"/>
  <c r="P253" i="1"/>
  <c r="P183" i="1"/>
  <c r="P194" i="1"/>
  <c r="P307" i="1"/>
  <c r="P362" i="1"/>
  <c r="P883" i="1"/>
  <c r="P812" i="1"/>
  <c r="P640" i="1"/>
  <c r="P374" i="1"/>
  <c r="P901" i="1"/>
  <c r="P432" i="1"/>
  <c r="P18" i="1"/>
  <c r="P333" i="1"/>
  <c r="P690" i="1"/>
  <c r="P214" i="1"/>
  <c r="P781" i="1"/>
  <c r="P140" i="1"/>
  <c r="M140" i="1" s="1"/>
  <c r="P72" i="1"/>
  <c r="P328" i="1"/>
  <c r="P526" i="1"/>
  <c r="P37" i="1"/>
  <c r="P286" i="1"/>
  <c r="P187" i="1"/>
  <c r="P439" i="1"/>
  <c r="P216" i="1"/>
  <c r="P476" i="1"/>
  <c r="P190" i="1"/>
  <c r="P701" i="1"/>
  <c r="P116" i="1"/>
  <c r="P357" i="1"/>
  <c r="P438" i="1"/>
  <c r="P126" i="1"/>
  <c r="P180" i="1"/>
  <c r="R463" i="1"/>
  <c r="R364" i="1"/>
  <c r="R515" i="1"/>
  <c r="R595" i="1"/>
  <c r="R491" i="1"/>
  <c r="R314" i="1"/>
  <c r="R313" i="1"/>
  <c r="R569" i="1"/>
  <c r="R639" i="1"/>
  <c r="R691" i="1"/>
  <c r="R612" i="1"/>
  <c r="R485" i="1"/>
  <c r="R869" i="1"/>
  <c r="R465" i="1"/>
  <c r="R433" i="1"/>
  <c r="R536" i="1"/>
  <c r="R242" i="1"/>
  <c r="R497" i="1"/>
  <c r="R742" i="1"/>
  <c r="R406" i="1"/>
  <c r="R382" i="1"/>
  <c r="R822" i="1"/>
  <c r="R489" i="1"/>
  <c r="R593" i="1"/>
  <c r="R106" i="1"/>
  <c r="R388" i="1"/>
  <c r="R692" i="1"/>
  <c r="R594" i="1"/>
  <c r="R718" i="1"/>
  <c r="R279" i="1"/>
  <c r="R923" i="1"/>
  <c r="R662" i="1"/>
  <c r="R633" i="1"/>
  <c r="R674" i="1"/>
  <c r="R721" i="1"/>
  <c r="R792" i="1"/>
  <c r="R525" i="1"/>
  <c r="R658" i="1"/>
  <c r="R244" i="1"/>
  <c r="R424" i="1"/>
  <c r="R405" i="1"/>
  <c r="R771" i="1"/>
  <c r="R616" i="1"/>
  <c r="R518" i="1"/>
  <c r="R651" i="1"/>
  <c r="R741" i="1"/>
  <c r="R470" i="1"/>
  <c r="R554" i="1"/>
  <c r="R336" i="1"/>
  <c r="R533" i="1"/>
  <c r="R523" i="1"/>
  <c r="R257" i="1"/>
  <c r="R160" i="1"/>
  <c r="R274" i="1"/>
  <c r="R171" i="1"/>
  <c r="R226" i="1"/>
  <c r="R271" i="1"/>
  <c r="R350" i="1"/>
  <c r="R360" i="1"/>
  <c r="R753" i="1"/>
  <c r="R628" i="1"/>
  <c r="R268" i="1"/>
  <c r="R415" i="1"/>
  <c r="R727" i="1"/>
  <c r="R501" i="1"/>
  <c r="R683" i="1"/>
  <c r="R420" i="1"/>
  <c r="R392" i="1"/>
  <c r="R581" i="1"/>
  <c r="R264" i="1"/>
  <c r="R608" i="1"/>
  <c r="R451" i="1"/>
  <c r="R505" i="1"/>
  <c r="R733" i="1"/>
  <c r="R444" i="1"/>
  <c r="R450" i="1"/>
  <c r="R428" i="1"/>
  <c r="R410" i="1"/>
  <c r="R387" i="1"/>
  <c r="R642" i="1"/>
  <c r="R660" i="1"/>
  <c r="R99" i="1"/>
  <c r="R620" i="1"/>
  <c r="R773" i="1"/>
  <c r="R675" i="1"/>
  <c r="R630" i="1"/>
  <c r="R446" i="1"/>
  <c r="R299" i="1"/>
  <c r="R368" i="1"/>
  <c r="R552" i="1"/>
  <c r="R626" i="1"/>
  <c r="R115" i="1"/>
  <c r="R653" i="1"/>
  <c r="R120" i="1"/>
  <c r="R623" i="1"/>
  <c r="R427" i="1"/>
  <c r="R443" i="1"/>
  <c r="R394" i="1"/>
  <c r="R516" i="1"/>
  <c r="R429" i="1"/>
  <c r="R561" i="1"/>
  <c r="R435" i="1"/>
  <c r="R603" i="1"/>
  <c r="R468" i="1"/>
  <c r="R149" i="1"/>
  <c r="R706" i="1"/>
  <c r="R283" i="1"/>
  <c r="R665" i="1"/>
  <c r="R510" i="1"/>
  <c r="R341" i="1"/>
  <c r="R178" i="1"/>
  <c r="R150" i="1"/>
  <c r="R324" i="1"/>
  <c r="R235" i="1"/>
  <c r="R285" i="1"/>
  <c r="R390" i="1"/>
  <c r="R571" i="1"/>
  <c r="R267" i="1"/>
  <c r="R457" i="1"/>
  <c r="R748" i="1"/>
  <c r="R458" i="1"/>
  <c r="R545" i="1"/>
  <c r="R51" i="1"/>
  <c r="R398" i="1"/>
  <c r="R234" i="1"/>
  <c r="R188" i="1"/>
  <c r="R132" i="1"/>
  <c r="R184" i="1"/>
  <c r="R55" i="1"/>
  <c r="R241" i="1"/>
  <c r="R169" i="1"/>
  <c r="R365" i="1"/>
  <c r="R687" i="1"/>
  <c r="R282" i="1"/>
  <c r="R75" i="1"/>
  <c r="R529" i="1"/>
  <c r="R24" i="1"/>
  <c r="R61" i="1"/>
  <c r="R86" i="1"/>
  <c r="R655" i="1"/>
  <c r="R575" i="1"/>
  <c r="R650" i="1"/>
  <c r="R592" i="1"/>
  <c r="R278" i="1"/>
  <c r="R172" i="1"/>
  <c r="R547" i="1"/>
  <c r="R174" i="1"/>
  <c r="R400" i="1"/>
  <c r="R453" i="1"/>
  <c r="R211" i="1"/>
  <c r="R138" i="1"/>
  <c r="R754" i="1"/>
  <c r="R532" i="1"/>
  <c r="R207" i="1"/>
  <c r="R560" i="1"/>
  <c r="R231" i="1"/>
  <c r="R108" i="1"/>
  <c r="R154" i="1"/>
  <c r="R118" i="1"/>
  <c r="R437" i="1"/>
  <c r="R17" i="1"/>
  <c r="R191" i="1"/>
  <c r="R50" i="1"/>
  <c r="R456" i="1"/>
  <c r="R596" i="1"/>
  <c r="R810" i="1"/>
  <c r="R229" i="1"/>
  <c r="R454" i="1"/>
  <c r="R430" i="1"/>
  <c r="R572" i="1"/>
  <c r="R217" i="1"/>
  <c r="R776" i="1"/>
  <c r="R45" i="1"/>
  <c r="R92" i="1"/>
  <c r="R46" i="1"/>
  <c r="R152" i="1"/>
  <c r="R722" i="1"/>
  <c r="R851" i="1"/>
  <c r="R67" i="1"/>
  <c r="R65" i="1"/>
  <c r="R422" i="1"/>
  <c r="R846" i="1"/>
  <c r="R66" i="1"/>
  <c r="R133" i="1"/>
  <c r="R218" i="1"/>
  <c r="R117" i="1"/>
  <c r="R182" i="1"/>
  <c r="R711" i="1"/>
  <c r="R44" i="1"/>
  <c r="R23" i="1"/>
  <c r="R192" i="1"/>
  <c r="R28" i="1"/>
  <c r="R300" i="1"/>
  <c r="R238" i="1"/>
  <c r="R280" i="1"/>
  <c r="R144" i="1"/>
  <c r="R346" i="1"/>
  <c r="R59" i="1"/>
  <c r="R161" i="1"/>
  <c r="R735" i="1"/>
  <c r="R538" i="1"/>
  <c r="R94" i="1"/>
  <c r="R68" i="1"/>
  <c r="R678" i="1"/>
  <c r="R91" i="1"/>
  <c r="R30" i="1"/>
  <c r="R129" i="1"/>
  <c r="R337" i="1"/>
  <c r="R488" i="1"/>
  <c r="R897" i="1"/>
  <c r="R351" i="1"/>
  <c r="R761" i="1"/>
  <c r="R477" i="1"/>
  <c r="R889" i="1"/>
  <c r="R699" i="1"/>
  <c r="R587" i="1"/>
  <c r="R306" i="1"/>
  <c r="R812" i="1"/>
  <c r="R743" i="1"/>
  <c r="R574" i="1"/>
  <c r="R602" i="1"/>
  <c r="R481" i="1"/>
  <c r="R76" i="1"/>
  <c r="R720" i="1"/>
  <c r="R139" i="1"/>
  <c r="R56" i="1"/>
  <c r="R416" i="1"/>
  <c r="R100" i="1"/>
  <c r="R145" i="1"/>
  <c r="R157" i="1"/>
  <c r="R87" i="1"/>
  <c r="R110" i="1"/>
  <c r="R8" i="1"/>
  <c r="R32" i="1"/>
  <c r="R5" i="1"/>
  <c r="R922" i="1"/>
  <c r="R555" i="1"/>
  <c r="R759" i="1"/>
  <c r="R563" i="1"/>
  <c r="R885" i="1"/>
  <c r="R646" i="1"/>
  <c r="R637" i="1"/>
  <c r="R591" i="1"/>
  <c r="R134" i="1"/>
  <c r="R90" i="1"/>
  <c r="R838" i="1"/>
  <c r="R176" i="1"/>
  <c r="R7" i="1"/>
  <c r="R97" i="1"/>
  <c r="R116" i="1"/>
  <c r="R14" i="1"/>
  <c r="R418" i="1"/>
  <c r="R663" i="1"/>
  <c r="R530" i="1"/>
  <c r="R513" i="1"/>
  <c r="R656" i="1"/>
  <c r="R266" i="1"/>
  <c r="R276" i="1"/>
  <c r="R539" i="1"/>
  <c r="R521" i="1"/>
  <c r="R585" i="1"/>
  <c r="R397" i="1"/>
  <c r="R619" i="1"/>
  <c r="R347" i="1"/>
  <c r="R550" i="1"/>
  <c r="R196" i="1"/>
  <c r="R618" i="1"/>
  <c r="R269" i="1"/>
  <c r="R854" i="1"/>
  <c r="R873" i="1"/>
  <c r="R295" i="1"/>
  <c r="R221" i="1"/>
  <c r="R248" i="1"/>
  <c r="R680" i="1"/>
  <c r="R175" i="1"/>
  <c r="R417" i="1"/>
  <c r="R70" i="1"/>
  <c r="R256" i="1"/>
  <c r="R609" i="1"/>
  <c r="R223" i="1"/>
  <c r="R57" i="1"/>
  <c r="R20" i="1"/>
  <c r="R723" i="1"/>
  <c r="R566" i="1"/>
  <c r="R679" i="1"/>
  <c r="R225" i="1"/>
  <c r="R52" i="1"/>
  <c r="R11" i="1"/>
  <c r="R84" i="1"/>
  <c r="R47" i="1"/>
  <c r="R844" i="1"/>
  <c r="R288" i="1"/>
  <c r="R473" i="1"/>
  <c r="R811" i="1"/>
  <c r="R751" i="1"/>
  <c r="R826" i="1"/>
  <c r="R558" i="1"/>
  <c r="R548" i="1"/>
  <c r="R732" i="1"/>
  <c r="R891" i="1"/>
  <c r="R833" i="1"/>
  <c r="R311" i="1"/>
  <c r="R509" i="1"/>
  <c r="R85" i="1"/>
  <c r="R715" i="1"/>
  <c r="R629" i="1"/>
  <c r="R631" i="1"/>
  <c r="R402" i="1"/>
  <c r="R53" i="1"/>
  <c r="R258" i="1"/>
  <c r="R372" i="1"/>
  <c r="R839" i="1"/>
  <c r="R431" i="1"/>
  <c r="R705" i="1"/>
  <c r="R588" i="1"/>
  <c r="R834" i="1"/>
  <c r="R261" i="1"/>
  <c r="R425" i="1"/>
  <c r="R919" i="1"/>
  <c r="R502" i="1"/>
  <c r="R805" i="1"/>
  <c r="R506" i="1"/>
  <c r="R478" i="1"/>
  <c r="R553" i="1"/>
  <c r="R391" i="1"/>
  <c r="R293" i="1"/>
  <c r="R734" i="1"/>
  <c r="R726" i="1"/>
  <c r="R910" i="1"/>
  <c r="R823" i="1"/>
  <c r="R287" i="1"/>
  <c r="R799" i="1"/>
  <c r="R807" i="1"/>
  <c r="R582" i="1"/>
  <c r="R81" i="1"/>
  <c r="R112" i="1"/>
  <c r="R38" i="1"/>
  <c r="R40" i="1"/>
  <c r="R180" i="1"/>
  <c r="R800" i="1"/>
  <c r="R442" i="1"/>
  <c r="R795" i="1"/>
  <c r="R610" i="1"/>
  <c r="R6" i="1"/>
  <c r="R203" i="1"/>
  <c r="R88" i="1"/>
  <c r="R185" i="1"/>
  <c r="R348" i="1"/>
  <c r="R237" i="1"/>
  <c r="R413" i="1"/>
  <c r="R814" i="1"/>
  <c r="R479" i="1"/>
  <c r="R611" i="1"/>
  <c r="R315" i="1"/>
  <c r="R848" i="1"/>
  <c r="R395" i="1"/>
  <c r="R770" i="1"/>
  <c r="R649" i="1"/>
  <c r="R896" i="1"/>
  <c r="R102" i="1"/>
  <c r="R21" i="1"/>
  <c r="R567" i="1"/>
  <c r="R583" i="1"/>
  <c r="R467" i="1"/>
  <c r="R480" i="1"/>
  <c r="R455" i="1"/>
  <c r="R263" i="1"/>
  <c r="R201" i="1"/>
  <c r="R22" i="1"/>
  <c r="R122" i="1"/>
  <c r="R179" i="1"/>
  <c r="R26" i="1"/>
  <c r="R850" i="1"/>
  <c r="R277" i="1"/>
  <c r="R782" i="1"/>
  <c r="R654" i="1"/>
  <c r="R837" i="1"/>
  <c r="R462" i="1"/>
  <c r="R541" i="1"/>
  <c r="R888" i="1"/>
  <c r="R302" i="1"/>
  <c r="R71" i="1"/>
  <c r="R77" i="1"/>
  <c r="R827" i="1"/>
  <c r="R843" i="1"/>
  <c r="R334" i="1"/>
  <c r="R495" i="1"/>
  <c r="R916" i="1"/>
  <c r="R868" i="1"/>
  <c r="R859" i="1"/>
  <c r="R482" i="1"/>
  <c r="R373" i="1"/>
  <c r="R408" i="1"/>
  <c r="R227" i="1"/>
  <c r="R476" i="1"/>
  <c r="R215" i="1"/>
  <c r="R301" i="1"/>
  <c r="R419" i="1"/>
  <c r="R849" i="1"/>
  <c r="R487" i="1"/>
  <c r="R861" i="1"/>
  <c r="R900" i="1"/>
  <c r="R69" i="1"/>
  <c r="R212" i="1"/>
  <c r="R164" i="1"/>
  <c r="R829" i="1"/>
  <c r="R197" i="1"/>
  <c r="R803" i="1"/>
  <c r="R634" i="1"/>
  <c r="R577" i="1"/>
  <c r="R908" i="1"/>
  <c r="R905" i="1"/>
  <c r="R377" i="1"/>
  <c r="R322" i="1"/>
  <c r="R659" i="1"/>
  <c r="R652" i="1"/>
  <c r="R363" i="1"/>
  <c r="R331" i="1"/>
  <c r="R903" i="1"/>
  <c r="R147" i="1"/>
  <c r="R871" i="1"/>
  <c r="R892" i="1"/>
  <c r="R728" i="1"/>
  <c r="R717" i="1"/>
  <c r="R143" i="1"/>
  <c r="R426" i="1"/>
  <c r="R895" i="1"/>
  <c r="R62" i="1"/>
  <c r="R49" i="1"/>
  <c r="R762" i="1"/>
  <c r="R540" i="1"/>
  <c r="R914" i="1"/>
  <c r="R821" i="1"/>
  <c r="R917" i="1"/>
  <c r="R206" i="1"/>
  <c r="R693" i="1"/>
  <c r="R791" i="1"/>
  <c r="R58" i="1"/>
  <c r="R298" i="1"/>
  <c r="R103" i="1"/>
  <c r="R29" i="1"/>
  <c r="R107" i="1"/>
  <c r="R755" i="1"/>
  <c r="R557" i="1"/>
  <c r="R906" i="1"/>
  <c r="R325" i="1"/>
  <c r="R590" i="1"/>
  <c r="R860" i="1"/>
  <c r="R321" i="1"/>
  <c r="R517" i="1"/>
  <c r="R384" i="1"/>
  <c r="R625" i="1"/>
  <c r="R411" i="1"/>
  <c r="R329" i="1"/>
  <c r="R259" i="1"/>
  <c r="R332" i="1"/>
  <c r="R802" i="1"/>
  <c r="R864" i="1"/>
  <c r="R847" i="1"/>
  <c r="R867" i="1"/>
  <c r="R644" i="1"/>
  <c r="R543" i="1"/>
  <c r="R768" i="1"/>
  <c r="R835" i="1"/>
  <c r="R866" i="1"/>
  <c r="R716" i="1"/>
  <c r="R697" i="1"/>
  <c r="R876" i="1"/>
  <c r="R902" i="1"/>
  <c r="R375" i="1"/>
  <c r="R774" i="1"/>
  <c r="R777" i="1"/>
  <c r="R254" i="1"/>
  <c r="R101" i="1"/>
  <c r="R565" i="1"/>
  <c r="R15" i="1"/>
  <c r="R124" i="1"/>
  <c r="R703" i="1"/>
  <c r="R841" i="1"/>
  <c r="R338" i="1"/>
  <c r="R33" i="1"/>
  <c r="R472" i="1"/>
  <c r="R724" i="1"/>
  <c r="R824" i="1"/>
  <c r="R694" i="1"/>
  <c r="R862" i="1"/>
  <c r="R863" i="1"/>
  <c r="R877" i="1"/>
  <c r="R386" i="1"/>
  <c r="R624" i="1"/>
  <c r="R549" i="1"/>
  <c r="R804" i="1"/>
  <c r="R819" i="1"/>
  <c r="R894" i="1"/>
  <c r="R135" i="1"/>
  <c r="R27" i="1"/>
  <c r="R641" i="1"/>
  <c r="R409" i="1"/>
  <c r="R730" i="1"/>
  <c r="R736" i="1"/>
  <c r="R775" i="1"/>
  <c r="R374" i="1"/>
  <c r="R18" i="1"/>
  <c r="R74" i="1"/>
  <c r="R111" i="1"/>
  <c r="R326" i="1"/>
  <c r="R760" i="1"/>
  <c r="R230" i="1"/>
  <c r="R460" i="1"/>
  <c r="R875" i="1"/>
  <c r="R219" i="1"/>
  <c r="R252" i="1"/>
  <c r="R141" i="1"/>
  <c r="R25" i="1"/>
  <c r="R494" i="1"/>
  <c r="R613" i="1"/>
  <c r="R806" i="1"/>
  <c r="R779" i="1"/>
  <c r="R820" i="1"/>
  <c r="R808" i="1"/>
  <c r="R399" i="1"/>
  <c r="R842" i="1"/>
  <c r="R297" i="1"/>
  <c r="M297" i="1" s="1"/>
  <c r="R461" i="1"/>
  <c r="N798" i="1"/>
  <c r="P440" i="1"/>
  <c r="P213" i="1"/>
  <c r="P141" i="1"/>
  <c r="P576" i="1"/>
  <c r="P355" i="1"/>
  <c r="N925" i="1"/>
  <c r="N929" i="1"/>
  <c r="P452" i="1"/>
  <c r="P370" i="1"/>
  <c r="P777" i="1"/>
  <c r="N203" i="1"/>
  <c r="P41" i="1"/>
  <c r="P25" i="1"/>
  <c r="P252" i="1"/>
  <c r="O194" i="1"/>
  <c r="O183" i="1"/>
  <c r="Q216" i="1"/>
  <c r="Q438" i="1"/>
  <c r="Q511" i="1"/>
  <c r="Q141" i="1"/>
  <c r="Q927" i="1"/>
  <c r="O929" i="1"/>
  <c r="Q252" i="1"/>
  <c r="O253" i="1"/>
  <c r="O698" i="1"/>
  <c r="O471" i="1"/>
  <c r="M471" i="1" s="1"/>
  <c r="Q870" i="1"/>
  <c r="Q219" i="1"/>
  <c r="Q875" i="1"/>
  <c r="Q151" i="1"/>
  <c r="M151" i="1" s="1"/>
  <c r="O778" i="1"/>
  <c r="O233" i="1"/>
  <c r="O913" i="1"/>
  <c r="Q884" i="1"/>
  <c r="O919" i="1"/>
  <c r="Q460" i="1"/>
  <c r="Q880" i="1"/>
  <c r="Q302" i="1"/>
  <c r="O615" i="1"/>
  <c r="O198" i="1"/>
  <c r="O775" i="1"/>
  <c r="Q177" i="1"/>
  <c r="Q230" i="1"/>
  <c r="Q737" i="1"/>
  <c r="O910" i="1"/>
  <c r="Q889" i="1"/>
  <c r="O464" i="1"/>
  <c r="Q760" i="1"/>
  <c r="O263" i="1"/>
  <c r="Q539" i="1"/>
  <c r="Q732" i="1"/>
  <c r="O666" i="1"/>
  <c r="O713" i="1"/>
  <c r="O335" i="1"/>
  <c r="Q423" i="1"/>
  <c r="Q326" i="1"/>
  <c r="O885" i="1"/>
  <c r="Q563" i="1"/>
  <c r="Q751" i="1"/>
  <c r="O284" i="1"/>
  <c r="Q277" i="1"/>
  <c r="O26" i="1"/>
  <c r="Q116" i="1"/>
  <c r="O74" i="1"/>
  <c r="Q84" i="1"/>
  <c r="O202" i="1"/>
  <c r="O740" i="1"/>
  <c r="O166" i="1"/>
  <c r="O542" i="1"/>
  <c r="O898" i="1"/>
  <c r="O894" i="1"/>
  <c r="Q374" i="1"/>
  <c r="O796" i="1"/>
  <c r="O578" i="1"/>
  <c r="Q640" i="1"/>
  <c r="Q198" i="1"/>
  <c r="O624" i="1"/>
  <c r="Q775" i="1"/>
  <c r="Q812" i="1"/>
  <c r="O306" i="1"/>
  <c r="Q362" i="1"/>
  <c r="O909" i="1"/>
  <c r="Q464" i="1"/>
  <c r="O736" i="1"/>
  <c r="Q921" i="1"/>
  <c r="O664" i="1"/>
  <c r="O730" i="1"/>
  <c r="Q610" i="1"/>
  <c r="O409" i="1"/>
  <c r="Q473" i="1"/>
  <c r="Q897" i="1"/>
  <c r="O573" i="1"/>
  <c r="O348" i="1"/>
  <c r="Q26" i="1"/>
  <c r="O7" i="1"/>
  <c r="O414" i="1"/>
  <c r="O924" i="1"/>
  <c r="O805" i="1"/>
  <c r="O877" i="1"/>
  <c r="O222" i="1"/>
  <c r="O863" i="1"/>
  <c r="O862" i="1"/>
  <c r="O588" i="1"/>
  <c r="O714" i="1"/>
  <c r="O757" i="1"/>
  <c r="O694" i="1"/>
  <c r="O378" i="1"/>
  <c r="O448" i="1"/>
  <c r="O472" i="1"/>
  <c r="O837" i="1"/>
  <c r="O761" i="1"/>
  <c r="O386" i="1"/>
  <c r="O413" i="1"/>
  <c r="O845" i="1"/>
  <c r="O366" i="1"/>
  <c r="O97" i="1"/>
  <c r="Q13" i="1"/>
  <c r="O181" i="1"/>
  <c r="O254" i="1"/>
  <c r="O777" i="1"/>
  <c r="O478" i="1"/>
  <c r="O352" i="1"/>
  <c r="O240" i="1"/>
  <c r="O506" i="1"/>
  <c r="O769" i="1"/>
  <c r="O35" i="1"/>
  <c r="O774" i="1"/>
  <c r="O375" i="1"/>
  <c r="O582" i="1"/>
  <c r="O109" i="1"/>
  <c r="O622" i="1"/>
  <c r="O243" i="1"/>
  <c r="O521" i="1"/>
  <c r="O568" i="1"/>
  <c r="O676" i="1"/>
  <c r="M676" i="1" s="1"/>
  <c r="O288" i="1"/>
  <c r="O396" i="1"/>
  <c r="O258" i="1"/>
  <c r="O159" i="1"/>
  <c r="O32" i="1"/>
  <c r="Q33" i="1"/>
  <c r="Q11" i="1"/>
  <c r="O902" i="1"/>
  <c r="O918" i="1"/>
  <c r="O162" i="1"/>
  <c r="O425" i="1"/>
  <c r="O697" i="1"/>
  <c r="O789" i="1"/>
  <c r="O500" i="1"/>
  <c r="O705" i="1"/>
  <c r="O245" i="1"/>
  <c r="O509" i="1"/>
  <c r="O710" i="1"/>
  <c r="O340" i="1"/>
  <c r="O663" i="1"/>
  <c r="O447" i="1"/>
  <c r="Q288" i="1"/>
  <c r="Q258" i="1"/>
  <c r="Q5" i="1"/>
  <c r="O15" i="1"/>
  <c r="O867" i="1"/>
  <c r="O304" i="1"/>
  <c r="O605" i="1"/>
  <c r="O514" i="1"/>
  <c r="O823" i="1"/>
  <c r="O311" i="1"/>
  <c r="O835" i="1"/>
  <c r="O474" i="1"/>
  <c r="O864" i="1"/>
  <c r="O802" i="1"/>
  <c r="O631" i="1"/>
  <c r="O656" i="1"/>
  <c r="O210" i="1"/>
  <c r="Q55" i="1"/>
  <c r="O220" i="1"/>
  <c r="O752" i="1"/>
  <c r="O309" i="1"/>
  <c r="O706" i="1"/>
  <c r="O504" i="1"/>
  <c r="O486" i="1"/>
  <c r="O283" i="1"/>
  <c r="O665" i="1"/>
  <c r="O285" i="1"/>
  <c r="O390" i="1"/>
  <c r="O571" i="1"/>
  <c r="O747" i="1"/>
  <c r="O267" i="1"/>
  <c r="O457" i="1"/>
  <c r="O507" i="1"/>
  <c r="O748" i="1"/>
  <c r="O458" i="1"/>
  <c r="O522" i="1"/>
  <c r="O545" i="1"/>
  <c r="O153" i="1"/>
  <c r="O292" i="1"/>
  <c r="O735" i="1"/>
  <c r="O416" i="1"/>
  <c r="O643" i="1"/>
  <c r="O723" i="1"/>
  <c r="O430" i="1"/>
  <c r="O655" i="1"/>
  <c r="O459" i="1"/>
  <c r="O402" i="1"/>
  <c r="O347" i="1"/>
  <c r="O417" i="1"/>
  <c r="O650" i="1"/>
  <c r="O592" i="1"/>
  <c r="O463" i="1"/>
  <c r="O275" i="1"/>
  <c r="O364" i="1"/>
  <c r="O515" i="1"/>
  <c r="O595" i="1"/>
  <c r="O491" i="1"/>
  <c r="O314" i="1"/>
  <c r="O313" i="1"/>
  <c r="O569" i="1"/>
  <c r="O682" i="1"/>
  <c r="O639" i="1"/>
  <c r="O691" i="1"/>
  <c r="O612" i="1"/>
  <c r="O485" i="1"/>
  <c r="O869" i="1"/>
  <c r="O251" i="1"/>
  <c r="O465" i="1"/>
  <c r="O242" i="1"/>
  <c r="O497" i="1"/>
  <c r="O323" i="1"/>
  <c r="O742" i="1"/>
  <c r="O601" i="1"/>
  <c r="O406" i="1"/>
  <c r="O382" i="1"/>
  <c r="O822" i="1"/>
  <c r="O489" i="1"/>
  <c r="O388" i="1"/>
  <c r="O692" i="1"/>
  <c r="O594" i="1"/>
  <c r="O524" i="1"/>
  <c r="O718" i="1"/>
  <c r="O279" i="1"/>
  <c r="O345" i="1"/>
  <c r="O400" i="1"/>
  <c r="O453" i="1"/>
  <c r="O570" i="1"/>
  <c r="O94" i="1"/>
  <c r="O169" i="1"/>
  <c r="O566" i="1"/>
  <c r="O189" i="1"/>
  <c r="O152" i="1"/>
  <c r="O255" i="1"/>
  <c r="O923" i="1"/>
  <c r="O498" i="1"/>
  <c r="O305" i="1"/>
  <c r="O662" i="1"/>
  <c r="O633" i="1"/>
  <c r="O483" i="1"/>
  <c r="O674" i="1"/>
  <c r="O721" i="1"/>
  <c r="O792" i="1"/>
  <c r="O525" i="1"/>
  <c r="O519" i="1"/>
  <c r="O658" i="1"/>
  <c r="O244" i="1"/>
  <c r="O424" i="1"/>
  <c r="O405" i="1"/>
  <c r="O584" i="1"/>
  <c r="O771" i="1"/>
  <c r="O671" i="1"/>
  <c r="O616" i="1"/>
  <c r="O528" i="1"/>
  <c r="O518" i="1"/>
  <c r="O361" i="1"/>
  <c r="O575" i="1"/>
  <c r="O645" i="1"/>
  <c r="O651" i="1"/>
  <c r="O741" i="1"/>
  <c r="O470" i="1"/>
  <c r="O554" i="1"/>
  <c r="O579" i="1"/>
  <c r="O475" i="1"/>
  <c r="O336" i="1"/>
  <c r="O533" i="1"/>
  <c r="O523" i="1"/>
  <c r="O702" i="1"/>
  <c r="O271" i="1"/>
  <c r="O350" i="1"/>
  <c r="O360" i="1"/>
  <c r="O753" i="1"/>
  <c r="O628" i="1"/>
  <c r="O403" i="1"/>
  <c r="O383" i="1"/>
  <c r="O268" i="1"/>
  <c r="O544" i="1"/>
  <c r="O602" i="1"/>
  <c r="O70" i="1"/>
  <c r="O127" i="1"/>
  <c r="O591" i="1"/>
  <c r="O679" i="1"/>
  <c r="O265" i="1"/>
  <c r="O415" i="1"/>
  <c r="O686" i="1"/>
  <c r="O727" i="1"/>
  <c r="O501" i="1"/>
  <c r="O469" i="1"/>
  <c r="O683" i="1"/>
  <c r="O420" i="1"/>
  <c r="O392" i="1"/>
  <c r="O581" i="1"/>
  <c r="O173" i="1"/>
  <c r="O264" i="1"/>
  <c r="O608" i="1"/>
  <c r="O451" i="1"/>
  <c r="O505" i="1"/>
  <c r="O733" i="1"/>
  <c r="O444" i="1"/>
  <c r="O450" i="1"/>
  <c r="O428" i="1"/>
  <c r="O410" i="1"/>
  <c r="O387" i="1"/>
  <c r="O642" i="1"/>
  <c r="O660" i="1"/>
  <c r="O99" i="1"/>
  <c r="O637" i="1"/>
  <c r="O422" i="1"/>
  <c r="O211" i="1"/>
  <c r="O218" i="1"/>
  <c r="O223" i="1"/>
  <c r="O754" i="1"/>
  <c r="O620" i="1"/>
  <c r="O773" i="1"/>
  <c r="O675" i="1"/>
  <c r="O749" i="1"/>
  <c r="O630" i="1"/>
  <c r="O632" i="1"/>
  <c r="O446" i="1"/>
  <c r="O299" i="1"/>
  <c r="O354" i="1"/>
  <c r="O368" i="1"/>
  <c r="O552" i="1"/>
  <c r="O626" i="1"/>
  <c r="O496" i="1"/>
  <c r="O684" i="1"/>
  <c r="O115" i="1"/>
  <c r="O653" i="1"/>
  <c r="O120" i="1"/>
  <c r="O163" i="1"/>
  <c r="O165" i="1"/>
  <c r="O168" i="1"/>
  <c r="O121" i="1"/>
  <c r="O281" i="1"/>
  <c r="O349" i="1"/>
  <c r="O535" i="1"/>
  <c r="O638" i="1"/>
  <c r="O623" i="1"/>
  <c r="O427" i="1"/>
  <c r="O443" i="1"/>
  <c r="O394" i="1"/>
  <c r="O520" i="1"/>
  <c r="O516" i="1"/>
  <c r="O700" i="1"/>
  <c r="O80" i="1"/>
  <c r="O550" i="1"/>
  <c r="O503" i="1"/>
  <c r="O172" i="1"/>
  <c r="O609" i="1"/>
  <c r="O437" i="1"/>
  <c r="O817" i="1"/>
  <c r="O256" i="1"/>
  <c r="O295" i="1"/>
  <c r="O217" i="1"/>
  <c r="O118" i="1"/>
  <c r="O597" i="1"/>
  <c r="O308" i="1"/>
  <c r="O865" i="1"/>
  <c r="O57" i="1"/>
  <c r="O139" i="1"/>
  <c r="O92" i="1"/>
  <c r="O49" i="1"/>
  <c r="O53" i="1"/>
  <c r="O85" i="1"/>
  <c r="O14" i="1"/>
  <c r="O494" i="1"/>
  <c r="O567" i="1"/>
  <c r="O327" i="1"/>
  <c r="O759" i="1"/>
  <c r="O435" i="1"/>
  <c r="O536" i="1"/>
  <c r="O586" i="1"/>
  <c r="O593" i="1"/>
  <c r="O106" i="1"/>
  <c r="O231" i="1"/>
  <c r="O76" i="1"/>
  <c r="O221" i="1"/>
  <c r="O377" i="1"/>
  <c r="O117" i="1"/>
  <c r="O618" i="1"/>
  <c r="O44" i="1"/>
  <c r="O79" i="1"/>
  <c r="O83" i="1"/>
  <c r="O65" i="1"/>
  <c r="O678" i="1"/>
  <c r="O269" i="1"/>
  <c r="O851" i="1"/>
  <c r="O680" i="1"/>
  <c r="O149" i="1"/>
  <c r="O825" i="1"/>
  <c r="O356" i="1"/>
  <c r="O144" i="1"/>
  <c r="O365" i="1"/>
  <c r="O188" i="1"/>
  <c r="O225" i="1"/>
  <c r="O52" i="1"/>
  <c r="O38" i="1"/>
  <c r="O6" i="1"/>
  <c r="O111" i="1"/>
  <c r="O124" i="1"/>
  <c r="O850" i="1"/>
  <c r="O322" i="1"/>
  <c r="O715" i="1"/>
  <c r="O473" i="1"/>
  <c r="O379" i="1"/>
  <c r="O814" i="1"/>
  <c r="O291" i="1"/>
  <c r="O441" i="1"/>
  <c r="O547" i="1"/>
  <c r="O207" i="1"/>
  <c r="O132" i="1"/>
  <c r="O170" i="1"/>
  <c r="O904" i="1"/>
  <c r="O11" i="1"/>
  <c r="O429" i="1"/>
  <c r="O607" i="1"/>
  <c r="O353" i="1"/>
  <c r="O137" i="1"/>
  <c r="O560" i="1"/>
  <c r="O260" i="1"/>
  <c r="O108" i="1"/>
  <c r="O154" i="1"/>
  <c r="O532" i="1"/>
  <c r="O296" i="1"/>
  <c r="O81" i="1"/>
  <c r="O191" i="1"/>
  <c r="O433" i="1"/>
  <c r="O648" i="1"/>
  <c r="O572" i="1"/>
  <c r="O776" i="1"/>
  <c r="O17" i="1"/>
  <c r="O63" i="1"/>
  <c r="O45" i="1"/>
  <c r="O24" i="1"/>
  <c r="O46" i="1"/>
  <c r="O687" i="1"/>
  <c r="O722" i="1"/>
  <c r="O75" i="1"/>
  <c r="O589" i="1"/>
  <c r="O788" i="1"/>
  <c r="O160" i="1"/>
  <c r="O138" i="1"/>
  <c r="O765" i="1"/>
  <c r="O846" i="1"/>
  <c r="O67" i="1"/>
  <c r="O86" i="1"/>
  <c r="O603" i="1"/>
  <c r="O51" i="1"/>
  <c r="O133" i="1"/>
  <c r="O200" i="1"/>
  <c r="O238" i="1"/>
  <c r="O813" i="1"/>
  <c r="O711" i="1"/>
  <c r="O89" i="1"/>
  <c r="O48" i="1"/>
  <c r="O66" i="1"/>
  <c r="O192" i="1"/>
  <c r="O10" i="1"/>
  <c r="O203" i="1"/>
  <c r="O55" i="1"/>
  <c r="O185" i="1"/>
  <c r="O39" i="1"/>
  <c r="O147" i="1"/>
  <c r="O411" i="1"/>
  <c r="O600" i="1"/>
  <c r="O843" i="1"/>
  <c r="O490" i="1"/>
  <c r="O580" i="1"/>
  <c r="O892" i="1"/>
  <c r="O672" i="1"/>
  <c r="O541" i="1"/>
  <c r="O914" i="1"/>
  <c r="O709" i="1"/>
  <c r="O841" i="1"/>
  <c r="O167" i="1"/>
  <c r="O883" i="1"/>
  <c r="O806" i="1"/>
  <c r="O882" i="1"/>
  <c r="O517" i="1"/>
  <c r="O538" i="1"/>
  <c r="O300" i="1"/>
  <c r="O234" i="1"/>
  <c r="O280" i="1"/>
  <c r="O158" i="1"/>
  <c r="O182" i="1"/>
  <c r="O23" i="1"/>
  <c r="O161" i="1"/>
  <c r="O574" i="1"/>
  <c r="O174" i="1"/>
  <c r="O68" i="1"/>
  <c r="O178" i="1"/>
  <c r="O150" i="1"/>
  <c r="O113" i="1"/>
  <c r="O828" i="1"/>
  <c r="O346" i="1"/>
  <c r="O59" i="1"/>
  <c r="O29" i="1"/>
  <c r="O136" i="1"/>
  <c r="O135" i="1"/>
  <c r="O36" i="1"/>
  <c r="O488" i="1"/>
  <c r="O329" i="1"/>
  <c r="O553" i="1"/>
  <c r="O641" i="1"/>
  <c r="O442" i="1"/>
  <c r="O782" i="1"/>
  <c r="O332" i="1"/>
  <c r="O767" i="1"/>
  <c r="O755" i="1"/>
  <c r="O493" i="1"/>
  <c r="O341" i="1"/>
  <c r="O257" i="1"/>
  <c r="O466" i="1"/>
  <c r="O797" i="1"/>
  <c r="O617" i="1"/>
  <c r="O529" i="1"/>
  <c r="O145" i="1"/>
  <c r="O110" i="1"/>
  <c r="O56" i="1"/>
  <c r="O8" i="1"/>
  <c r="O16" i="1"/>
  <c r="O12" i="1"/>
  <c r="O555" i="1"/>
  <c r="O540" i="1"/>
  <c r="O389" i="1"/>
  <c r="O795" i="1"/>
  <c r="O832" i="1"/>
  <c r="O758" i="1"/>
  <c r="O783" i="1"/>
  <c r="O512" i="1"/>
  <c r="O239" i="1"/>
  <c r="O534" i="1"/>
  <c r="O646" i="1"/>
  <c r="O125" i="1"/>
  <c r="O114" i="1"/>
  <c r="O282" i="1"/>
  <c r="O794" i="1"/>
  <c r="O157" i="1"/>
  <c r="O87" i="1"/>
  <c r="O42" i="1"/>
  <c r="O31" i="1"/>
  <c r="O561" i="1"/>
  <c r="O371" i="1"/>
  <c r="O708" i="1"/>
  <c r="O236" i="1"/>
  <c r="O621" i="1"/>
  <c r="O134" i="1"/>
  <c r="O78" i="1"/>
  <c r="O90" i="1"/>
  <c r="O838" i="1"/>
  <c r="O729" i="1"/>
  <c r="O398" i="1"/>
  <c r="O196" i="1"/>
  <c r="O61" i="1"/>
  <c r="O468" i="1"/>
  <c r="O82" i="1"/>
  <c r="O274" i="1"/>
  <c r="O171" i="1"/>
  <c r="O681" i="1"/>
  <c r="O248" i="1"/>
  <c r="O854" i="1"/>
  <c r="O873" i="1"/>
  <c r="O112" i="1"/>
  <c r="O40" i="1"/>
  <c r="O179" i="1"/>
  <c r="O407" i="1"/>
  <c r="O372" i="1"/>
  <c r="O613" i="1"/>
  <c r="O301" i="1"/>
  <c r="O289" i="1"/>
  <c r="O419" i="1"/>
  <c r="O479" i="1"/>
  <c r="O906" i="1"/>
  <c r="O610" i="1"/>
  <c r="O734" i="1"/>
  <c r="O745" i="1"/>
  <c r="O726" i="1"/>
  <c r="O201" i="1"/>
  <c r="O431" i="1"/>
  <c r="O770" i="1"/>
  <c r="O917" i="1"/>
  <c r="O84" i="1"/>
  <c r="O13" i="1"/>
  <c r="O122" i="1"/>
  <c r="O922" i="1"/>
  <c r="O467" i="1"/>
  <c r="O480" i="1"/>
  <c r="O654" i="1"/>
  <c r="O351" i="1"/>
  <c r="O278" i="1"/>
  <c r="O176" i="1"/>
  <c r="O324" i="1"/>
  <c r="O720" i="1"/>
  <c r="O91" i="1"/>
  <c r="O43" i="1"/>
  <c r="O34" i="1"/>
  <c r="O790" i="1"/>
  <c r="O897" i="1"/>
  <c r="O644" i="1"/>
  <c r="O827" i="1"/>
  <c r="O793" i="1"/>
  <c r="O421" i="1"/>
  <c r="O563" i="1"/>
  <c r="O629" i="1"/>
  <c r="O436" i="1"/>
  <c r="O826" i="1"/>
  <c r="O652" i="1"/>
  <c r="O224" i="1"/>
  <c r="O732" i="1"/>
  <c r="O768" i="1"/>
  <c r="O856" i="1"/>
  <c r="O824" i="1"/>
  <c r="O635" i="1"/>
  <c r="O670" i="1"/>
  <c r="O205" i="1"/>
  <c r="O397" i="1"/>
  <c r="O119" i="1"/>
  <c r="O819" i="1"/>
  <c r="O852" i="1"/>
  <c r="O916" i="1"/>
  <c r="O209" i="1"/>
  <c r="O249" i="1"/>
  <c r="O408" i="1"/>
  <c r="O252" i="1"/>
  <c r="O226" i="1"/>
  <c r="O481" i="1"/>
  <c r="O235" i="1"/>
  <c r="O510" i="1"/>
  <c r="O95" i="1"/>
  <c r="O54" i="1"/>
  <c r="O25" i="1"/>
  <c r="O116" i="1"/>
  <c r="O456" i="1"/>
  <c r="O229" i="1"/>
  <c r="O703" i="1"/>
  <c r="O874" i="1"/>
  <c r="O513" i="1"/>
  <c r="O891" i="1"/>
  <c r="O921" i="1"/>
  <c r="O319" i="1"/>
  <c r="O717" i="1"/>
  <c r="O699" i="1"/>
  <c r="O310" i="1"/>
  <c r="O331" i="1"/>
  <c r="O879" i="1"/>
  <c r="O779" i="1"/>
  <c r="O804" i="1"/>
  <c r="O246" i="1"/>
  <c r="O876" i="1"/>
  <c r="O527" i="1"/>
  <c r="O77" i="1"/>
  <c r="O596" i="1"/>
  <c r="O810" i="1"/>
  <c r="O744" i="1"/>
  <c r="O293" i="1"/>
  <c r="O695" i="1"/>
  <c r="O175" i="1"/>
  <c r="O100" i="1"/>
  <c r="O180" i="1"/>
  <c r="O5" i="1"/>
  <c r="O844" i="1"/>
  <c r="O290" i="1"/>
  <c r="O800" i="1"/>
  <c r="O307" i="1"/>
  <c r="O728" i="1"/>
  <c r="O920" i="1"/>
  <c r="O833" i="1"/>
  <c r="O855" i="1"/>
  <c r="O585" i="1"/>
  <c r="O559" i="1"/>
  <c r="O342" i="1"/>
  <c r="O426" i="1"/>
  <c r="O156" i="1"/>
  <c r="O791" i="1"/>
  <c r="O903" i="1"/>
  <c r="O164" i="1"/>
  <c r="O899" i="1"/>
  <c r="O103" i="1"/>
  <c r="O98" i="1"/>
  <c r="O60" i="1"/>
  <c r="O88" i="1"/>
  <c r="O184" i="1"/>
  <c r="O130" i="1"/>
  <c r="O129" i="1"/>
  <c r="O27" i="1"/>
  <c r="O381" i="1"/>
  <c r="O762" i="1"/>
  <c r="O543" i="1"/>
  <c r="O339" i="1"/>
  <c r="O724" i="1"/>
  <c r="O689" i="1"/>
  <c r="O911" i="1"/>
  <c r="O363" i="1"/>
  <c r="O338" i="1"/>
  <c r="O611" i="1"/>
  <c r="O764" i="1"/>
  <c r="O315" i="1"/>
  <c r="O587" i="1"/>
  <c r="O766" i="1"/>
  <c r="O848" i="1"/>
  <c r="O716" i="1"/>
  <c r="O831" i="1"/>
  <c r="O495" i="1"/>
  <c r="O619" i="1"/>
  <c r="O649" i="1"/>
  <c r="O102" i="1"/>
  <c r="O33" i="1"/>
  <c r="O772" i="1"/>
  <c r="O317" i="1"/>
  <c r="O325" i="1"/>
  <c r="O276" i="1"/>
  <c r="O763" i="1"/>
  <c r="O661" i="1"/>
  <c r="O866" i="1"/>
  <c r="O860" i="1"/>
  <c r="O96" i="1"/>
  <c r="O177" i="1"/>
  <c r="O707" i="1"/>
  <c r="O549" i="1"/>
  <c r="O206" i="1"/>
  <c r="O881" i="1"/>
  <c r="O808" i="1"/>
  <c r="O186" i="1"/>
  <c r="O294" i="1"/>
  <c r="O492" i="1"/>
  <c r="O576" i="1"/>
  <c r="O128" i="1"/>
  <c r="O925" i="1"/>
  <c r="O298" i="1"/>
  <c r="O58" i="1"/>
  <c r="O556" i="1"/>
  <c r="O857" i="1"/>
  <c r="O847" i="1"/>
  <c r="Q670" i="1"/>
  <c r="O590" i="1"/>
  <c r="O247" i="1"/>
  <c r="O462" i="1"/>
  <c r="Q864" i="1"/>
  <c r="Q224" i="1"/>
  <c r="Q802" i="1"/>
  <c r="Q631" i="1"/>
  <c r="Q656" i="1"/>
  <c r="O537" i="1"/>
  <c r="O259" i="1"/>
  <c r="O250" i="1"/>
  <c r="O673" i="1"/>
  <c r="O131" i="1"/>
  <c r="O393" i="1"/>
  <c r="O893" i="1"/>
  <c r="O693" i="1"/>
  <c r="O834" i="1"/>
  <c r="O232" i="1"/>
  <c r="O647" i="1"/>
  <c r="O321" i="1"/>
  <c r="O821" i="1"/>
  <c r="O669" i="1"/>
  <c r="O557" i="1"/>
  <c r="O725" i="1"/>
  <c r="O418" i="1"/>
  <c r="O19" i="1"/>
  <c r="O107" i="1"/>
  <c r="O9" i="1"/>
  <c r="O836" i="1"/>
  <c r="Q292" i="1"/>
  <c r="Q735" i="1"/>
  <c r="Q416" i="1"/>
  <c r="Q643" i="1"/>
  <c r="Q723" i="1"/>
  <c r="Q430" i="1"/>
  <c r="Q655" i="1"/>
  <c r="Q459" i="1"/>
  <c r="Q402" i="1"/>
  <c r="Q347" i="1"/>
  <c r="Q463" i="1"/>
  <c r="Q275" i="1"/>
  <c r="Q364" i="1"/>
  <c r="Q515" i="1"/>
  <c r="Q595" i="1"/>
  <c r="Q491" i="1"/>
  <c r="Q314" i="1"/>
  <c r="Q313" i="1"/>
  <c r="Q538" i="1"/>
  <c r="Q646" i="1"/>
  <c r="Q207" i="1"/>
  <c r="Q569" i="1"/>
  <c r="Q682" i="1"/>
  <c r="Q639" i="1"/>
  <c r="Q691" i="1"/>
  <c r="Q612" i="1"/>
  <c r="Q485" i="1"/>
  <c r="Q869" i="1"/>
  <c r="Q251" i="1"/>
  <c r="Q465" i="1"/>
  <c r="Q433" i="1"/>
  <c r="Q536" i="1"/>
  <c r="Q534" i="1"/>
  <c r="Q242" i="1"/>
  <c r="Q497" i="1"/>
  <c r="Q323" i="1"/>
  <c r="Q742" i="1"/>
  <c r="Q601" i="1"/>
  <c r="Q406" i="1"/>
  <c r="Q382" i="1"/>
  <c r="Q822" i="1"/>
  <c r="Q489" i="1"/>
  <c r="Q388" i="1"/>
  <c r="Q692" i="1"/>
  <c r="Q594" i="1"/>
  <c r="Q524" i="1"/>
  <c r="Q718" i="1"/>
  <c r="Q279" i="1"/>
  <c r="Q345" i="1"/>
  <c r="Q400" i="1"/>
  <c r="Q498" i="1"/>
  <c r="Q305" i="1"/>
  <c r="Q662" i="1"/>
  <c r="Q633" i="1"/>
  <c r="Q483" i="1"/>
  <c r="Q674" i="1"/>
  <c r="Q721" i="1"/>
  <c r="Q792" i="1"/>
  <c r="Q525" i="1"/>
  <c r="Q519" i="1"/>
  <c r="Q658" i="1"/>
  <c r="Q244" i="1"/>
  <c r="Q405" i="1"/>
  <c r="Q584" i="1"/>
  <c r="Q771" i="1"/>
  <c r="Q671" i="1"/>
  <c r="Q616" i="1"/>
  <c r="Q528" i="1"/>
  <c r="Q518" i="1"/>
  <c r="Q361" i="1"/>
  <c r="Q575" i="1"/>
  <c r="Q648" i="1"/>
  <c r="Q137" i="1"/>
  <c r="Q560" i="1"/>
  <c r="Q46" i="1"/>
  <c r="Q645" i="1"/>
  <c r="Q651" i="1"/>
  <c r="Q741" i="1"/>
  <c r="Q470" i="1"/>
  <c r="Q554" i="1"/>
  <c r="Q579" i="1"/>
  <c r="Q475" i="1"/>
  <c r="Q336" i="1"/>
  <c r="Q271" i="1"/>
  <c r="Q350" i="1"/>
  <c r="Q360" i="1"/>
  <c r="Q753" i="1"/>
  <c r="Q628" i="1"/>
  <c r="Q403" i="1"/>
  <c r="Q383" i="1"/>
  <c r="Q268" i="1"/>
  <c r="Q265" i="1"/>
  <c r="Q415" i="1"/>
  <c r="Q686" i="1"/>
  <c r="Q727" i="1"/>
  <c r="Q501" i="1"/>
  <c r="Q469" i="1"/>
  <c r="Q683" i="1"/>
  <c r="Q420" i="1"/>
  <c r="Q392" i="1"/>
  <c r="Q574" i="1"/>
  <c r="Q100" i="1"/>
  <c r="Q581" i="1"/>
  <c r="Q173" i="1"/>
  <c r="Q264" i="1"/>
  <c r="Q608" i="1"/>
  <c r="Q451" i="1"/>
  <c r="Q505" i="1"/>
  <c r="Q733" i="1"/>
  <c r="Q444" i="1"/>
  <c r="Q450" i="1"/>
  <c r="Q428" i="1"/>
  <c r="Q410" i="1"/>
  <c r="Q387" i="1"/>
  <c r="Q642" i="1"/>
  <c r="Q660" i="1"/>
  <c r="Q99" i="1"/>
  <c r="Q637" i="1"/>
  <c r="Q422" i="1"/>
  <c r="Q211" i="1"/>
  <c r="Q218" i="1"/>
  <c r="Q223" i="1"/>
  <c r="Q754" i="1"/>
  <c r="Q620" i="1"/>
  <c r="Q773" i="1"/>
  <c r="Q675" i="1"/>
  <c r="Q749" i="1"/>
  <c r="Q630" i="1"/>
  <c r="Q632" i="1"/>
  <c r="Q446" i="1"/>
  <c r="Q299" i="1"/>
  <c r="Q354" i="1"/>
  <c r="Q368" i="1"/>
  <c r="Q552" i="1"/>
  <c r="Q626" i="1"/>
  <c r="Q281" i="1"/>
  <c r="Q349" i="1"/>
  <c r="Q535" i="1"/>
  <c r="Q638" i="1"/>
  <c r="Q623" i="1"/>
  <c r="Q427" i="1"/>
  <c r="Q443" i="1"/>
  <c r="Q394" i="1"/>
  <c r="M394" i="1" s="1"/>
  <c r="Q520" i="1"/>
  <c r="Q516" i="1"/>
  <c r="Q700" i="1"/>
  <c r="Q80" i="1"/>
  <c r="Q550" i="1"/>
  <c r="Q503" i="1"/>
  <c r="Q172" i="1"/>
  <c r="Q609" i="1"/>
  <c r="Q437" i="1"/>
  <c r="Q817" i="1"/>
  <c r="Q429" i="1"/>
  <c r="Q589" i="1"/>
  <c r="Q561" i="1"/>
  <c r="Q729" i="1"/>
  <c r="Q435" i="1"/>
  <c r="Q607" i="1"/>
  <c r="Q603" i="1"/>
  <c r="Q371" i="1"/>
  <c r="Q441" i="1"/>
  <c r="Q468" i="1"/>
  <c r="Q149" i="1"/>
  <c r="Q825" i="1"/>
  <c r="Q82" i="1"/>
  <c r="Q220" i="1"/>
  <c r="Q752" i="1"/>
  <c r="Q309" i="1"/>
  <c r="Q706" i="1"/>
  <c r="Q504" i="1"/>
  <c r="Q486" i="1"/>
  <c r="Q283" i="1"/>
  <c r="Q665" i="1"/>
  <c r="Q510" i="1"/>
  <c r="Q695" i="1"/>
  <c r="Q341" i="1"/>
  <c r="Q788" i="1"/>
  <c r="Q200" i="1"/>
  <c r="Q150" i="1"/>
  <c r="Q324" i="1"/>
  <c r="Q235" i="1"/>
  <c r="Q797" i="1"/>
  <c r="Q282" i="1"/>
  <c r="Q747" i="1"/>
  <c r="Q544" i="1"/>
  <c r="Q545" i="1"/>
  <c r="Q51" i="1"/>
  <c r="Q591" i="1"/>
  <c r="Q152" i="1"/>
  <c r="Q165" i="1"/>
  <c r="Q158" i="1"/>
  <c r="Q225" i="1"/>
  <c r="Q711" i="1"/>
  <c r="Q45" i="1"/>
  <c r="Q20" i="1"/>
  <c r="Q95" i="1"/>
  <c r="Q71" i="1"/>
  <c r="Q8" i="1"/>
  <c r="Q136" i="1"/>
  <c r="Q180" i="1"/>
  <c r="Q77" i="1"/>
  <c r="Q27" i="1"/>
  <c r="Q555" i="1"/>
  <c r="Q488" i="1"/>
  <c r="Q845" i="1"/>
  <c r="Q644" i="1"/>
  <c r="Q871" i="1"/>
  <c r="Q390" i="1"/>
  <c r="Q234" i="1"/>
  <c r="Q238" i="1"/>
  <c r="Q145" i="1"/>
  <c r="Q48" i="1"/>
  <c r="Q52" i="1"/>
  <c r="Q110" i="1"/>
  <c r="Q191" i="1"/>
  <c r="Q417" i="1"/>
  <c r="Q153" i="1"/>
  <c r="Q127" i="1"/>
  <c r="Q466" i="1"/>
  <c r="Q108" i="1"/>
  <c r="Q154" i="1"/>
  <c r="Q681" i="1"/>
  <c r="Q720" i="1"/>
  <c r="Q776" i="1"/>
  <c r="Q570" i="1"/>
  <c r="Q94" i="1"/>
  <c r="Q547" i="1"/>
  <c r="Q708" i="1"/>
  <c r="Q353" i="1"/>
  <c r="Q174" i="1"/>
  <c r="Q653" i="1"/>
  <c r="Q481" i="1"/>
  <c r="Q160" i="1"/>
  <c r="Q121" i="1"/>
  <c r="Q196" i="1"/>
  <c r="Q593" i="1"/>
  <c r="Q377" i="1"/>
  <c r="Q532" i="1"/>
  <c r="Q170" i="1"/>
  <c r="Q296" i="1"/>
  <c r="Q865" i="1"/>
  <c r="Q81" i="1"/>
  <c r="Q25" i="1"/>
  <c r="Q74" i="1"/>
  <c r="Q130" i="1"/>
  <c r="Q19" i="1"/>
  <c r="Q659" i="1"/>
  <c r="Q800" i="1"/>
  <c r="Q413" i="1"/>
  <c r="Q629" i="1"/>
  <c r="Q557" i="1"/>
  <c r="Q231" i="1"/>
  <c r="Q260" i="1"/>
  <c r="Q118" i="1"/>
  <c r="Q17" i="1"/>
  <c r="Q63" i="1"/>
  <c r="Q79" i="1"/>
  <c r="Q24" i="1"/>
  <c r="Q702" i="1"/>
  <c r="Q572" i="1"/>
  <c r="Q217" i="1"/>
  <c r="Q687" i="1"/>
  <c r="Q75" i="1"/>
  <c r="Q92" i="1"/>
  <c r="Q285" i="1"/>
  <c r="Q115" i="1"/>
  <c r="Q255" i="1"/>
  <c r="Q722" i="1"/>
  <c r="Q765" i="1"/>
  <c r="Q851" i="1"/>
  <c r="Q67" i="1"/>
  <c r="Q650" i="1"/>
  <c r="Q684" i="1"/>
  <c r="Q138" i="1"/>
  <c r="Q846" i="1"/>
  <c r="Q66" i="1"/>
  <c r="Q457" i="1"/>
  <c r="Q533" i="1"/>
  <c r="Q586" i="1"/>
  <c r="Q133" i="1"/>
  <c r="Q120" i="1"/>
  <c r="Q117" i="1"/>
  <c r="Q813" i="1"/>
  <c r="Q182" i="1"/>
  <c r="Q89" i="1"/>
  <c r="Q44" i="1"/>
  <c r="Q23" i="1"/>
  <c r="Q192" i="1"/>
  <c r="Q28" i="1"/>
  <c r="Q300" i="1"/>
  <c r="Q163" i="1"/>
  <c r="Q280" i="1"/>
  <c r="Q597" i="1"/>
  <c r="Q144" i="1"/>
  <c r="Q828" i="1"/>
  <c r="Q346" i="1"/>
  <c r="Q59" i="1"/>
  <c r="Q161" i="1"/>
  <c r="Q29" i="1"/>
  <c r="Q49" i="1"/>
  <c r="Q135" i="1"/>
  <c r="Q36" i="1"/>
  <c r="Q494" i="1"/>
  <c r="Q329" i="1"/>
  <c r="Q553" i="1"/>
  <c r="Q641" i="1"/>
  <c r="Q442" i="1"/>
  <c r="Q782" i="1"/>
  <c r="Q332" i="1"/>
  <c r="Q767" i="1"/>
  <c r="Q755" i="1"/>
  <c r="Q493" i="1"/>
  <c r="Q669" i="1"/>
  <c r="Q208" i="1"/>
  <c r="Q837" i="1"/>
  <c r="Q307" i="1"/>
  <c r="Q763" i="1"/>
  <c r="Q568" i="1"/>
  <c r="Q664" i="1"/>
  <c r="Q263" i="1"/>
  <c r="Q849" i="1"/>
  <c r="Q363" i="1"/>
  <c r="Q590" i="1"/>
  <c r="Q310" i="1"/>
  <c r="Q707" i="1"/>
  <c r="Q507" i="1"/>
  <c r="Q68" i="1"/>
  <c r="Q184" i="1"/>
  <c r="Q113" i="1"/>
  <c r="Q678" i="1"/>
  <c r="Q91" i="1"/>
  <c r="Q602" i="1"/>
  <c r="Q169" i="1"/>
  <c r="Q76" i="1"/>
  <c r="Q527" i="1"/>
  <c r="Q617" i="1"/>
  <c r="Q529" i="1"/>
  <c r="Q139" i="1"/>
  <c r="Q56" i="1"/>
  <c r="Q16" i="1"/>
  <c r="Q12" i="1"/>
  <c r="Q540" i="1"/>
  <c r="Q389" i="1"/>
  <c r="Q748" i="1"/>
  <c r="Q522" i="1"/>
  <c r="Q236" i="1"/>
  <c r="Q189" i="1"/>
  <c r="Q114" i="1"/>
  <c r="Q78" i="1"/>
  <c r="Q102" i="1"/>
  <c r="Q54" i="1"/>
  <c r="Q348" i="1"/>
  <c r="Q696" i="1"/>
  <c r="Q210" i="1"/>
  <c r="Q290" i="1"/>
  <c r="Q284" i="1"/>
  <c r="Q786" i="1"/>
  <c r="Q793" i="1"/>
  <c r="Q537" i="1"/>
  <c r="Q654" i="1"/>
  <c r="Q335" i="1"/>
  <c r="Q713" i="1"/>
  <c r="Q688" i="1"/>
  <c r="Q661" i="1"/>
  <c r="Q856" i="1"/>
  <c r="Q319" i="1"/>
  <c r="Q343" i="1"/>
  <c r="Q821" i="1"/>
  <c r="Q453" i="1"/>
  <c r="Q106" i="1"/>
  <c r="Q398" i="1"/>
  <c r="Q621" i="1"/>
  <c r="Q134" i="1"/>
  <c r="Q90" i="1"/>
  <c r="Q838" i="1"/>
  <c r="Q176" i="1"/>
  <c r="Q83" i="1"/>
  <c r="Q61" i="1"/>
  <c r="Q523" i="1"/>
  <c r="Q274" i="1"/>
  <c r="Q618" i="1"/>
  <c r="Q269" i="1"/>
  <c r="Q854" i="1"/>
  <c r="Q873" i="1"/>
  <c r="Q278" i="1"/>
  <c r="Q295" i="1"/>
  <c r="Q221" i="1"/>
  <c r="Q171" i="1"/>
  <c r="Q226" i="1"/>
  <c r="Q248" i="1"/>
  <c r="Q680" i="1"/>
  <c r="Q175" i="1"/>
  <c r="Q60" i="1"/>
  <c r="Q88" i="1"/>
  <c r="Q112" i="1"/>
  <c r="Q22" i="1"/>
  <c r="Q424" i="1"/>
  <c r="Q496" i="1"/>
  <c r="Q70" i="1"/>
  <c r="M70" i="1" s="1"/>
  <c r="Q256" i="1"/>
  <c r="Q365" i="1"/>
  <c r="Q356" i="1"/>
  <c r="Q614" i="1"/>
  <c r="Q836" i="1"/>
  <c r="Q57" i="1"/>
  <c r="Q38" i="1"/>
  <c r="Q6" i="1"/>
  <c r="Q111" i="1"/>
  <c r="Q124" i="1"/>
  <c r="Q850" i="1"/>
  <c r="Q322" i="1"/>
  <c r="Q715" i="1"/>
  <c r="Q379" i="1"/>
  <c r="Q814" i="1"/>
  <c r="Q291" i="1"/>
  <c r="Q293" i="1"/>
  <c r="Q724" i="1"/>
  <c r="Q730" i="1"/>
  <c r="Q731" i="1"/>
  <c r="Q824" i="1"/>
  <c r="Q338" i="1"/>
  <c r="Q839" i="1"/>
  <c r="Q860" i="1"/>
  <c r="Q321" i="1"/>
  <c r="Q716" i="1"/>
  <c r="Q624" i="1"/>
  <c r="Q820" i="1"/>
  <c r="Q320" i="1"/>
  <c r="Q571" i="1"/>
  <c r="Q257" i="1"/>
  <c r="Q43" i="1"/>
  <c r="Q34" i="1"/>
  <c r="Q790" i="1"/>
  <c r="Q396" i="1"/>
  <c r="Q827" i="1"/>
  <c r="Q421" i="1"/>
  <c r="Q652" i="1"/>
  <c r="Q409" i="1"/>
  <c r="Q267" i="1"/>
  <c r="Q168" i="1"/>
  <c r="Q65" i="1"/>
  <c r="Q7" i="1"/>
  <c r="Q97" i="1"/>
  <c r="Q32" i="1"/>
  <c r="Q50" i="1"/>
  <c r="Q327" i="1"/>
  <c r="Q250" i="1"/>
  <c r="Q262" i="1"/>
  <c r="Q906" i="1"/>
  <c r="Q710" i="1"/>
  <c r="Q832" i="1"/>
  <c r="Q311" i="1"/>
  <c r="Q694" i="1"/>
  <c r="Q847" i="1"/>
  <c r="Q750" i="1"/>
  <c r="Q863" i="1"/>
  <c r="Q393" i="1"/>
  <c r="Q784" i="1"/>
  <c r="Q546" i="1"/>
  <c r="Q227" i="1"/>
  <c r="Q458" i="1"/>
  <c r="Q904" i="1"/>
  <c r="Q794" i="1"/>
  <c r="Q86" i="1"/>
  <c r="Q9" i="1"/>
  <c r="Q30" i="1"/>
  <c r="Q107" i="1"/>
  <c r="Q39" i="1"/>
  <c r="Q596" i="1"/>
  <c r="Q474" i="1"/>
  <c r="Q835" i="1"/>
  <c r="Q758" i="1"/>
  <c r="Q378" i="1"/>
  <c r="Q487" i="1"/>
  <c r="Q883" i="1"/>
  <c r="Q701" i="1"/>
  <c r="Q818" i="1"/>
  <c r="Q714" i="1"/>
  <c r="Q697" i="1"/>
  <c r="Q901" i="1"/>
  <c r="Q867" i="1"/>
  <c r="Q592" i="1"/>
  <c r="Q10" i="1"/>
  <c r="Q131" i="1"/>
  <c r="Q47" i="1"/>
  <c r="Q366" i="1"/>
  <c r="Q259" i="1"/>
  <c r="Q843" i="1"/>
  <c r="Q885" i="1"/>
  <c r="Q380" i="1"/>
  <c r="Q132" i="1"/>
  <c r="Q157" i="1"/>
  <c r="Q203" i="1"/>
  <c r="Q673" i="1"/>
  <c r="Q241" i="1"/>
  <c r="Q447" i="1"/>
  <c r="Q599" i="1"/>
  <c r="Q386" i="1"/>
  <c r="Q580" i="1"/>
  <c r="Q551" i="1"/>
  <c r="Q604" i="1"/>
  <c r="Q736" i="1"/>
  <c r="Q243" i="1"/>
  <c r="Q334" i="1"/>
  <c r="Q803" i="1"/>
  <c r="Q578" i="1"/>
  <c r="Q861" i="1"/>
  <c r="Q222" i="1"/>
  <c r="M222" i="1" s="1"/>
  <c r="Q895" i="1"/>
  <c r="Q902" i="1"/>
  <c r="Q905" i="1"/>
  <c r="Q35" i="1"/>
  <c r="Q668" i="1"/>
  <c r="Q829" i="1"/>
  <c r="Q781" i="1"/>
  <c r="Q240" i="1"/>
  <c r="Q330" i="1"/>
  <c r="M330" i="1" s="1"/>
  <c r="Q190" i="1"/>
  <c r="Q308" i="1"/>
  <c r="Q87" i="1"/>
  <c r="Q188" i="1"/>
  <c r="Q31" i="1"/>
  <c r="Q15" i="1"/>
  <c r="Q159" i="1"/>
  <c r="Q772" i="1"/>
  <c r="Q411" i="1"/>
  <c r="Q317" i="1"/>
  <c r="Q530" i="1"/>
  <c r="Q325" i="1"/>
  <c r="Q912" i="1"/>
  <c r="Q866" i="1"/>
  <c r="Q840" i="1"/>
  <c r="Q841" i="1"/>
  <c r="Q745" i="1"/>
  <c r="Q96" i="1"/>
  <c r="Q756" i="1"/>
  <c r="Q549" i="1"/>
  <c r="Q634" i="1"/>
  <c r="Q125" i="1"/>
  <c r="Q42" i="1"/>
  <c r="Q21" i="1"/>
  <c r="Q567" i="1"/>
  <c r="M567" i="1" s="1"/>
  <c r="Q725" i="1"/>
  <c r="Q811" i="1"/>
  <c r="Q583" i="1"/>
  <c r="Q490" i="1"/>
  <c r="Q467" i="1"/>
  <c r="Q480" i="1"/>
  <c r="Q351" i="1"/>
  <c r="Q455" i="1"/>
  <c r="Q201" i="1"/>
  <c r="Q514" i="1"/>
  <c r="Q780" i="1"/>
  <c r="Q882" i="1"/>
  <c r="Q232" i="1"/>
  <c r="Q615" i="1"/>
  <c r="Q531" i="1"/>
  <c r="O677" i="1"/>
  <c r="Q186" i="1"/>
  <c r="Q294" i="1"/>
  <c r="Q492" i="1"/>
  <c r="O357" i="1"/>
  <c r="O213" i="1"/>
  <c r="M213" i="1" s="1"/>
  <c r="Q576" i="1"/>
  <c r="O712" i="1"/>
  <c r="Q128" i="1"/>
  <c r="Q925" i="1"/>
  <c r="O370" i="1"/>
  <c r="O546" i="1"/>
  <c r="Q103" i="1"/>
  <c r="Q298" i="1"/>
  <c r="Q58" i="1"/>
  <c r="Q272" i="1"/>
  <c r="O784" i="1"/>
  <c r="Q556" i="1"/>
  <c r="O915" i="1"/>
  <c r="O895" i="1"/>
  <c r="Q791" i="1"/>
  <c r="Q857" i="1"/>
  <c r="O807" i="1"/>
  <c r="Q693" i="1"/>
  <c r="O531" i="1"/>
  <c r="O598" i="1"/>
  <c r="Q649" i="1"/>
  <c r="Q206" i="1"/>
  <c r="Q917" i="1"/>
  <c r="Q647" i="1"/>
  <c r="O143" i="1"/>
  <c r="Q587" i="1"/>
  <c r="O343" i="1"/>
  <c r="Q833" i="1"/>
  <c r="O888" i="1"/>
  <c r="Q914" i="1"/>
  <c r="O731" i="1"/>
  <c r="O551" i="1"/>
  <c r="O455" i="1"/>
  <c r="O266" i="1"/>
  <c r="O530" i="1"/>
  <c r="Q762" i="1"/>
  <c r="Q418" i="1"/>
  <c r="Q40" i="1"/>
  <c r="O908" i="1"/>
  <c r="O886" i="1"/>
  <c r="M886" i="1" s="1"/>
  <c r="O739" i="1"/>
  <c r="O799" i="1"/>
  <c r="O287" i="1"/>
  <c r="O839" i="1"/>
  <c r="O454" i="1"/>
  <c r="O871" i="1"/>
  <c r="Q85" i="1"/>
  <c r="O30" i="1"/>
  <c r="O22" i="1"/>
  <c r="Q679" i="1"/>
  <c r="O858" i="1"/>
  <c r="O508" i="1"/>
  <c r="O197" i="1"/>
  <c r="O212" i="1"/>
  <c r="O905" i="1"/>
  <c r="O900" i="1"/>
  <c r="O606" i="1"/>
  <c r="O577" i="1"/>
  <c r="O146" i="1"/>
  <c r="O743" i="1"/>
  <c r="O803" i="1"/>
  <c r="O780" i="1"/>
  <c r="O809" i="1"/>
  <c r="O688" i="1"/>
  <c r="O599" i="1"/>
  <c r="O583" i="1"/>
  <c r="O449" i="1"/>
  <c r="O659" i="1"/>
  <c r="O237" i="1"/>
  <c r="O696" i="1"/>
  <c r="O50" i="1"/>
  <c r="O28" i="1"/>
  <c r="O614" i="1"/>
  <c r="O69" i="1"/>
  <c r="O859" i="1"/>
  <c r="O868" i="1"/>
  <c r="O896" i="1"/>
  <c r="O861" i="1"/>
  <c r="O318" i="1"/>
  <c r="M318" i="1" s="1"/>
  <c r="O634" i="1"/>
  <c r="O562" i="1"/>
  <c r="O667" i="1"/>
  <c r="O395" i="1"/>
  <c r="O878" i="1"/>
  <c r="O208" i="1"/>
  <c r="O785" i="1"/>
  <c r="O391" i="1"/>
  <c r="O890" i="1"/>
  <c r="O627" i="1"/>
  <c r="O337" i="1"/>
  <c r="O47" i="1"/>
  <c r="O21" i="1"/>
  <c r="O887" i="1"/>
  <c r="O312" i="1"/>
  <c r="O750" i="1"/>
  <c r="O261" i="1"/>
  <c r="O487" i="1"/>
  <c r="O787" i="1"/>
  <c r="O404" i="1"/>
  <c r="O849" i="1"/>
  <c r="O604" i="1"/>
  <c r="O811" i="1"/>
  <c r="Q381" i="1"/>
  <c r="Q627" i="1"/>
  <c r="Q337" i="1"/>
  <c r="Q185" i="1"/>
  <c r="Q179" i="1"/>
  <c r="Q53" i="1"/>
  <c r="O907" i="1"/>
  <c r="O399" i="1"/>
  <c r="O320" i="1"/>
  <c r="O756" i="1"/>
  <c r="O818" i="1"/>
  <c r="O334" i="1"/>
  <c r="O204" i="1"/>
  <c r="O477" i="1"/>
  <c r="O548" i="1"/>
  <c r="O401" i="1"/>
  <c r="O786" i="1"/>
  <c r="O241" i="1"/>
  <c r="Q129" i="1"/>
  <c r="Q122" i="1"/>
  <c r="O71" i="1"/>
  <c r="O216" i="1"/>
  <c r="O438" i="1"/>
  <c r="O511" i="1"/>
  <c r="O141" i="1"/>
  <c r="O927" i="1"/>
  <c r="O219" i="1"/>
  <c r="O875" i="1"/>
  <c r="O853" i="1"/>
  <c r="M853" i="1" s="1"/>
  <c r="O302" i="1"/>
  <c r="O701" i="1"/>
  <c r="Q315" i="1"/>
  <c r="M315" i="1" s="1"/>
  <c r="Q764" i="1"/>
  <c r="O889" i="1"/>
  <c r="Q404" i="1"/>
  <c r="Q920" i="1"/>
  <c r="O539" i="1"/>
  <c r="O746" i="1"/>
  <c r="M746" i="1" s="1"/>
  <c r="Q276" i="1"/>
  <c r="Q548" i="1"/>
  <c r="O912" i="1"/>
  <c r="O558" i="1"/>
  <c r="O380" i="1"/>
  <c r="O657" i="1"/>
  <c r="Q436" i="1"/>
  <c r="Q401" i="1"/>
  <c r="O262" i="1"/>
  <c r="O801" i="1"/>
  <c r="Q566" i="1"/>
  <c r="M328" i="1"/>
  <c r="M123" i="1"/>
  <c r="M918" i="1"/>
  <c r="M709" i="1"/>
  <c r="Q704" i="1"/>
  <c r="P704" i="1"/>
  <c r="O704" i="1"/>
  <c r="N704" i="1"/>
  <c r="M331" i="1" l="1"/>
  <c r="M606" i="1"/>
  <c r="M545" i="1"/>
  <c r="M370" i="1"/>
  <c r="M395" i="1"/>
  <c r="M199" i="1"/>
  <c r="M55" i="1"/>
  <c r="M205" i="1"/>
  <c r="M89" i="1"/>
  <c r="M486" i="1"/>
  <c r="M578" i="1"/>
  <c r="M173" i="1"/>
  <c r="M41" i="1"/>
  <c r="M110" i="1"/>
  <c r="M358" i="1"/>
  <c r="M373" i="1"/>
  <c r="M880" i="1"/>
  <c r="M647" i="1"/>
  <c r="M88" i="1"/>
  <c r="M265" i="1"/>
  <c r="M640" i="1"/>
  <c r="M751" i="1"/>
  <c r="M878" i="1"/>
  <c r="M188" i="1"/>
  <c r="M223" i="1"/>
  <c r="M275" i="1"/>
  <c r="M374" i="1"/>
  <c r="M198" i="1"/>
  <c r="M892" i="1"/>
  <c r="M399" i="1"/>
  <c r="M312" i="1"/>
  <c r="M163" i="1"/>
  <c r="M884" i="1"/>
  <c r="M385" i="1"/>
  <c r="M396" i="1"/>
  <c r="M178" i="1"/>
  <c r="M503" i="1"/>
  <c r="M438" i="1"/>
  <c r="M357" i="1"/>
  <c r="M247" i="1"/>
  <c r="M798" i="1"/>
  <c r="M812" i="1"/>
  <c r="M194" i="1"/>
  <c r="M195" i="1"/>
  <c r="M204" i="1"/>
  <c r="M757" i="1"/>
  <c r="M537" i="1"/>
  <c r="M879" i="1"/>
  <c r="M719" i="1"/>
  <c r="M551" i="1"/>
  <c r="M738" i="1"/>
  <c r="M234" i="1"/>
  <c r="M619" i="1"/>
  <c r="M376" i="1"/>
  <c r="M810" i="1"/>
  <c r="M489" i="1"/>
  <c r="M663" i="1"/>
  <c r="M434" i="1"/>
  <c r="M785" i="1"/>
  <c r="M182" i="1"/>
  <c r="M177" i="1"/>
  <c r="M255" i="1"/>
  <c r="M444" i="1"/>
  <c r="M741" i="1"/>
  <c r="M279" i="1"/>
  <c r="M536" i="1"/>
  <c r="M852" i="1"/>
  <c r="M793" i="1"/>
  <c r="M367" i="1"/>
  <c r="M436" i="1"/>
  <c r="M716" i="1"/>
  <c r="M544" i="1"/>
  <c r="M786" i="1"/>
  <c r="M321" i="1"/>
  <c r="M143" i="1"/>
  <c r="M98" i="1"/>
  <c r="M754" i="1"/>
  <c r="M451" i="1"/>
  <c r="M589" i="1"/>
  <c r="M712" i="1"/>
  <c r="M351" i="1"/>
  <c r="M841" i="1"/>
  <c r="M220" i="1"/>
  <c r="M95" i="1"/>
  <c r="M23" i="1"/>
  <c r="M911" i="1"/>
  <c r="M211" i="1"/>
  <c r="M921" i="1"/>
  <c r="M257" i="1"/>
  <c r="M851" i="1"/>
  <c r="M94" i="1"/>
  <c r="M316" i="1"/>
  <c r="M181" i="1"/>
  <c r="M270" i="1"/>
  <c r="M772" i="1"/>
  <c r="M424" i="1"/>
  <c r="M700" i="1"/>
  <c r="M909" i="1"/>
  <c r="M635" i="1"/>
  <c r="M668" i="1"/>
  <c r="M105" i="1"/>
  <c r="M202" i="1"/>
  <c r="M233" i="1"/>
  <c r="M735" i="1"/>
  <c r="M893" i="1"/>
  <c r="M636" i="1"/>
  <c r="M155" i="1"/>
  <c r="M816" i="1"/>
  <c r="M713" i="1"/>
  <c r="M375" i="1"/>
  <c r="M19" i="1"/>
  <c r="M164" i="1"/>
  <c r="M423" i="1"/>
  <c r="M61" i="1"/>
  <c r="M587" i="1"/>
  <c r="M597" i="1"/>
  <c r="M687" i="1"/>
  <c r="M326" i="1"/>
  <c r="M898" i="1"/>
  <c r="M303" i="1"/>
  <c r="M59" i="1"/>
  <c r="M443" i="1"/>
  <c r="M468" i="1"/>
  <c r="M806" i="1"/>
  <c r="M609" i="1"/>
  <c r="M662" i="1"/>
  <c r="M485" i="1"/>
  <c r="M574" i="1"/>
  <c r="M661" i="1"/>
  <c r="M769" i="1"/>
  <c r="M680" i="1"/>
  <c r="M99" i="1"/>
  <c r="M645" i="1"/>
  <c r="M323" i="1"/>
  <c r="M314" i="1"/>
  <c r="M166" i="1"/>
  <c r="M109" i="1"/>
  <c r="M690" i="1"/>
  <c r="M33" i="1"/>
  <c r="M353" i="1"/>
  <c r="M361" i="1"/>
  <c r="M483" i="1"/>
  <c r="M104" i="1"/>
  <c r="M12" i="1"/>
  <c r="M121" i="1"/>
  <c r="M347" i="1"/>
  <c r="M472" i="1"/>
  <c r="M277" i="1"/>
  <c r="M126" i="1"/>
  <c r="M372" i="1"/>
  <c r="M654" i="1"/>
  <c r="M244" i="1"/>
  <c r="M667" i="1"/>
  <c r="M407" i="1"/>
  <c r="M243" i="1"/>
  <c r="M75" i="1"/>
  <c r="M623" i="1"/>
  <c r="M251" i="1"/>
  <c r="M26" i="1"/>
  <c r="M226" i="1"/>
  <c r="M457" i="1"/>
  <c r="M547" i="1"/>
  <c r="M333" i="1"/>
  <c r="M779" i="1"/>
  <c r="M698" i="1"/>
  <c r="M492" i="1"/>
  <c r="M142" i="1"/>
  <c r="M71" i="1"/>
  <c r="M179" i="1"/>
  <c r="M146" i="1"/>
  <c r="M862" i="1"/>
  <c r="M228" i="1"/>
  <c r="M686" i="1"/>
  <c r="M291" i="1"/>
  <c r="M462" i="1"/>
  <c r="M829" i="1"/>
  <c r="M69" i="1"/>
  <c r="M681" i="1"/>
  <c r="M200" i="1"/>
  <c r="M435" i="1"/>
  <c r="M286" i="1"/>
  <c r="M359" i="1"/>
  <c r="M618" i="1"/>
  <c r="M856" i="1"/>
  <c r="M78" i="1"/>
  <c r="M510" i="1"/>
  <c r="M759" i="1"/>
  <c r="M148" i="1"/>
  <c r="M689" i="1"/>
  <c r="M340" i="1"/>
  <c r="M872" i="1"/>
  <c r="M820" i="1"/>
  <c r="M189" i="1"/>
  <c r="M813" i="1"/>
  <c r="M466" i="1"/>
  <c r="M389" i="1"/>
  <c r="M828" i="1"/>
  <c r="M583" i="1"/>
  <c r="M514" i="1"/>
  <c r="M87" i="1"/>
  <c r="M111" i="1"/>
  <c r="M184" i="1"/>
  <c r="M133" i="1"/>
  <c r="M92" i="1"/>
  <c r="M800" i="1"/>
  <c r="M504" i="1"/>
  <c r="M773" i="1"/>
  <c r="M733" i="1"/>
  <c r="M595" i="1"/>
  <c r="M229" i="1"/>
  <c r="M531" i="1"/>
  <c r="M191" i="1"/>
  <c r="M230" i="1"/>
  <c r="M694" i="1"/>
  <c r="M780" i="1"/>
  <c r="M844" i="1"/>
  <c r="M90" i="1"/>
  <c r="M295" i="1"/>
  <c r="M641" i="1"/>
  <c r="M300" i="1"/>
  <c r="M238" i="1"/>
  <c r="M150" i="1"/>
  <c r="M626" i="1"/>
  <c r="M422" i="1"/>
  <c r="M648" i="1"/>
  <c r="M859" i="1"/>
  <c r="M888" i="1"/>
  <c r="M577" i="1"/>
  <c r="M821" i="1"/>
  <c r="M348" i="1"/>
  <c r="M329" i="1"/>
  <c r="M368" i="1"/>
  <c r="M682" i="1"/>
  <c r="M699" i="1"/>
  <c r="M419" i="1"/>
  <c r="M815" i="1"/>
  <c r="M193" i="1"/>
  <c r="M627" i="1"/>
  <c r="M224" i="1"/>
  <c r="M552" i="1"/>
  <c r="M637" i="1"/>
  <c r="M792" i="1"/>
  <c r="M497" i="1"/>
  <c r="M364" i="1"/>
  <c r="M153" i="1"/>
  <c r="M706" i="1"/>
  <c r="M622" i="1"/>
  <c r="M740" i="1"/>
  <c r="M38" i="1"/>
  <c r="M805" i="1"/>
  <c r="M715" i="1"/>
  <c r="M174" i="1"/>
  <c r="M675" i="1"/>
  <c r="M160" i="1"/>
  <c r="M382" i="1"/>
  <c r="M308" i="1"/>
  <c r="M62" i="1"/>
  <c r="M131" i="1"/>
  <c r="M502" i="1"/>
  <c r="M789" i="1"/>
  <c r="M605" i="1"/>
  <c r="M890" i="1"/>
  <c r="M524" i="1"/>
  <c r="M292" i="1"/>
  <c r="M429" i="1"/>
  <c r="M260" i="1"/>
  <c r="M643" i="1"/>
  <c r="M590" i="1"/>
  <c r="M801" i="1"/>
  <c r="M231" i="1"/>
  <c r="M603" i="1"/>
  <c r="M162" i="1"/>
  <c r="M566" i="1"/>
  <c r="M701" i="1"/>
  <c r="M15" i="1"/>
  <c r="M659" i="1"/>
  <c r="M546" i="1"/>
  <c r="M31" i="1"/>
  <c r="M236" i="1"/>
  <c r="M678" i="1"/>
  <c r="M855" i="1"/>
  <c r="M761" i="1"/>
  <c r="M412" i="1"/>
  <c r="M237" i="1"/>
  <c r="M917" i="1"/>
  <c r="M883" i="1"/>
  <c r="M112" i="1"/>
  <c r="M29" i="1"/>
  <c r="M557" i="1"/>
  <c r="M313" i="1"/>
  <c r="M707" i="1"/>
  <c r="M891" i="1"/>
  <c r="M278" i="1"/>
  <c r="M411" i="1"/>
  <c r="M51" i="1"/>
  <c r="M327" i="1"/>
  <c r="M256" i="1"/>
  <c r="M660" i="1"/>
  <c r="M752" i="1"/>
  <c r="M867" i="1"/>
  <c r="M582" i="1"/>
  <c r="M413" i="1"/>
  <c r="M216" i="1"/>
  <c r="M526" i="1"/>
  <c r="M369" i="1"/>
  <c r="M156" i="1"/>
  <c r="M521" i="1"/>
  <c r="M585" i="1"/>
  <c r="M427" i="1"/>
  <c r="M766" i="1"/>
  <c r="M634" i="1"/>
  <c r="M750" i="1"/>
  <c r="M190" i="1"/>
  <c r="M474" i="1"/>
  <c r="M519" i="1"/>
  <c r="M511" i="1"/>
  <c r="M85" i="1"/>
  <c r="M857" i="1"/>
  <c r="M652" i="1"/>
  <c r="M397" i="1"/>
  <c r="M572" i="1"/>
  <c r="M48" i="1"/>
  <c r="M388" i="1"/>
  <c r="M445" i="1"/>
  <c r="M467" i="1"/>
  <c r="M832" i="1"/>
  <c r="M281" i="1"/>
  <c r="M482" i="1"/>
  <c r="M484" i="1"/>
  <c r="M631" i="1"/>
  <c r="M861" i="1"/>
  <c r="M548" i="1"/>
  <c r="M460" i="1"/>
  <c r="M473" i="1"/>
  <c r="M760" i="1"/>
  <c r="M145" i="1"/>
  <c r="M646" i="1"/>
  <c r="M906" i="1"/>
  <c r="M900" i="1"/>
  <c r="M391" i="1"/>
  <c r="M799" i="1"/>
  <c r="M854" i="1"/>
  <c r="M42" i="1"/>
  <c r="M30" i="1"/>
  <c r="M549" i="1"/>
  <c r="M817" i="1"/>
  <c r="M535" i="1"/>
  <c r="M239" i="1"/>
  <c r="M770" i="1"/>
  <c r="M697" i="1"/>
  <c r="M764" i="1"/>
  <c r="M904" i="1"/>
  <c r="M102" i="1"/>
  <c r="M528" i="1"/>
  <c r="M35" i="1"/>
  <c r="M456" i="1"/>
  <c r="M499" i="1"/>
  <c r="M27" i="1"/>
  <c r="M744" i="1"/>
  <c r="M404" i="1"/>
  <c r="M508" i="1"/>
  <c r="M380" i="1"/>
  <c r="M487" i="1"/>
  <c r="M784" i="1"/>
  <c r="M362" i="1"/>
  <c r="M588" i="1"/>
  <c r="M124" i="1"/>
  <c r="M540" i="1"/>
  <c r="M755" i="1"/>
  <c r="M113" i="1"/>
  <c r="M882" i="1"/>
  <c r="M39" i="1"/>
  <c r="M86" i="1"/>
  <c r="M776" i="1"/>
  <c r="M11" i="1"/>
  <c r="M6" i="1"/>
  <c r="M79" i="1"/>
  <c r="M494" i="1"/>
  <c r="M446" i="1"/>
  <c r="M387" i="1"/>
  <c r="M501" i="1"/>
  <c r="M360" i="1"/>
  <c r="M633" i="1"/>
  <c r="M748" i="1"/>
  <c r="M774" i="1"/>
  <c r="M7" i="1"/>
  <c r="M894" i="1"/>
  <c r="M703" i="1"/>
  <c r="M543" i="1"/>
  <c r="M919" i="1"/>
  <c r="M509" i="1"/>
  <c r="M513" i="1"/>
  <c r="M172" i="1"/>
  <c r="M515" i="1"/>
  <c r="M346" i="1"/>
  <c r="M77" i="1"/>
  <c r="M561" i="1"/>
  <c r="M130" i="1"/>
  <c r="M14" i="1"/>
  <c r="M261" i="1"/>
  <c r="M128" i="1"/>
  <c r="M96" i="1"/>
  <c r="M835" i="1"/>
  <c r="M107" i="1"/>
  <c r="M141" i="1"/>
  <c r="M807" i="1"/>
  <c r="M248" i="1"/>
  <c r="M767" i="1"/>
  <c r="M282" i="1"/>
  <c r="M506" i="1"/>
  <c r="M310" i="1"/>
  <c r="M708" i="1"/>
  <c r="M611" i="1"/>
  <c r="M290" i="1"/>
  <c r="M670" i="1"/>
  <c r="M897" i="1"/>
  <c r="M84" i="1"/>
  <c r="M161" i="1"/>
  <c r="M914" i="1"/>
  <c r="M620" i="1"/>
  <c r="M505" i="1"/>
  <c r="M405" i="1"/>
  <c r="M710" i="1"/>
  <c r="M478" i="1"/>
  <c r="M775" i="1"/>
  <c r="M203" i="1"/>
  <c r="M877" i="1"/>
  <c r="M777" i="1"/>
  <c r="M103" i="1"/>
  <c r="M717" i="1"/>
  <c r="M408" i="1"/>
  <c r="M837" i="1"/>
  <c r="M910" i="1"/>
  <c r="M431" i="1"/>
  <c r="M97" i="1"/>
  <c r="M538" i="1"/>
  <c r="M217" i="1"/>
  <c r="M653" i="1"/>
  <c r="M628" i="1"/>
  <c r="M139" i="1"/>
  <c r="M581" i="1"/>
  <c r="M674" i="1"/>
  <c r="M669" i="1"/>
  <c r="M915" i="1"/>
  <c r="M337" i="1"/>
  <c r="M63" i="1"/>
  <c r="M352" i="1"/>
  <c r="M215" i="1"/>
  <c r="M913" i="1"/>
  <c r="M778" i="1"/>
  <c r="M67" i="1"/>
  <c r="M100" i="1"/>
  <c r="M657" i="1"/>
  <c r="M381" i="1"/>
  <c r="M319" i="1"/>
  <c r="M341" i="1"/>
  <c r="M207" i="1"/>
  <c r="M219" i="1"/>
  <c r="M818" i="1"/>
  <c r="M18" i="1"/>
  <c r="M25" i="1"/>
  <c r="M600" i="1"/>
  <c r="M783" i="1"/>
  <c r="M56" i="1"/>
  <c r="M464" i="1"/>
  <c r="M144" i="1"/>
  <c r="M846" i="1"/>
  <c r="M797" i="1"/>
  <c r="M268" i="1"/>
  <c r="M616" i="1"/>
  <c r="M459" i="1"/>
  <c r="M747" i="1"/>
  <c r="M371" i="1"/>
  <c r="M604" i="1"/>
  <c r="M212" i="1"/>
  <c r="M393" i="1"/>
  <c r="M317" i="1"/>
  <c r="M119" i="1"/>
  <c r="M512" i="1"/>
  <c r="M763" i="1"/>
  <c r="M860" i="1"/>
  <c r="M250" i="1"/>
  <c r="M298" i="1"/>
  <c r="M833" i="1"/>
  <c r="M555" i="1"/>
  <c r="M455" i="1"/>
  <c r="M366" i="1"/>
  <c r="M409" i="1"/>
  <c r="M838" i="1"/>
  <c r="M477" i="1"/>
  <c r="M138" i="1"/>
  <c r="M433" i="1"/>
  <c r="M377" i="1"/>
  <c r="M258" i="1"/>
  <c r="M125" i="1"/>
  <c r="M365" i="1"/>
  <c r="M632" i="1"/>
  <c r="M410" i="1"/>
  <c r="M221" i="1"/>
  <c r="M403" i="1"/>
  <c r="M533" i="1"/>
  <c r="M771" i="1"/>
  <c r="M586" i="1"/>
  <c r="M639" i="1"/>
  <c r="M430" i="1"/>
  <c r="M390" i="1"/>
  <c r="M607" i="1"/>
  <c r="M907" i="1"/>
  <c r="M896" i="1"/>
  <c r="M794" i="1"/>
  <c r="M16" i="1"/>
  <c r="M68" i="1"/>
  <c r="M225" i="1"/>
  <c r="M117" i="1"/>
  <c r="M168" i="1"/>
  <c r="M450" i="1"/>
  <c r="M415" i="1"/>
  <c r="M702" i="1"/>
  <c r="M671" i="1"/>
  <c r="M498" i="1"/>
  <c r="M692" i="1"/>
  <c r="M691" i="1"/>
  <c r="M267" i="1"/>
  <c r="M32" i="1"/>
  <c r="M573" i="1"/>
  <c r="M542" i="1"/>
  <c r="M355" i="1"/>
  <c r="M289" i="1"/>
  <c r="M556" i="1"/>
  <c r="M232" i="1"/>
  <c r="M905" i="1"/>
  <c r="M452" i="1"/>
  <c r="M562" i="1"/>
  <c r="M787" i="1"/>
  <c r="M480" i="1"/>
  <c r="M187" i="1"/>
  <c r="M901" i="1"/>
  <c r="M147" i="1"/>
  <c r="M288" i="1"/>
  <c r="M500" i="1"/>
  <c r="M442" i="1"/>
  <c r="M74" i="1"/>
  <c r="M414" i="1"/>
  <c r="M666" i="1"/>
  <c r="M159" i="1"/>
  <c r="M656" i="1"/>
  <c r="M454" i="1"/>
  <c r="M66" i="1"/>
  <c r="M437" i="1"/>
  <c r="M576" i="1"/>
  <c r="M276" i="1"/>
  <c r="M246" i="1"/>
  <c r="M613" i="1"/>
  <c r="M165" i="1"/>
  <c r="M781" i="1"/>
  <c r="M183" i="1"/>
  <c r="M490" i="1"/>
  <c r="M378" i="1"/>
  <c r="M425" i="1"/>
  <c r="M304" i="1"/>
  <c r="M249" i="1"/>
  <c r="M920" i="1"/>
  <c r="M206" i="1"/>
  <c r="M101" i="1"/>
  <c r="M210" i="1"/>
  <c r="M266" i="1"/>
  <c r="M575" i="1"/>
  <c r="M737" i="1"/>
  <c r="M34" i="1"/>
  <c r="M736" i="1"/>
  <c r="M22" i="1"/>
  <c r="M274" i="1"/>
  <c r="M847" i="1"/>
  <c r="M720" i="1"/>
  <c r="M44" i="1"/>
  <c r="M45" i="1"/>
  <c r="M826" i="1"/>
  <c r="M400" i="1"/>
  <c r="M192" i="1"/>
  <c r="M825" i="1"/>
  <c r="M749" i="1"/>
  <c r="M527" i="1"/>
  <c r="M539" i="1"/>
  <c r="M47" i="1"/>
  <c r="M839" i="1"/>
  <c r="M614" i="1"/>
  <c r="M644" i="1"/>
  <c r="M114" i="1"/>
  <c r="M830" i="1"/>
  <c r="M718" i="1"/>
  <c r="M869" i="1"/>
  <c r="M129" i="1"/>
  <c r="M325" i="1"/>
  <c r="M790" i="1"/>
  <c r="M475" i="1"/>
  <c r="M253" i="1"/>
  <c r="M677" i="1"/>
  <c r="M186" i="1"/>
  <c r="M5" i="1"/>
  <c r="M529" i="1"/>
  <c r="M488" i="1"/>
  <c r="M154" i="1"/>
  <c r="M516" i="1"/>
  <c r="M115" i="1"/>
  <c r="M608" i="1"/>
  <c r="M615" i="1"/>
  <c r="M17" i="1"/>
  <c r="M271" i="1"/>
  <c r="M43" i="1"/>
  <c r="M134" i="1"/>
  <c r="M617" i="1"/>
  <c r="M36" i="1"/>
  <c r="M158" i="1"/>
  <c r="M711" i="1"/>
  <c r="M108" i="1"/>
  <c r="M149" i="1"/>
  <c r="M593" i="1"/>
  <c r="M520" i="1"/>
  <c r="M684" i="1"/>
  <c r="M218" i="1"/>
  <c r="M554" i="1"/>
  <c r="M658" i="1"/>
  <c r="M601" i="1"/>
  <c r="M491" i="1"/>
  <c r="M416" i="1"/>
  <c r="M283" i="1"/>
  <c r="M568" i="1"/>
  <c r="M664" i="1"/>
  <c r="M335" i="1"/>
  <c r="M302" i="1"/>
  <c r="M58" i="1"/>
  <c r="M902" i="1"/>
  <c r="M673" i="1"/>
  <c r="M441" i="1"/>
  <c r="M80" i="1"/>
  <c r="M299" i="1"/>
  <c r="M420" i="1"/>
  <c r="M336" i="1"/>
  <c r="M305" i="1"/>
  <c r="M742" i="1"/>
  <c r="M649" i="1"/>
  <c r="M768" i="1"/>
  <c r="M91" i="1"/>
  <c r="M201" i="1"/>
  <c r="M208" i="1"/>
  <c r="M895" i="1"/>
  <c r="M458" i="1"/>
  <c r="M50" i="1"/>
  <c r="M726" i="1"/>
  <c r="M469" i="1"/>
  <c r="M324" i="1"/>
  <c r="M732" i="1"/>
  <c r="M728" i="1"/>
  <c r="M287" i="1"/>
  <c r="M688" i="1"/>
  <c r="M591" i="1"/>
  <c r="M875" i="1"/>
  <c r="M858" i="1"/>
  <c r="M584" i="1"/>
  <c r="M461" i="1"/>
  <c r="M592" i="1"/>
  <c r="M334" i="1"/>
  <c r="M762" i="1"/>
  <c r="M60" i="1"/>
  <c r="M625" i="1"/>
  <c r="M558" i="1"/>
  <c r="M695" i="1"/>
  <c r="M496" i="1"/>
  <c r="M470" i="1"/>
  <c r="M823" i="1"/>
  <c r="M426" i="1"/>
  <c r="M9" i="1"/>
  <c r="M788" i="1"/>
  <c r="M428" i="1"/>
  <c r="M132" i="1"/>
  <c r="M722" i="1"/>
  <c r="M745" i="1"/>
  <c r="M118" i="1"/>
  <c r="M734" i="1"/>
  <c r="M655" i="1"/>
  <c r="M814" i="1"/>
  <c r="M240" i="1"/>
  <c r="M598" i="1"/>
  <c r="M37" i="1"/>
  <c r="M848" i="1"/>
  <c r="M602" i="1"/>
  <c r="M530" i="1"/>
  <c r="M349" i="1"/>
  <c r="M753" i="1"/>
  <c r="M822" i="1"/>
  <c r="M569" i="1"/>
  <c r="M196" i="1"/>
  <c r="M24" i="1"/>
  <c r="M137" i="1"/>
  <c r="M795" i="1"/>
  <c r="M808" i="1"/>
  <c r="M322" i="1"/>
  <c r="M398" i="1"/>
  <c r="M534" i="1"/>
  <c r="M836" i="1"/>
  <c r="M294" i="1"/>
  <c r="M899" i="1"/>
  <c r="M849" i="1"/>
  <c r="M517" i="1"/>
  <c r="M65" i="1"/>
  <c r="M81" i="1"/>
  <c r="M122" i="1"/>
  <c r="M565" i="1"/>
  <c r="M379" i="1"/>
  <c r="M560" i="1"/>
  <c r="M803" i="1"/>
  <c r="M721" i="1"/>
  <c r="M309" i="1"/>
  <c r="M845" i="1"/>
  <c r="M559" i="1"/>
  <c r="M342" i="1"/>
  <c r="M263" i="1"/>
  <c r="M175" i="1"/>
  <c r="M863" i="1"/>
  <c r="M564" i="1"/>
  <c r="M672" i="1"/>
  <c r="M252" i="1"/>
  <c r="M167" i="1"/>
  <c r="M332" i="1"/>
  <c r="M871" i="1"/>
  <c r="M874" i="1"/>
  <c r="M52" i="1"/>
  <c r="M392" i="1"/>
  <c r="M350" i="1"/>
  <c r="M406" i="1"/>
  <c r="M384" i="1"/>
  <c r="M354" i="1"/>
  <c r="M683" i="1"/>
  <c r="M345" i="1"/>
  <c r="M724" i="1"/>
  <c r="M493" i="1"/>
  <c r="M72" i="1"/>
  <c r="M82" i="1"/>
  <c r="M10" i="1"/>
  <c r="M136" i="1"/>
  <c r="M418" i="1"/>
  <c r="M743" i="1"/>
  <c r="M169" i="1"/>
  <c r="M481" i="1"/>
  <c r="M596" i="1"/>
  <c r="M629" i="1"/>
  <c r="M306" i="1"/>
  <c r="M714" i="1"/>
  <c r="M876" i="1"/>
  <c r="M343" i="1"/>
  <c r="M624" i="1"/>
  <c r="M262" i="1"/>
  <c r="M241" i="1"/>
  <c r="M449" i="1"/>
  <c r="M638" i="1"/>
  <c r="M13" i="1"/>
  <c r="M594" i="1"/>
  <c r="M518" i="1"/>
  <c r="M650" i="1"/>
  <c r="M116" i="1"/>
  <c r="M197" i="1"/>
  <c r="M185" i="1"/>
  <c r="M273" i="1"/>
  <c r="M866" i="1"/>
  <c r="M272" i="1"/>
  <c r="M53" i="1"/>
  <c r="M870" i="1"/>
  <c r="M840" i="1"/>
  <c r="M254" i="1"/>
  <c r="M651" i="1"/>
  <c r="M525" i="1"/>
  <c r="M259" i="1"/>
  <c r="M727" i="1"/>
  <c r="M903" i="1"/>
  <c r="M729" i="1"/>
  <c r="M440" i="1"/>
  <c r="M311" i="1"/>
  <c r="M541" i="1"/>
  <c r="M338" i="1"/>
  <c r="M264" i="1"/>
  <c r="M171" i="1"/>
  <c r="M93" i="1"/>
  <c r="M21" i="1"/>
  <c r="M301" i="1"/>
  <c r="M908" i="1"/>
  <c r="M570" i="1"/>
  <c r="M20" i="1"/>
  <c r="M448" i="1"/>
  <c r="M705" i="1"/>
  <c r="M731" i="1"/>
  <c r="M580" i="1"/>
  <c r="M916" i="1"/>
  <c r="M756" i="1"/>
  <c r="M214" i="1"/>
  <c r="M679" i="1"/>
  <c r="M242" i="1"/>
  <c r="M284" i="1"/>
  <c r="M868" i="1"/>
  <c r="M824" i="1"/>
  <c r="M421" i="1"/>
  <c r="M887" i="1"/>
  <c r="M479" i="1"/>
  <c r="M864" i="1"/>
  <c r="M834" i="1"/>
  <c r="M809" i="1"/>
  <c r="M49" i="1"/>
  <c r="M465" i="1"/>
  <c r="M463" i="1"/>
  <c r="M782" i="1"/>
  <c r="M8" i="1"/>
  <c r="M523" i="1"/>
  <c r="M522" i="1"/>
  <c r="M245" i="1"/>
  <c r="M912" i="1"/>
  <c r="M432" i="1"/>
  <c r="M811" i="1"/>
  <c r="M269" i="1"/>
  <c r="M873" i="1"/>
  <c r="M621" i="1"/>
  <c r="M417" i="1"/>
  <c r="M507" i="1"/>
  <c r="M599" i="1"/>
  <c r="M402" i="1"/>
  <c r="M363" i="1"/>
  <c r="M54" i="1"/>
  <c r="M550" i="1"/>
  <c r="M563" i="1"/>
  <c r="M135" i="1"/>
  <c r="M819" i="1"/>
  <c r="M758" i="1"/>
  <c r="M802" i="1"/>
  <c r="M73" i="1"/>
  <c r="M339" i="1"/>
  <c r="M885" i="1"/>
  <c r="M320" i="1"/>
  <c r="M401" i="1"/>
  <c r="M227" i="1"/>
  <c r="M827" i="1"/>
  <c r="M765" i="1"/>
  <c r="M453" i="1"/>
  <c r="M553" i="1"/>
  <c r="M296" i="1"/>
  <c r="M76" i="1"/>
  <c r="M120" i="1"/>
  <c r="M730" i="1"/>
  <c r="M804" i="1"/>
  <c r="M386" i="1"/>
  <c r="M209" i="1"/>
  <c r="M40" i="1"/>
  <c r="M447" i="1"/>
  <c r="M739" i="1"/>
  <c r="M725" i="1"/>
  <c r="M889" i="1"/>
  <c r="M152" i="1"/>
  <c r="M532" i="1"/>
  <c r="M356" i="1"/>
  <c r="M57" i="1"/>
  <c r="M127" i="1"/>
  <c r="M723" i="1"/>
  <c r="M285" i="1"/>
  <c r="M180" i="1"/>
  <c r="M307" i="1"/>
  <c r="M157" i="1"/>
  <c r="M28" i="1"/>
  <c r="M344" i="1"/>
  <c r="M791" i="1"/>
  <c r="M696" i="1"/>
  <c r="M83" i="1"/>
  <c r="M865" i="1"/>
  <c r="M642" i="1"/>
  <c r="M280" i="1"/>
  <c r="M106" i="1"/>
  <c r="M612" i="1"/>
  <c r="M579" i="1"/>
  <c r="M665" i="1"/>
  <c r="M842" i="1"/>
  <c r="M881" i="1"/>
  <c r="M610" i="1"/>
  <c r="M831" i="1"/>
  <c r="M630" i="1"/>
  <c r="M693" i="1"/>
  <c r="M476" i="1"/>
  <c r="M293" i="1"/>
  <c r="M439" i="1"/>
  <c r="M495" i="1"/>
  <c r="M796" i="1"/>
  <c r="M843" i="1"/>
  <c r="M850" i="1"/>
  <c r="M176" i="1"/>
  <c r="M235" i="1"/>
  <c r="M170" i="1"/>
  <c r="M46" i="1"/>
  <c r="M383" i="1"/>
  <c r="M571" i="1"/>
  <c r="M704" i="1"/>
</calcChain>
</file>

<file path=xl/sharedStrings.xml><?xml version="1.0" encoding="utf-8"?>
<sst xmlns="http://schemas.openxmlformats.org/spreadsheetml/2006/main" count="2219" uniqueCount="754">
  <si>
    <t>Species</t>
  </si>
  <si>
    <t>Disfavored Synonym</t>
  </si>
  <si>
    <t>n</t>
  </si>
  <si>
    <t>type</t>
  </si>
  <si>
    <t>LGT (mm)</t>
  </si>
  <si>
    <t>a</t>
  </si>
  <si>
    <t>b</t>
  </si>
  <si>
    <t>b'</t>
  </si>
  <si>
    <t>c</t>
  </si>
  <si>
    <t>c'</t>
  </si>
  <si>
    <t>V</t>
  </si>
  <si>
    <t>T</t>
  </si>
  <si>
    <t>DHV</t>
  </si>
  <si>
    <t>STA</t>
  </si>
  <si>
    <t>m</t>
  </si>
  <si>
    <t>DGO</t>
  </si>
  <si>
    <t>BBE</t>
  </si>
  <si>
    <t>OVI</t>
  </si>
  <si>
    <t>OGO</t>
  </si>
  <si>
    <t>EXPO</t>
  </si>
  <si>
    <t>DVU</t>
  </si>
  <si>
    <t>ANW</t>
  </si>
  <si>
    <t>LFW</t>
  </si>
  <si>
    <t>TAIL</t>
  </si>
  <si>
    <t>DAN</t>
  </si>
  <si>
    <t>ANT</t>
  </si>
  <si>
    <t>FRW</t>
  </si>
  <si>
    <t>ANP</t>
  </si>
  <si>
    <t>PRO</t>
  </si>
  <si>
    <t>HAB</t>
  </si>
  <si>
    <t>ANL</t>
  </si>
  <si>
    <t>LIP</t>
  </si>
  <si>
    <t>INC</t>
  </si>
  <si>
    <t>TSH</t>
  </si>
  <si>
    <t>KBS</t>
  </si>
  <si>
    <t>APR</t>
  </si>
  <si>
    <t>Tipann</t>
  </si>
  <si>
    <t>Vann</t>
  </si>
  <si>
    <t>ARO</t>
  </si>
  <si>
    <t>Tylenchus davainei Bastian, 1865</t>
  </si>
  <si>
    <t>Female</t>
  </si>
  <si>
    <t>Male</t>
  </si>
  <si>
    <t>Merlinius joctus (Thorne, 1949) Sher, 1974</t>
  </si>
  <si>
    <t>Tetylenchus joctus Thorne, 1949</t>
  </si>
  <si>
    <t>Psilenchus hilarulus de Man, 1921</t>
  </si>
  <si>
    <t>Tylenchorhynchus dubius (Bütschli, 1873) Filipjev, 1936</t>
  </si>
  <si>
    <t>Telotylenchus indicus Siddiqi, 1960</t>
  </si>
  <si>
    <t>Trophurus imperialis Loof, 1956</t>
  </si>
  <si>
    <t>Macrotrophurus arbusticola Loof, 1958</t>
  </si>
  <si>
    <t>Ditylenchus dipsaci (Kühn, 1857) Filipjev, 1936</t>
  </si>
  <si>
    <t>Ditylenchus abieticolus Rühm, 1956</t>
  </si>
  <si>
    <t>Neoditylenchus abieticolus</t>
  </si>
  <si>
    <t>Sychnotylenchus intricati Rühm, 1956</t>
  </si>
  <si>
    <t>Tylenchorhynchus annulatus (Cassidy, 1930) Golden, 1971</t>
  </si>
  <si>
    <t>Chitinotylenchus annulatus (Cassidy, 1930) Filipjev, 1936</t>
  </si>
  <si>
    <t>Anguina tritici (Steinbuch, 1799) Filipjev, 1936</t>
  </si>
  <si>
    <t>Anguina agropyri Kirjanova, 1955</t>
  </si>
  <si>
    <t>Atylenchus decalineatus Cobb, 1913</t>
  </si>
  <si>
    <t>Eutylenchus setiferus (Cobb, 1893) Cobb, 1913</t>
  </si>
  <si>
    <t>Pseudhalenchus minutus Tarjan, 1958</t>
  </si>
  <si>
    <t>Heterodera schachtii A. Schmidt, 1871</t>
  </si>
  <si>
    <t>Meloidodera floridensis Chitwood, Hannon &amp; Esser, 1956</t>
  </si>
  <si>
    <t>Hoplolaimus galeatus (Cobb, 1913)</t>
  </si>
  <si>
    <t>Scutellonema blaberum</t>
  </si>
  <si>
    <t>Rotylenchus uniformis (Thorne, 1949) Loof &amp; Oostenbrink, 1958</t>
  </si>
  <si>
    <t>Helicotylenchus multicinctus (Cobb, 1893) Golden, 1956</t>
  </si>
  <si>
    <t>Rotylenchoides brevis Whitehead, 1958</t>
  </si>
  <si>
    <t>Belonolaimus gracilis Steiner, 1949</t>
  </si>
  <si>
    <t>Trichotylenchus falciformis Whitehead, 1960</t>
  </si>
  <si>
    <t>Dolichodorus heterocephalus Cobb, 1914</t>
  </si>
  <si>
    <t>Pratylenchus pratensis (de Man, 1880) Filipjev, 1936</t>
  </si>
  <si>
    <t>Pratylenchoides crenicauda Winslow, 1958</t>
  </si>
  <si>
    <t>Hoplotylus femina s'Jacob, 1960</t>
  </si>
  <si>
    <t>Radopholus similis (Cobb, 1893) Thorne, 1949</t>
  </si>
  <si>
    <t>Hirschmanniella spinicaudata (Schuurmans Stekhoven, 1944) Luc &amp; Goodey, 1964</t>
  </si>
  <si>
    <t>Hirschmannia spinicaudata (Schuurmans Stekhoven, 1944) Luc &amp; Goodey, 1962</t>
  </si>
  <si>
    <t>Nacobbus dorsalis Thorne &amp; Allen, 1944</t>
  </si>
  <si>
    <t>Rotylenchulus reniformis Linford &amp; Oliveira, 1940</t>
  </si>
  <si>
    <t>Tylenchulus semipenetrans Cobb, 1913</t>
  </si>
  <si>
    <t>Trophotylenchulus floridensis Raski, 1957</t>
  </si>
  <si>
    <t>Sphaeronema californicum</t>
  </si>
  <si>
    <t>Trophotylenchulus arenarius (Raski, 1956) Siddiqi, 1999</t>
  </si>
  <si>
    <t>Trophonema arenarium (Raski, 1956) Raski, 1957</t>
  </si>
  <si>
    <t>Hemicycliophora oostenbrinki Luc, 1958</t>
  </si>
  <si>
    <t>Mesocriconema xenoplax (Raski, 1952) Loof &amp; De Grisse, 1989</t>
  </si>
  <si>
    <t xml:space="preserve">Criconemoides xenoplax </t>
  </si>
  <si>
    <t>Ogma fimbriata (Cobb in Taylor, 1936)</t>
  </si>
  <si>
    <t>Criconema fimbriatum Cobb in Taylor, 1936</t>
  </si>
  <si>
    <t>Paratylenchus goodeyi Oostenbrink, 1953</t>
  </si>
  <si>
    <t>Criconema annuliferum (de Man, 1921) Micoletzky, 1925</t>
  </si>
  <si>
    <t>Macroposthonia annulata sensu Kischke, 1956</t>
  </si>
  <si>
    <t>Neotylenchus abulbosus Steiner, 1931</t>
  </si>
  <si>
    <t>Hexatylus viviparus Goodey, 1926</t>
  </si>
  <si>
    <t>Deladenus durus</t>
  </si>
  <si>
    <t>Nothotylenchus acris Thorne, 1941</t>
  </si>
  <si>
    <t>Boleodorus thylactus Thorne, 1941</t>
  </si>
  <si>
    <t>Thada striata Thorne, 1941</t>
  </si>
  <si>
    <t>Halenchus fucicola (de Man, 1892) Cobb, 1933</t>
  </si>
  <si>
    <t>Neomisticius Siddiqi, 1986</t>
  </si>
  <si>
    <t>Anguillonema rhizomorphoides Ruhm, 1955</t>
  </si>
  <si>
    <t>Nothanguina cecidoplastes (T. Goodey, 1934) Whitehead, 1959</t>
  </si>
  <si>
    <t>Paurodontus gracilis Thorne, 1941</t>
  </si>
  <si>
    <t>Strictylus asymmetricus Thorne, 1941</t>
  </si>
  <si>
    <t>Ecphyadophora tenuissima de Man, 1921</t>
  </si>
  <si>
    <t>Howardula oscinellae (T. Goodey, 1930) Wachek, 1955</t>
  </si>
  <si>
    <t>lotonchium fungorum (Biitschli, 1873) Fil. &amp; Sch. Stek., 1941</t>
  </si>
  <si>
    <t>Anguillulina (Fergusobia) tumifaciens Currie 1937</t>
  </si>
  <si>
    <t>Aphelenchus avenae Bastian, 1865</t>
  </si>
  <si>
    <t>Aphelenchoides ritzemabosi (Schwartz, 1911) Steiner and Buhrer, 1932</t>
  </si>
  <si>
    <t>Seinura winchesi (T. Goodey, 1927) J. B. Goodey, 196o</t>
  </si>
  <si>
    <t>Paraseinura musicola Timm, 1960</t>
  </si>
  <si>
    <t>Paraseinura musicolus Timm, 1961</t>
  </si>
  <si>
    <t>Megadorus megadorus (Allen, 1941) J.B. Goodey, 1960</t>
  </si>
  <si>
    <t>Tylaphelenchus leichenicola Rühm, 1956</t>
  </si>
  <si>
    <t>Laimaphelenchus penardi (Steiner, 1914) Filipjev &amp; Schuurmans Stekhoven, 1941</t>
  </si>
  <si>
    <t>Bursaphelenchus piniperdae Fuchs, 1937</t>
  </si>
  <si>
    <t>Rhadinaphelenchus cocophilus (Cobb, 1919) J. B. Goodey, 1960</t>
  </si>
  <si>
    <t>Cryptaphelenchus macrogaster macrogaster (Fuchs, 1937) Rühm, 1956</t>
  </si>
  <si>
    <t>Cryptaphelenchoides macrobulbosus (Ri.ihm, 1956) J. B. Goodey, 1960</t>
  </si>
  <si>
    <t>Ectaphelenchus goffarti Rühm, 1956</t>
  </si>
  <si>
    <t>Parasitaphelenchus uncinatus</t>
  </si>
  <si>
    <t>Parasitaphelenchus uncinatus (Fuchs, 1929) Fuchs, 1930</t>
  </si>
  <si>
    <t>Ruehmaphelenchus martinii (Ruehm, 1955) Goodey, 1963</t>
  </si>
  <si>
    <t>Peraphelenchus necrophori Wachek, 1955</t>
  </si>
  <si>
    <t>Paraphelenchus myceliophthorus Goodey, 1958</t>
  </si>
  <si>
    <t>Metaphelenchus rhopalocercus Steiner, 1943</t>
  </si>
  <si>
    <t>Anomyctus xenurus Allen, 1940</t>
  </si>
  <si>
    <t>Diplogaster rivalis (Leydig, 1854) Bütschli, 1873</t>
  </si>
  <si>
    <t>Diplogaster micans Schultze in Carus, 1857</t>
  </si>
  <si>
    <t>Diplogastrellus gracilis (Bütschli, 1876) Paramonov, 1952</t>
  </si>
  <si>
    <t>Diplogasteroides carinthiacus (Fuchs, 1931) Rühm in Körner, 1954</t>
  </si>
  <si>
    <t>Rhabdontolaimus carinthiacus (Fuchs, 1931) Filipjev &amp; Schuurmans Stekhoven, 1941</t>
  </si>
  <si>
    <t>Butlerius demani (W. Schneider, 1923) Andrássy, 1984</t>
  </si>
  <si>
    <t>Diplogasteriana demani (W. Schneider, 1923) Meyl, 1961</t>
  </si>
  <si>
    <t>Diplogasteroides halleri (Fuchs, 1915) Rühm, 1956</t>
  </si>
  <si>
    <t>Rhabditolaimus halleri Fuchs, 1915</t>
  </si>
  <si>
    <t>Acrostichus nudicapitatus (Steiner, 1914) Massey, 1962</t>
  </si>
  <si>
    <t>Diplogasteritus nudicapitatus (Steiner, 1914) Paramonov, 1952</t>
  </si>
  <si>
    <t>Diplogastrellus graciloides (Skwarra, 1921) Paramonov, 1952</t>
  </si>
  <si>
    <t>Metadiplogaster inaequidens (Paesler, 1946) Meyl, 1962</t>
  </si>
  <si>
    <t>Demaniella cibourgensis Steiner, 1914</t>
  </si>
  <si>
    <t>Rhabditolaimus leuckarti Fuchs, 1914</t>
  </si>
  <si>
    <t>Dirhabdilaimus leuckarti (Fuchs, 1914) Paramonov &amp; Turlygina, 1955</t>
  </si>
  <si>
    <t>Diplogasteroides spengelii de Man, 1912</t>
  </si>
  <si>
    <t>Goffartia heteroceri Hirschmann, 1952</t>
  </si>
  <si>
    <t>Allodiplogaster henrichae (Sachs, 1950) Paramonov &amp; Solbolev in Skrjabin et al. 1954</t>
  </si>
  <si>
    <t>Paroigolaimella coprophages (de Man, 1876) Paramonov, 1952</t>
  </si>
  <si>
    <t>Pristionchus lheritieri (Maupas, 1919) Paramonov, 1952</t>
  </si>
  <si>
    <t>Mesodiplogaster lheritieri (Maupas, 1919) Goodey, 1963</t>
  </si>
  <si>
    <t>Oigolaimella longicauda (Claus, 1862) Fürst von Lieven, 2003</t>
  </si>
  <si>
    <t>Hemidiplogaster agilis (Skwarra, 1921) Goodey, 1963</t>
  </si>
  <si>
    <t>Mononchoides striatus (Bütschli, 1876) Goodey, 1963</t>
  </si>
  <si>
    <t>Fictor similis (Bütschli, 1876) Goodey, 1963</t>
  </si>
  <si>
    <t>Koerneria goffarti (Körner, 1954) Meyl, 1960</t>
  </si>
  <si>
    <t>Fictor levidentus (Weingärtner, 1955) Sudhaus &amp; Fürst von Lieven, 2003</t>
  </si>
  <si>
    <t>Prosodontus levidentus (Weingärtner, 1955) Goodey, 1963</t>
  </si>
  <si>
    <t>Micoletzkya buetschlii (Fuchs, 1915) Baker, 1962</t>
  </si>
  <si>
    <t>Butlerius butleri Goodey, 1929</t>
  </si>
  <si>
    <t>Neodiplogaster pissodis (Fuchs, 1930) Goodey, 1951</t>
  </si>
  <si>
    <t>Odontopharynx longicaudata de Man, 1912</t>
  </si>
  <si>
    <t>Tylopharynx foetida (Bütschli, 1874) Goodey, 1928</t>
  </si>
  <si>
    <t>Tylopharynx foetidus (Biitschli, 1874) Sachs, 1950</t>
  </si>
  <si>
    <t>Rhabditolaimus macrolaimus (A. Schneider, 1866) Susoy &amp; Herrmann, 2013</t>
  </si>
  <si>
    <t>Cylindrocorpus longistoma (Stefanski, 1922) Goodey, 1939</t>
  </si>
  <si>
    <t>Rhabditolaimus ulmi (Goodey, 1930) Susoy &amp; Herrmann, 2013</t>
  </si>
  <si>
    <t>Goodeyus ulmi (Goodey, 1930) Chitwood, 1933</t>
  </si>
  <si>
    <t>Rhabditolaimus pellucidus (Cobb, 1920) Susoy &amp; Herrmann, 2013</t>
  </si>
  <si>
    <t>Myctolaimus pellucidus Cobb, 1920</t>
  </si>
  <si>
    <t>Pseudodiplogasteroides compositus Körner, 1954</t>
  </si>
  <si>
    <t>Pseudodiplogasteroides saperdae Rühm, 1956</t>
  </si>
  <si>
    <t>Protodiplogasteroides saperdae (Rühm, 1956) Paramonov, 1957</t>
  </si>
  <si>
    <t>Oscheius insectivorus (Körner, 1954)</t>
  </si>
  <si>
    <t>Rhabditis insectivora Körner, 1954</t>
  </si>
  <si>
    <t>Choriorhabditis koerneri (Osche, 1952)</t>
  </si>
  <si>
    <t>Rhabditis (Choriorhabditis) koerneri Osche, 1952</t>
  </si>
  <si>
    <t>Cephaloboides musicola (Rahm, 1928) Massey, 1974</t>
  </si>
  <si>
    <t>Rhabditis (Cephaloboides) musicola Rahm, 1928</t>
  </si>
  <si>
    <t>Rhabditella axei (Cobbold, 1884) Chitwood, 1933</t>
  </si>
  <si>
    <t>Rhabditis (Rhabditella) axei (Cobbold, 1884) Dougherty, 1955</t>
  </si>
  <si>
    <t>Buetschlinema friderici (Hirschmann in Osche, 1952) Sudhaus, 2011</t>
  </si>
  <si>
    <t>Rhabditis (Pellioditis) friderici (Hirschmann in Osche, 1952) Dougherty, 1955</t>
  </si>
  <si>
    <t>Pelodera teres A. Schneider, 1866</t>
  </si>
  <si>
    <t>Pelodera (Pelodera) teres Schneider, 1866 (Dougherty, 1955)</t>
  </si>
  <si>
    <t>Cruznema tripartitum (von Linstow, 1906) Zullini, 1982</t>
  </si>
  <si>
    <t>Pelodera (Cruznema) lambdiensis (Maupas, 1919) Dougherty, 1953</t>
  </si>
  <si>
    <t>Pelodera serrata (Körner in Osche, 1952) Dougherty, 1955</t>
  </si>
  <si>
    <t>Pelodera (Coarctadera) serrata (Körner in Osche, 1952) Dougherty, 1955</t>
  </si>
  <si>
    <t>Pelodera cylindrica (Cobb, 1898)</t>
  </si>
  <si>
    <t>Pelodera (Cylindridera) cylindrica (Cobb, 1898) Dougherty, 1953</t>
  </si>
  <si>
    <t>Rhabditoides longispina (Reiter, 1928) Dougherty, 1953</t>
  </si>
  <si>
    <t>Oscheius dolichura (A. Schneider, 1866) Sudhaus &amp; Hooper, 1994</t>
  </si>
  <si>
    <t>Caenorhabditis dolichura (A. Schneider, 1866) Dougherty, 1955</t>
  </si>
  <si>
    <t>Mesorhabditis spiculigera (Steiner, 1936) Dougherty, 1953</t>
  </si>
  <si>
    <t>Teratorhabditis dentifera (Völk, 1950) Dougherty, 1953</t>
  </si>
  <si>
    <t>Diploscapteroides dacchensis (Timm, 1959) Andrássy, 1983</t>
  </si>
  <si>
    <t>Cheilorhabditis dacchensis Timm, 1959</t>
  </si>
  <si>
    <t>Odontorhabditis musicola Timm, 1959</t>
  </si>
  <si>
    <t>Rhabditonema propinquum Körner, 1954</t>
  </si>
  <si>
    <t>Poikilolaimus micoletzkyi Fuchs, 1930</t>
  </si>
  <si>
    <t>Poikilolaimus piniperdae Fuchs, 1930</t>
  </si>
  <si>
    <t>Protorhabditis xylocola (Körner, 1954) Dougherty, 1955</t>
  </si>
  <si>
    <t>Parasitorhabditis obtusa (Fuchs, 1915) Chitwood &amp; Chitwood, 1950</t>
  </si>
  <si>
    <t>Neorhabditis flagellicaudata (Schuurmans Stekhoven, 1951) Schuurmans Stekhoven, 1954</t>
  </si>
  <si>
    <t>Alloionema appendiculatum Schneider, 1859 (large form)</t>
  </si>
  <si>
    <t>Alloionema appendiculata Schneider, 1859</t>
  </si>
  <si>
    <t>Alloionema appendiculatum Schneider, 1859 (small form)</t>
  </si>
  <si>
    <t>Rhabditophanes schneideri (Bütschli, 1873) Goodey, 1953</t>
  </si>
  <si>
    <t>Diploscapter lycostoma Völk, 1950</t>
  </si>
  <si>
    <t>Bunonema richtersi Jägerskiöld, 1905</t>
  </si>
  <si>
    <t>Rhodolaimus stoeckherti (Sachs, 1949) Andrássy, 1958</t>
  </si>
  <si>
    <t>Rhodolaimus goffarti (Sachs, 1949) Andrássy, 1971</t>
  </si>
  <si>
    <t>Stammeria goffarti (Sachs, 1949) Andrássy, 1958</t>
  </si>
  <si>
    <t>Craspedonema zeelandicum de Man, 1926</t>
  </si>
  <si>
    <t>Aspidonema stammeri (Sachs, 1949) Andrássy, 1958</t>
  </si>
  <si>
    <t>Serronema dentatum (Paesler, 1957) Goodey, 1963</t>
  </si>
  <si>
    <t>Pterygorhabditis pakistanensis Timm, 1957</t>
  </si>
  <si>
    <t>Brevibucca saprophaga Goodey, 1935</t>
  </si>
  <si>
    <t>Panagrolaimus fuchsi Rühm, 1956</t>
  </si>
  <si>
    <t>Plectonchus cuniculari Fuchs, 1930</t>
  </si>
  <si>
    <t>Panagrobelus incisus - Thorne, 1939</t>
  </si>
  <si>
    <t>Macrolaimus hamatus Thorne, 1937</t>
  </si>
  <si>
    <t>Anguilluloides tremebunda Goodey, 1963</t>
  </si>
  <si>
    <t>Anguillula dorsobidentata Rühm, 1956</t>
  </si>
  <si>
    <t>Panagrellus dorsobidentata (Ruhm, 1956)</t>
  </si>
  <si>
    <t>Cuticonema vivipara Sanwal, 1959</t>
  </si>
  <si>
    <t>Micronema minutum Korner, 1954</t>
  </si>
  <si>
    <t>Trilabiatus lignicolus (Korner, 1954)</t>
  </si>
  <si>
    <t>Turbatrix aceti (Müller, 1783) Peters, 1927</t>
  </si>
  <si>
    <t>Myolaimus heterurus Cobb, 1920</t>
  </si>
  <si>
    <t>Chambersiella rodens Cobb, 1920</t>
  </si>
  <si>
    <t>Cephalobus persegnis Bastian, 1865</t>
  </si>
  <si>
    <t>Eucephalobus oxyuroides (de Man, 1876) Steiner, 1936</t>
  </si>
  <si>
    <t>Acrobeloides buetschlii (de Man, 1884) Steiner &amp; Buhrer, 1933</t>
  </si>
  <si>
    <t>Placodira lobata Thorne, 1937</t>
  </si>
  <si>
    <t>Chiloplacus symmetricus (Thorne, 1925) Thorne, 1937</t>
  </si>
  <si>
    <t>Zeldia punctata (Thorne, 1925) Thorne, 1937</t>
  </si>
  <si>
    <t>Cervidellus cervus (Thorne, 1925) Thorne, 1937</t>
  </si>
  <si>
    <t>Stegelleta incisa (Thorne, 1937) Thorne, 1938</t>
  </si>
  <si>
    <t>Acrobeles ciliatus von Linstow, 1877</t>
  </si>
  <si>
    <t>Teratocephalus terrestris (Bütschli, 1873) de Man, 1876</t>
  </si>
  <si>
    <t>Euteratocephalus palustris (de Man, 1880) Andrássy, 1958</t>
  </si>
  <si>
    <t>Anaplectus granulosus (Bastian, 1865) De Coninck &amp; Schuurmans Stekhoven, 1933</t>
  </si>
  <si>
    <t>Plectus granulosus Bastian, 1865</t>
  </si>
  <si>
    <t>Paraplectonema pedunculatum (Hofmänner, 1913) Strand, 1934</t>
  </si>
  <si>
    <t>Paraplectonema pedunculata (Hofmanner, 1913) Strand, 1934</t>
  </si>
  <si>
    <t>Anonchus mirabilis (Hofmänner in Hofmänner &amp; Menzel, 1914) Chitwood &amp; Chitwood, 1936</t>
  </si>
  <si>
    <t>Chronogaster longicollis (Daday, 1899) Andrássy, 1958</t>
  </si>
  <si>
    <t>Rhabdolaimus limnophilus (Soós, 1937)</t>
  </si>
  <si>
    <t>Pseudorhabdolaimus limnophilus Soós, 1937</t>
  </si>
  <si>
    <t>Tylocephalus auriculatus (Bütschli, 1873) Anderson, 1966</t>
  </si>
  <si>
    <t>Wilsonema auriculatum (Bütschli, 1873) Cobb, 1913</t>
  </si>
  <si>
    <t>Tylocephalus bacillivorus Crossman, 1933</t>
  </si>
  <si>
    <t>Paradoxolaimus demani Kreis, 1924</t>
  </si>
  <si>
    <t>Leptolaimus papilliger de Man, 1876</t>
  </si>
  <si>
    <t>Rhabdolaimus terrestris de Man, 1880</t>
  </si>
  <si>
    <t>Haliplectus bickneri Chitwood, 1956</t>
  </si>
  <si>
    <t>Aphanolaimus attentus de Man, 1880</t>
  </si>
  <si>
    <t>Paraphanolaimus behningi Micoletzky, 1923</t>
  </si>
  <si>
    <t>Dintheria tenuissima de Man, 1921</t>
  </si>
  <si>
    <t>Deontolaimus papillatus de Man, 1880</t>
  </si>
  <si>
    <t>Bastiania gracilis de Man, 1876</t>
  </si>
  <si>
    <t>Cylindrolaimus melancholicus de Man, 1880</t>
  </si>
  <si>
    <t>Domorganus macronephriticus Goodey, 1946</t>
  </si>
  <si>
    <t>Gymnolaimus exilis (Cobb, 1893) Cobb, 1913</t>
  </si>
  <si>
    <t>Aulolaimus meyli Loof, 1961</t>
  </si>
  <si>
    <t>Pseudoaulolaimus anchilocaudatus Imamura, 1931</t>
  </si>
  <si>
    <t>Isolaimium papillatum Cobb, 1920</t>
  </si>
  <si>
    <t>Colpurella fontinalis Cobb, 1920</t>
  </si>
  <si>
    <t>Rogerus orientalis (Hoeppli &amp; Chu, 1932) Hoeppli &amp; Chu, 1934</t>
  </si>
  <si>
    <t>Greenia orientalis Hoeppli &amp; Chu, 1932</t>
  </si>
  <si>
    <t>Desmoscolex aquaedulcis Stammer, 1935</t>
  </si>
  <si>
    <t>Eumonhystera vulgaris (de Man, 1880) Andrássy, 1981</t>
  </si>
  <si>
    <t>Monhystera vulgaris de Man, 1880</t>
  </si>
  <si>
    <t>Sinanema ginlingensis (Hoeppli &amp; Chu, 1932) Andrássy, 1960</t>
  </si>
  <si>
    <t>Monhystrella ginlingensis Hoeppli &amp; Chu, 1932</t>
  </si>
  <si>
    <t>Prismatolaimus verrucosus Hirschmann, 1952</t>
  </si>
  <si>
    <t>Diplolaimella allgeni Schneider, 1937</t>
  </si>
  <si>
    <t>Diplolaimelloides islandicus (De Coninck, 1943) Meyl, 1954</t>
  </si>
  <si>
    <t>Diplolaimelloides islandica (de Coninck, 1943) Meyl, 1954</t>
  </si>
  <si>
    <t>Hofmaenneria niddensis (Skwarra, 1921) Schneider, 1940</t>
  </si>
  <si>
    <t>Desmolaimus zeelandicus de Man, 1880</t>
  </si>
  <si>
    <t>Sphaerolaimus gracilis de Man, 1876</t>
  </si>
  <si>
    <t>Neochromadora izhorica (Filipjev, 1929) Schuurmans-Stekhoven, 1935</t>
  </si>
  <si>
    <t>Chromadorella izhorica Filipjev, 1929</t>
  </si>
  <si>
    <t>Chromadorina viridis (Linstow, 1876) Wieser, 1954</t>
  </si>
  <si>
    <t>Dichromadora geophila (de Man, 1876) Kreis, 1929</t>
  </si>
  <si>
    <t>Hypodontolaimus geophilus (de Man, 1876)</t>
  </si>
  <si>
    <t>Prochromadora orleji (de Man, 1880) Filipjev, 1922</t>
  </si>
  <si>
    <t>Prochromadora oerleyi (de Man, 1881) Filipjev, 1930</t>
  </si>
  <si>
    <t>Punctodora ratzeburgensis (Linstow, 1876) Filipjev, 1929</t>
  </si>
  <si>
    <t>Chromadorita leuckarti (de Man, 1876) Filipjev, 1929</t>
  </si>
  <si>
    <t>Paracyatholaimus intermedius (de Man, 1880) Micoletzky, 1922</t>
  </si>
  <si>
    <t>Achromadora ruricola (De Man, 1880) Micoletzky, 1924</t>
  </si>
  <si>
    <t>Ethmolaimus pratensis de Man, 1880</t>
  </si>
  <si>
    <t>Prodesmodora circulata Micoletzky, 1925</t>
  </si>
  <si>
    <t>Odontolaimus chlorurus de Man, 1880</t>
  </si>
  <si>
    <t>Udonchus tenuicaudatus Cobb, 1913</t>
  </si>
  <si>
    <t>Monochromadora monhysteroides Schneider, 1937</t>
  </si>
  <si>
    <t>Aulolaimus filiformis (Timm, 1957) Jairajpuri &amp; Hooper, 1968</t>
  </si>
  <si>
    <t>Pandurinema filiformis Timm, 1957</t>
  </si>
  <si>
    <t>Choanolaimus psammophilus de Man, 1880</t>
  </si>
  <si>
    <t>Microlaimus globiceps de Man, 1880</t>
  </si>
  <si>
    <t>Domorganus bathybius (Schneider, 1943) Lorenzen, 1981</t>
  </si>
  <si>
    <t>Ohridia bathybia Schneider, 1943</t>
  </si>
  <si>
    <t>Enoploides fluviatilis Micoletzky, 1923</t>
  </si>
  <si>
    <t>Halalaimus stammeri Schneider, 1940</t>
  </si>
  <si>
    <t>uncertain &gt; taxon inquirendum (Description based on three females)</t>
  </si>
  <si>
    <t>Aulolaimus aquaedulcis (W. Schneider, 1940) Lorenzen, 1981</t>
  </si>
  <si>
    <t>Thalassoalaimus aquaedulcis W. Schneider, 1940</t>
  </si>
  <si>
    <t>Adoncholaimus thalassophygas (de Man, 1876) Filipjev, 1918</t>
  </si>
  <si>
    <t>Oncholaimus thalassophygas de Man, 1876</t>
  </si>
  <si>
    <t>Onchulus longicauda (Daday, 1899) Andrássy, 1964</t>
  </si>
  <si>
    <t>Onchulus longicaudatus Cobb, 1920</t>
  </si>
  <si>
    <t>Mononchulus ventralis Cobb, 1918</t>
  </si>
  <si>
    <t>Paraphanolaimus indicus (Kreis, 1936) Andrássy, 1976</t>
  </si>
  <si>
    <t>Bathyonchus indicus Kreis, 1936</t>
  </si>
  <si>
    <t>Eurystomina terricola (de Man, 1907) Filipjev, 1921</t>
  </si>
  <si>
    <t>Enoplochilus obtusicaudatus Kreis, 1932</t>
  </si>
  <si>
    <t>Oionchus obtusicaudatus (Kreis, 1932) Thorne, 1935</t>
  </si>
  <si>
    <t>Tripyla affinis de Man, 1880</t>
  </si>
  <si>
    <t>Tobrilus gracilis (Bastian, 1865) Andrássy, 1959</t>
  </si>
  <si>
    <t>Ironus ignavus Bastian, 1865</t>
  </si>
  <si>
    <t>Ironus ignavus Bast., 1865</t>
  </si>
  <si>
    <t>Cryptonchus abnormis (Allgén, 1933) Schuurmans Stekhoven, 1951</t>
  </si>
  <si>
    <t>Dorylaimus stagnalis Dujardin, 1845</t>
  </si>
  <si>
    <t>Mesodorylaimus mesonyctius (Kreis, 1930) Andrássy, 1959</t>
  </si>
  <si>
    <t>Eudorylaimus carteri (Bastian, 1865) Andrássy, 1959</t>
  </si>
  <si>
    <t>Labronema ferox Thorne, 1939</t>
  </si>
  <si>
    <t>Chrysonema aurum Thorne, 1929</t>
  </si>
  <si>
    <t>Nygolaimoides borborophilus (de Man, 1876)</t>
  </si>
  <si>
    <t>Thornia steatopyga (Thorne &amp; Swanger, 1936)</t>
  </si>
  <si>
    <t>Pungentus thornei T. Goodey, 1943</t>
  </si>
  <si>
    <t>Discolaimus major Thorne, 1939</t>
  </si>
  <si>
    <t>Discolaimium cylindricum Thorne, 1939</t>
  </si>
  <si>
    <t>Aporcelaimus superbus (de Man, 1880) Goodey, 1951</t>
  </si>
  <si>
    <t>Drepanodorus leptocephalus</t>
  </si>
  <si>
    <t>Amphidorylaimus infecundus (Cobb in Thorne &amp; Swanger, 1936) Andrássy, 1960</t>
  </si>
  <si>
    <t>Prodorylaimus longicaudatus (Bütschli, 1874) Andrássy, 1959</t>
  </si>
  <si>
    <t>uncertain &gt; taxon inquirendum</t>
  </si>
  <si>
    <t>Thornenema lissum Thorne, 1939</t>
  </si>
  <si>
    <t>Meylonema buchneri (Meyl, 1953)</t>
  </si>
  <si>
    <t>Thorneella teres (Thorne &amp; Swanger, 1936) Andrássy, 1960</t>
  </si>
  <si>
    <t>Lordellonema bauruense (Lordello, 1957) Andrássy, 1960</t>
  </si>
  <si>
    <t>Actinolaimus radiatus Cobb, 1913</t>
  </si>
  <si>
    <t>Paractinolaimus microdentatus (Thorne, 1939) Meyl, 1957</t>
  </si>
  <si>
    <t>Actinolaimoides tobleri (Menzel &amp; Micol. in Micol., 1925) Meyl, 1957</t>
  </si>
  <si>
    <t>Metactinolaimus leloupi Meyl, 1957</t>
  </si>
  <si>
    <t>Trachypleurosum conformis</t>
  </si>
  <si>
    <t>Trachypleurosum conformis Schneider, 1935) Andrassy, 1959</t>
  </si>
  <si>
    <t>Carcharolaimus teres Thorne, 1939</t>
  </si>
  <si>
    <t>Mylodiscus nanus Thorne, 1939</t>
  </si>
  <si>
    <t>Antholaimus truncatus Cobb, 1913</t>
  </si>
  <si>
    <t>Tylencholaimus teres Thorne, 1939</t>
  </si>
  <si>
    <t>Enchodelus macrodorus (de Man, 1880) Thorne, 1939</t>
  </si>
  <si>
    <t>Discomyctus cephalatus Thorne, 1939</t>
  </si>
  <si>
    <t>Longidorus caespiticola Hooper, 1961</t>
  </si>
  <si>
    <t>Xiphinema radicicola T. Goodey, 1936</t>
  </si>
  <si>
    <t>Longidorella parva Thorne, 1939</t>
  </si>
  <si>
    <t>Xiphinemella ornatum (Loos, 1949) Loos, 1950</t>
  </si>
  <si>
    <t>Miranema gracile Thorne, 1939</t>
  </si>
  <si>
    <t>Utahnema tenuidens Thorne, 1939</t>
  </si>
  <si>
    <t>Dorylaimellus mirus (Kirjanova, 1951) Andrássy, 1967</t>
  </si>
  <si>
    <t>Opailaimus mirus Kirjanova, 1951</t>
  </si>
  <si>
    <t>Discolaimus otiosus (Kirjanova, 1951) Andrássy, 1967</t>
  </si>
  <si>
    <t>Ottolaimus otiosus Kirjanova, 1951</t>
  </si>
  <si>
    <t>Juv</t>
  </si>
  <si>
    <t>Belondira apitica Thorne, 1939</t>
  </si>
  <si>
    <t>Axonchium amplicolle Cobb, 1920</t>
  </si>
  <si>
    <t>Oxydirus oxycephaloides (de Man, 1921) Thorne, 1939</t>
  </si>
  <si>
    <t>Swangeria fragilis Thorne, 1939</t>
  </si>
  <si>
    <t>Dorylaimellus (Dorylaimellus) demani Goodey, 1963 (Jairajpuri &amp; Ahmad, 1980)</t>
  </si>
  <si>
    <t>Dorylaimellus demani Goodey, 1963</t>
  </si>
  <si>
    <t>Aquatides aquaticus (Thorne, 1930) Heyns, 1968</t>
  </si>
  <si>
    <t>Nygolaimus aquaticus Thorne, 1930</t>
  </si>
  <si>
    <t>Sectonema ventrale Thorne, 1930</t>
  </si>
  <si>
    <t>Sectonema rotundicauda T. Goodey, 1951</t>
  </si>
  <si>
    <t>Nygellus clavatus Thorne, 1939</t>
  </si>
  <si>
    <t>Nygolaimellus abnormis Loos, 1949</t>
  </si>
  <si>
    <t>Leptonchus granulosus Cobb, 1920</t>
  </si>
  <si>
    <t>Proleptonchus aestivus Lordello, 1955</t>
  </si>
  <si>
    <t>Dorylaimoides teres Thorne &amp; Swanger, 1936</t>
  </si>
  <si>
    <t>Doryllium uniforme Cobb, 1920</t>
  </si>
  <si>
    <t>Tylencholaimellus affinis (Brakenhoff, 1914) Thorne, 1939</t>
  </si>
  <si>
    <t>Funaria thornei van der Linde, 1938</t>
  </si>
  <si>
    <t>Campydora demonstrans Cobb, 1920</t>
  </si>
  <si>
    <t>Tyleptus projectus Thorne, 1939</t>
  </si>
  <si>
    <t>Aulolaimoides elegans Micoletzky, 1915</t>
  </si>
  <si>
    <t>Stephanium lingulatum Rahm, 1938</t>
  </si>
  <si>
    <t>Clarkus papillatus (Bastian, 1865) Jairajpuri, 1970</t>
  </si>
  <si>
    <t>Mononchus papillatus Bastian, 1865</t>
  </si>
  <si>
    <t>Prionchulus muscorum (Dujardin, 1845) Cobb, 1916</t>
  </si>
  <si>
    <t>Sporonchulus dentatus Cobb, 1917</t>
  </si>
  <si>
    <t>Judonchulus recessus (Cobb, 1917) Andrássy, 1958</t>
  </si>
  <si>
    <t>Granonchulus schulzi (Meyl, 1955) Andrássy, 1958</t>
  </si>
  <si>
    <t>Mylonchulus brachyuris (Bütschli, 1873) Cobb, 1917</t>
  </si>
  <si>
    <t>Brachonchulus brachyuroides (Micoletzky, 1925) Andrássy, 1958</t>
  </si>
  <si>
    <t>Cobbonchus pounamua Clark, 1960</t>
  </si>
  <si>
    <t>Iotonchulus ophiocercus (Clark, 1961) Andrássy, 1993</t>
  </si>
  <si>
    <t>Iotonchus ophiocercus Clark, 1961</t>
  </si>
  <si>
    <t>Anatonchus tridentatus (de Man, 1876) De Coninck, 1939</t>
  </si>
  <si>
    <t>Miconchus digiturus (Cobb, 1893) Andrássy, 1958</t>
  </si>
  <si>
    <t>Bathyodontus cylindricus Fielding, 1950</t>
  </si>
  <si>
    <t>Oionchus obtusus Cobb, 1913</t>
  </si>
  <si>
    <t>Alaimus primitivus de Man, 1880</t>
  </si>
  <si>
    <t>Amphidelus lissus Thorne, 1939</t>
  </si>
  <si>
    <t>Diphtherophora communis de Man, 1880</t>
  </si>
  <si>
    <t>Tylolaimophorus cylindricum (Cobb, 1920)</t>
  </si>
  <si>
    <t>Trichodorus primitivus (de Man, 1880)</t>
  </si>
  <si>
    <t>Mermis nigrescens Dujardin, 1842</t>
  </si>
  <si>
    <t>Metric</t>
  </si>
  <si>
    <t>Description</t>
  </si>
  <si>
    <t>Character type</t>
  </si>
  <si>
    <t>Pop</t>
  </si>
  <si>
    <t>Population name</t>
  </si>
  <si>
    <t>Code</t>
  </si>
  <si>
    <t>Group</t>
  </si>
  <si>
    <t>Morphological group</t>
  </si>
  <si>
    <t>LGT</t>
  </si>
  <si>
    <t>Body length</t>
  </si>
  <si>
    <t>Measurement</t>
  </si>
  <si>
    <t>Distance head / vulva</t>
  </si>
  <si>
    <t>DHV/LGT*100</t>
  </si>
  <si>
    <t>Ratio</t>
  </si>
  <si>
    <t>STY</t>
  </si>
  <si>
    <t>Stylet length</t>
  </si>
  <si>
    <t>Stylet conus length</t>
  </si>
  <si>
    <t>STA/STY</t>
  </si>
  <si>
    <t>Distance stylet base / dorsal gland opening</t>
  </si>
  <si>
    <t>Distance head / esophageal bulb</t>
  </si>
  <si>
    <t>Distance head / esophago-intestinal valve</t>
  </si>
  <si>
    <t>Distance head / end of esophageal glands</t>
  </si>
  <si>
    <t>Distance head / excretory pore</t>
  </si>
  <si>
    <t>Body diameter at vulva level</t>
  </si>
  <si>
    <t>LGT / DVU</t>
  </si>
  <si>
    <t>Width of body annuli</t>
  </si>
  <si>
    <t>Width of lateral field</t>
  </si>
  <si>
    <t>Tail length</t>
  </si>
  <si>
    <t>Body diameter at anus level</t>
  </si>
  <si>
    <t>LGT / TAIL</t>
  </si>
  <si>
    <t>TAIL / DAN</t>
  </si>
  <si>
    <t>Number of tail annules</t>
  </si>
  <si>
    <t>Count</t>
  </si>
  <si>
    <t>Width of labial framework</t>
  </si>
  <si>
    <t>Position of phasmids (number of body annuli from anus)</t>
  </si>
  <si>
    <t>Length of tail terminal process</t>
  </si>
  <si>
    <t>Habitus (number of degrees of degrees described by the spiraled body)</t>
  </si>
  <si>
    <t>Number of lip annules</t>
  </si>
  <si>
    <t>Lip shape (H= hemispherical; T= truncate)</t>
  </si>
  <si>
    <t>Qualitative</t>
  </si>
  <si>
    <t>Type of fusion of incisures on tail (en V-, Y-, µ-, U-, or m-shaped)</t>
  </si>
  <si>
    <t>Tail shape (P = with terminal process as in H. pseudorobustus; D = dorsal and ventral sides joining at an angle as in H. dihystera) etc</t>
  </si>
  <si>
    <t>Shape of stylet knobs (I = indented; F =  flat; R = roundfed; S = sloping)</t>
  </si>
  <si>
    <t>Annulation of terminal process  (Y/N = yes or no)</t>
  </si>
  <si>
    <t>Type of terminal annuli  (R = regular;  S = smaller)</t>
  </si>
  <si>
    <t>Type of ventral annuli ( R = regular;  S = smooth)</t>
  </si>
  <si>
    <t>Areolation of lateral field (Y/N = yes or no)</t>
  </si>
  <si>
    <t>DIS</t>
  </si>
  <si>
    <t>Labial disc present (Y/N = yes or no)</t>
  </si>
  <si>
    <t xml:space="preserve"> body length / distance from anterior to esophago-intestinal valve</t>
  </si>
  <si>
    <t xml:space="preserve">b' </t>
  </si>
  <si>
    <t xml:space="preserve"> body length / distance from anterior to base of esophageal glands</t>
  </si>
  <si>
    <t>% length of male gonad relative to body length</t>
  </si>
  <si>
    <t>Female lectotype</t>
  </si>
  <si>
    <t>females</t>
  </si>
  <si>
    <t>males</t>
  </si>
  <si>
    <t>Pratylenchus acuticaudatus Braasch &amp; Decker, 1989</t>
  </si>
  <si>
    <t>Female holotype</t>
  </si>
  <si>
    <t>Pratylenchus alleni Ferris, 1961</t>
  </si>
  <si>
    <t>Pratylenchus andinus Lordello, Zamith &amp; Boock, 1961</t>
  </si>
  <si>
    <t>Pratylenchus angulatus Siddiqi, 1994</t>
  </si>
  <si>
    <t>Pratylenchus arlingtoni Handoo, Carta &amp; Skantar, 2001</t>
  </si>
  <si>
    <t>Pratylenchus bhattii Siddiqi, Dabur &amp; Bajaj, 1991</t>
  </si>
  <si>
    <t>Pratylenchus bolivianus Corbett, 1983</t>
  </si>
  <si>
    <t>Pratylenchus brachyurus (Godfrey, 1929) Filipjev &amp; Schuurmans Stekhoven, 1941</t>
  </si>
  <si>
    <t>Females</t>
  </si>
  <si>
    <t>Males</t>
  </si>
  <si>
    <t>Pratylenchus brzeskii Karssen,Waeyenberge &amp; Moens, 2000</t>
  </si>
  <si>
    <t>Pratylenchus coffeae (Zimmermann, 1898) Filipjev &amp; Schuurmans Stekhoven, 1941</t>
  </si>
  <si>
    <t>Female neotype</t>
  </si>
  <si>
    <t>Pratylenchus convallariae Seinhorst, 1959</t>
  </si>
  <si>
    <t>Pratylenchus crassi Das &amp; Sultana, 1979</t>
  </si>
  <si>
    <t>Pratylenchus crenatus Loof, 1960</t>
  </si>
  <si>
    <t>male</t>
  </si>
  <si>
    <t>Pratylenchus cruciferus Bajaj &amp; Bhatti, 1984</t>
  </si>
  <si>
    <t>Pratylenchus curvicauda Siddiqi, Dabur &amp; Bajaj, 1991</t>
  </si>
  <si>
    <t>Pratylenchus delattrei Luc, 1958</t>
  </si>
  <si>
    <t>Pratylenchus dunensis de la Peña, Moens, van Aelst &amp; Karssen, 2006</t>
  </si>
  <si>
    <t>Pratylenchus ekrami Bajaj &amp; Bhatti, 1984</t>
  </si>
  <si>
    <t>Pratylenchus elamini Zeidan &amp; Geraert, 1991</t>
  </si>
  <si>
    <t>Pratylenchus estoniensis Ryss, 1982</t>
  </si>
  <si>
    <t>Pratylenchus fallax Seinhorst, 1968</t>
  </si>
  <si>
    <t>Pratylenchus flakkensis Seinhorst, 1968</t>
  </si>
  <si>
    <t>Pratylenchus gibbicaudatus Minagawa, 1982</t>
  </si>
  <si>
    <t>Pratylenchus goodeyi Sher &amp; Allen, 1953</t>
  </si>
  <si>
    <t>Tylenchus davainii Bastian, 1865</t>
  </si>
  <si>
    <t>female</t>
  </si>
  <si>
    <t>Filenchus hamatus (Thorne &amp; Malek, 1968) Raski &amp; Geraert, 1987</t>
  </si>
  <si>
    <t>Tylenchus hamatus Thorne &amp; Malek, 1968</t>
  </si>
  <si>
    <t>Tylenchus exiguus de Man, 1876</t>
  </si>
  <si>
    <t>taxon inquirendum</t>
  </si>
  <si>
    <t>Filenchus butteus (Thorne &amp; Malek, 1968) Raski &amp; Geraert, 1987</t>
  </si>
  <si>
    <t>Tylenchus butteus Thorne &amp; Malek, 1968</t>
  </si>
  <si>
    <t>Malenchus (Malenchus) platycephalus (Thorne &amp; Malek, 1968) Andrássy, 1981</t>
  </si>
  <si>
    <t>Tylenchus platycephalus Thorne &amp; Malek, 1968</t>
  </si>
  <si>
    <t>Filenchus thornei (Andrássy, 1954) Andrássy, 1963</t>
  </si>
  <si>
    <t>Tylenchus angusticephalus Thorne &amp; Malek, 1968</t>
  </si>
  <si>
    <t>Filenchus cylindricus (Thorne &amp; Malek, 1968) Niblack &amp; Bernard, 1985</t>
  </si>
  <si>
    <t>Tylenchus cylindricus Thorne &amp; Malek, 1968</t>
  </si>
  <si>
    <t>Filenchus ditissimus (Brzeski, 1963) Siddiqi, 1986</t>
  </si>
  <si>
    <t>Tylenchus parvissimus Thorne &amp; Malek, 1968</t>
  </si>
  <si>
    <t>Malenchus (Malenchus) fusiformis (Thorne &amp; Malek, 1968) Siddiqi, 1979</t>
  </si>
  <si>
    <t>Tylenchus fusiformis Thorne &amp; Malek, 1968</t>
  </si>
  <si>
    <t>Tylenchus plattensis Thorne &amp; Malek, 1968</t>
  </si>
  <si>
    <t>Tylenchus cylindricollis Thorne &amp; Malek, 1968</t>
  </si>
  <si>
    <t>Ditylenchus caudatus</t>
  </si>
  <si>
    <t>Ditylenchus microdens</t>
  </si>
  <si>
    <t>Ditylenchus valveus</t>
  </si>
  <si>
    <t>Ditylenchus clarus</t>
  </si>
  <si>
    <t>Ditylenchus  deiridus</t>
  </si>
  <si>
    <t>Ditylenchus obesus</t>
  </si>
  <si>
    <t>Pseudhalenchus anchilisposomus Tarjan, 1958</t>
  </si>
  <si>
    <t>Psilenchus elegans Thorne &amp; Malek, 1968</t>
  </si>
  <si>
    <t>Psilenchus intermedius Thorne &amp; Malek, 1968</t>
  </si>
  <si>
    <t>Psilenchus gigas Thorne &amp; Malek, 1968</t>
  </si>
  <si>
    <t>Basiria graminophila Siddiqi, 1959</t>
  </si>
  <si>
    <t>Basiria affinis Thorne &amp; Malek, 1968</t>
  </si>
  <si>
    <t>Basiria duplexa (Hagemeyer &amp; Allen, 1952) Geraert, 1968</t>
  </si>
  <si>
    <t>Basiroides obliquus Thorne &amp; Malek, 1968</t>
  </si>
  <si>
    <t>Basiroides conurus Thorne &amp; Malek, 1968</t>
  </si>
  <si>
    <t>Neopsilenchus magnidens (Thorne, 1949) Thorne &amp; Malek, 1968</t>
  </si>
  <si>
    <t>Tylenchus (Filenchus) magnidens (Thorne, 1949) Coodey, 1963</t>
  </si>
  <si>
    <t>Basiria similis (Thorne &amp; Malek, 1968) Bernard, 1980</t>
  </si>
  <si>
    <t>Clavilenchus similis Thorne &amp; Malek, 1968</t>
  </si>
  <si>
    <t>Tylenchorhynchus maximus Allen, 1955</t>
  </si>
  <si>
    <t>Tylenchorhynchus robustus Thorne &amp; Malek, 1968</t>
  </si>
  <si>
    <t>Quinisulcius acutus (Allen, 1955) Siddiqi, 1971</t>
  </si>
  <si>
    <t>Tylenchorhynchus acutus Allen, 1955</t>
  </si>
  <si>
    <t>Quinisulcius acutoides (Thorne &amp; Malek, 1968) Siddiqi, 1971</t>
  </si>
  <si>
    <t>Tylenchorhynchus acutoides Thorne &amp; Malek, 1968</t>
  </si>
  <si>
    <t>Tylenchorhynchus nudus Allen, 1955</t>
  </si>
  <si>
    <t>Tylenchorhynchus canalis Thorne &amp; Malek, 1968</t>
  </si>
  <si>
    <t>Nagelus varians (Thorne &amp; Malek, 1968) Siddiqi, 1986</t>
  </si>
  <si>
    <t>Tylenchorhynchus varians Thorne &amp; Malek, 1968</t>
  </si>
  <si>
    <t>Scutylenchus stegus (Thorne &amp; Malek, 1968) Siddiqi, 1979</t>
  </si>
  <si>
    <t>Tylenchorhynchus stegus Thorne &amp; Malek, 1968</t>
  </si>
  <si>
    <t>Neodolichorhynchus pachys (Thorne &amp; Malek, 1968) Sultan, Singh &amp; Sakhuja, 1991</t>
  </si>
  <si>
    <t>Tylenchorhynchus pachys Thorne &amp; Malek, 1968</t>
  </si>
  <si>
    <t>Nagelus leptus (Allen, 1955) Siddiqi, 1979</t>
  </si>
  <si>
    <t>Nagelus aberrans Thorne &amp; Malek, 1968</t>
  </si>
  <si>
    <t>Geocenamus tenuidens Thorne &amp; Malek, 1968</t>
  </si>
  <si>
    <t>Aorolaimus baldus</t>
  </si>
  <si>
    <t>Aorolaimus torpidus</t>
  </si>
  <si>
    <t>Helicotylenchus digonicus Perry in Perry, Darling &amp; Thorne, 1959</t>
  </si>
  <si>
    <t>Helicotylenchus platyurus</t>
  </si>
  <si>
    <t>Helicotylenchus labiodiscinus Sher, 1966</t>
  </si>
  <si>
    <t>Helicotylenchus bradys</t>
  </si>
  <si>
    <t>Helicotylenchus pseudorobustus (Steiner, 1914) Golden, 1956</t>
  </si>
  <si>
    <t>Helicotylenchus californicus Sher, 1966</t>
  </si>
  <si>
    <t>Helicotylenchus glissus</t>
  </si>
  <si>
    <t>Helicotylenchus exallus Sher, 1966</t>
  </si>
  <si>
    <t>Helicotylenchus hydrophilus Sher, 1966</t>
  </si>
  <si>
    <t>Pratylenchus scribneri Steiner in Sherbakoff &amp; Stanley, 1943</t>
  </si>
  <si>
    <t>Pratylenchus tenuis Thorne &amp; Malek, 1968</t>
  </si>
  <si>
    <t>Pratylenchus agilis Thorne &amp; Malek, 1968</t>
  </si>
  <si>
    <t>Pratylenchus hexincisus Taylor &amp; Jenkins, 1957</t>
  </si>
  <si>
    <t>Hirschmanniella gracilis (de Man, 1880) Luc &amp; Goodey, 1964</t>
  </si>
  <si>
    <t>Nacobbus aberrans (Thorne, 1935) Thorne &amp; Allen, 1944</t>
  </si>
  <si>
    <t>Nacobbus batatiformis Thorne &amp; Schuster, 1956</t>
  </si>
  <si>
    <t>Neotylenchus nudus</t>
  </si>
  <si>
    <t>Nothotylenchus major</t>
  </si>
  <si>
    <t>Nothotylenchus medians</t>
  </si>
  <si>
    <t>Nothotylenchus similis</t>
  </si>
  <si>
    <t>Boleodorus acutus Thorne &amp; Malek, 1968</t>
  </si>
  <si>
    <t>Boleodorus neosimilis Geraert, 1971</t>
  </si>
  <si>
    <t>Boleodorus similis Thorne &amp; Malek, 1968 nec Boleodorus similis Khan &amp; Basir, 1963</t>
  </si>
  <si>
    <t>Boleodorus clavicaudatus Thorne, 1941</t>
  </si>
  <si>
    <t>Neothada tatra (Thorne &amp; Malek, 1968) Khan, 1973</t>
  </si>
  <si>
    <t>Thada tatra Thorne &amp; Malek, 1968</t>
  </si>
  <si>
    <t>Stictylus mucronatus</t>
  </si>
  <si>
    <t>Mesocriconema raskiense (De Grisse, 1964) Andrássy, 1965</t>
  </si>
  <si>
    <t>Criconemoides raskiensis De Grisse, 1964</t>
  </si>
  <si>
    <t>Mesocriconema discus (Thorne &amp; Malek, 1968) Loof &amp; De Grisse, 1989</t>
  </si>
  <si>
    <t>Criconemoides discus Thorne &amp; Malek, 1968</t>
  </si>
  <si>
    <t>Criconemoides annulatus Cobb in Taylor, 1936</t>
  </si>
  <si>
    <t>Hemicycliophora gracilis Thorne, 1955</t>
  </si>
  <si>
    <t>Paratylenchus pesticus Thorne &amp; Malek, 1968</t>
  </si>
  <si>
    <t>Paratylenchus vexans Thorne &amp; Malek, 1968</t>
  </si>
  <si>
    <t>Paratylenchus elachistus Steiner, 1949</t>
  </si>
  <si>
    <t>Paratylenchus brevihastus Wu, 1962</t>
  </si>
  <si>
    <t>Paratylenchus projectus Jenkins, 1956</t>
  </si>
  <si>
    <t>Gracilacus audriellae (Brown, 1959) Raski, 1962</t>
  </si>
  <si>
    <t>Aphelenchus sparsus Thorne &amp; Malek, 1968</t>
  </si>
  <si>
    <t>Aphelenchoides saccheri Hooper, 1958</t>
  </si>
  <si>
    <t>Aphelenchoides clarus</t>
  </si>
  <si>
    <t>Aphelenchoides vigor</t>
  </si>
  <si>
    <t>Aphelenchoides centralis</t>
  </si>
  <si>
    <t>Aphelenchoides confusus Thorne &amp; Malek, 1968</t>
  </si>
  <si>
    <t>Aphelenchoides obtusus Thorne &amp; Malek, 1968</t>
  </si>
  <si>
    <t>Megadorus megadorus (Allen, 1941) J. B. Goodey, 1960</t>
  </si>
  <si>
    <t>Anomyctus xenurus</t>
  </si>
  <si>
    <t>Seinura oswegoensis</t>
  </si>
  <si>
    <t>Paratylenchus intermedius (Raski, 1962) Siddiqi &amp; Goodey, 1964</t>
  </si>
  <si>
    <t>Aporcelaimus eurydoris (Ditlevesen, 1911) Thorne &amp; Swanger, 1936</t>
  </si>
  <si>
    <t>Aporcelaimus pachydermus Thorne, 1937</t>
  </si>
  <si>
    <t>Akrotonus vigor Thorne, 1974</t>
  </si>
  <si>
    <t>Aporcelaimellus obtusicaudatus (Bastian, 1865) Altherr, 1968</t>
  </si>
  <si>
    <t>Aporcelaimellus krygeri (Ditlevesen, 1928) Heyns, 1965</t>
  </si>
  <si>
    <t>Aporcella taylori (Yeates, 1967) Álvarez-Ortega, Subbotin &amp; Peña-Santiago, 2013</t>
  </si>
  <si>
    <t>Aporcelaimellus clamus Thorne, 1974</t>
  </si>
  <si>
    <t>Aporcelaimellus conoidus Thorne, 1974</t>
  </si>
  <si>
    <t>Aporcelaimellus parmus Thorne, 1974</t>
  </si>
  <si>
    <t>Aporcelaimellus placus Thorne, 1974</t>
  </si>
  <si>
    <t>Aporcelaimellus sublabiatus</t>
  </si>
  <si>
    <t>Aporcelaimellus capitatus</t>
  </si>
  <si>
    <t>Crassolabium Yeates, 1967</t>
  </si>
  <si>
    <t>Thonus nothus (T. &amp; S., 1936) n. comb</t>
  </si>
  <si>
    <t>Crassolabium major (Thorne, 1974) Peña-Santiago &amp; Ciobanu, 2008</t>
  </si>
  <si>
    <t>Thonus major</t>
  </si>
  <si>
    <t>Crassolabium baldum (Thorne, 1974) Peña-Santiago &amp; Ciobanu, 2008</t>
  </si>
  <si>
    <t>Thonus baldus</t>
  </si>
  <si>
    <t>Crassolabium elegans (Thorne, 1974) Peña-Santiago &amp; Ciobanu, 2008</t>
  </si>
  <si>
    <t xml:space="preserve">Thonus elegans </t>
  </si>
  <si>
    <t>Crassolabium cylindricum (Thorne, 1974) Peña-Santiago &amp; Ciobanu, 2008</t>
  </si>
  <si>
    <t xml:space="preserve">Thonus cylindricus </t>
  </si>
  <si>
    <t>Crassolabium circuliferum (Loof, 1961) Peña-Santiago &amp; Ciobanu, 2008</t>
  </si>
  <si>
    <t>Thonus circulifer</t>
  </si>
  <si>
    <t>Crassolabium saccatum (Thorne, 1974) Peña-Santiago &amp; Ciobanu, 2008</t>
  </si>
  <si>
    <t xml:space="preserve">Thonus saccatus </t>
  </si>
  <si>
    <t>Lordellonema parvum Thorne, 1974</t>
  </si>
  <si>
    <t>Crassolabium confusum (Thorne, 1939) Peña-Santiago &amp; Ciobanu, 2008</t>
  </si>
  <si>
    <t xml:space="preserve">Eudorylaimus confusus </t>
  </si>
  <si>
    <t>Eudorylaimus longicardius Thorne, 1974</t>
  </si>
  <si>
    <t>Eudorylaimus sodakus Thorne, 1974</t>
  </si>
  <si>
    <t>Eudorylaimus conicaudatus Thorne, 1974</t>
  </si>
  <si>
    <t>Eudorylaimus subdigitalis Tjepkema, Ferris &amp; Ferris, 1971</t>
  </si>
  <si>
    <t xml:space="preserve">Eudorylaimus varians </t>
  </si>
  <si>
    <t>Allodorylaimus robustus (Thorne, 1974) Andrássy, 1986</t>
  </si>
  <si>
    <t>Eudorylaimus robustus</t>
  </si>
  <si>
    <t>Eudorylaimus arcus (Thorne &amp; Swanger, 1936) Andrássy, 1959</t>
  </si>
  <si>
    <t>Allodorylaimus andrassyi (Meyl, 1955) Andrássy, 1986</t>
  </si>
  <si>
    <t>Eudorylaimus andrassyi</t>
  </si>
  <si>
    <t>Eudorylaimus acuticauda (de Man, 1880) Andrássy, 1959</t>
  </si>
  <si>
    <t>Epidorylaimus angulosus (Thorne &amp; Swanger, 1936) Andrássy, 1986</t>
  </si>
  <si>
    <t>Eudorylaimus angulosus ( T. &amp; S. 1936) Andrassy, 1959</t>
  </si>
  <si>
    <t>Epidorylaimus lugdunensis (de Man, 1880) Andrássy, 1986</t>
  </si>
  <si>
    <t>Eudorylaimus leptus</t>
  </si>
  <si>
    <t>Eudorylaimus sabulophilus Tjepkema, Ferris &amp; Ferris, 1971</t>
  </si>
  <si>
    <t>Microdorylaimus modestus (Altherr, 1952) Andrássy, 1986</t>
  </si>
  <si>
    <t xml:space="preserve">Eudorylaimus modestus </t>
  </si>
  <si>
    <t>Microdorylaimus miser (Thorne &amp; Swanger, 1936) Andrássy, 1986</t>
  </si>
  <si>
    <t>Eudorylaimus miser</t>
  </si>
  <si>
    <t>Discolaimium geraldi Álvarez-Ortega &amp; Peña-Santiago, 2013</t>
  </si>
  <si>
    <t xml:space="preserve">Eudorylaimus dubius </t>
  </si>
  <si>
    <t>Eudorylaimus angleus Thorne, 1974</t>
  </si>
  <si>
    <t>Eudorylaimus aquilonarius Tjepkema, Ferris &amp; Ferris, 1971</t>
  </si>
  <si>
    <t>Eudorylaimus thorneanus Andrássy, 1990</t>
  </si>
  <si>
    <t>Chrysonema dubium</t>
  </si>
  <si>
    <t>Oonaguntus calvus</t>
  </si>
  <si>
    <t>Malekus acridens Thorne, 1974</t>
  </si>
  <si>
    <t>Ecumenicus monohystera (de Man, 1880) Thorne, 1974</t>
  </si>
  <si>
    <t>Mesodorylaimus bastiani (Bütschli, 1873) Andrássy, 1959</t>
  </si>
  <si>
    <t>Mesodorylaimus pseudobastiani</t>
  </si>
  <si>
    <t>Mesodorylaimus obscurus Thorne, 1974</t>
  </si>
  <si>
    <t>Mesodorylaimus macropallus Thorne, 1974</t>
  </si>
  <si>
    <t>Prodorylaimus acris (Thorne, 1939)</t>
  </si>
  <si>
    <t>Mesodorylaimus acris</t>
  </si>
  <si>
    <t>Mesodorylaimus brevidens Thorne, 1974</t>
  </si>
  <si>
    <t>Mesodorylaimus subtilis (Thorne &amp; Swanger, 1936) Andrássy, 1959</t>
  </si>
  <si>
    <t>Mesodorylaimus cardiacus Thorne, 1974</t>
  </si>
  <si>
    <t>Mesodorylaimus simplex Thorne, 1974</t>
  </si>
  <si>
    <t>Mesodorylaimus litoralis Loof, 1969</t>
  </si>
  <si>
    <t xml:space="preserve">Mesodorylaimus prerectus </t>
  </si>
  <si>
    <t>Mesodorylaimus lissus Thorne, 1974</t>
  </si>
  <si>
    <t>Mesodorylaimus recurvus Andrássy, 1964</t>
  </si>
  <si>
    <t>Crocodorylaimus flavomaculatus (Linstow, 1876) Andrássy, 1988</t>
  </si>
  <si>
    <t xml:space="preserve">Laimydorus incae </t>
  </si>
  <si>
    <t>Crocodorylaimus paraincae (Thorne, 1974) Andrássy, 1988</t>
  </si>
  <si>
    <t xml:space="preserve">Laimydorus paraincae </t>
  </si>
  <si>
    <t>Laimydorus reversus Thorne, 1974</t>
  </si>
  <si>
    <t>Dorylaimus crassus de Man, 1884</t>
  </si>
  <si>
    <t>Laimydorus crassus</t>
  </si>
  <si>
    <t>Drepanodorylaimus flexus (Thorne &amp; Swanger, 1936) Andrássy, 1969</t>
  </si>
  <si>
    <t xml:space="preserve">Laimydorus flexus </t>
  </si>
  <si>
    <t>Labronema obesum Thorne, 1974</t>
  </si>
  <si>
    <t>Labronema mauritiense</t>
  </si>
  <si>
    <t>Labronema rapax Thorne, 1974</t>
  </si>
  <si>
    <t>Paraxonchium magnidens</t>
  </si>
  <si>
    <t>Discolaimus texanus Cobb, 1913</t>
  </si>
  <si>
    <t>Discolaimus similis Thorne, 1939</t>
  </si>
  <si>
    <t>Longidorella penetrans (Thorne &amp; Swanger, 1936) Goodey, 1963</t>
  </si>
  <si>
    <t xml:space="preserve">Enchodorella penetrans </t>
  </si>
  <si>
    <t>Pungentus pungens Thorne &amp; Swanger, 1936</t>
  </si>
  <si>
    <t>Pungentus monohystera</t>
  </si>
  <si>
    <t>Pungentus crassus Thorne, 1974</t>
  </si>
  <si>
    <t>Enchodelus macrodoroides (Steiner, 1914) Thorne, 1939</t>
  </si>
  <si>
    <t>Nygolaimus macrobrachyurus</t>
  </si>
  <si>
    <t>Nygolaimus parabrachyurus</t>
  </si>
  <si>
    <t>Nygolaimus papilloides Thorne, 1974</t>
  </si>
  <si>
    <t>Nygolaimus butteus Thorne, 1974</t>
  </si>
  <si>
    <t>Nygolaimus acridens Thorne, 1974</t>
  </si>
  <si>
    <t>Nygolaimus dorotheae Heyns, 1968</t>
  </si>
  <si>
    <t>Nygolaimus paratenuis Thorne, 1974</t>
  </si>
  <si>
    <t>Nygolaimus parvus Thorne, 1974</t>
  </si>
  <si>
    <t>Nygolaimus cylindricus Thorne, 1974</t>
  </si>
  <si>
    <t>Nygolaimus hyans Thorne, 1974</t>
  </si>
  <si>
    <t>Aquatides rotundicaudatus Thorne, 1974</t>
  </si>
  <si>
    <t>Aquatides christiei Heyns, 1968</t>
  </si>
  <si>
    <t>Aquatides smoliki Thorne, 1974</t>
  </si>
  <si>
    <t>Paravulvus acuticaudatus</t>
  </si>
  <si>
    <t>Paravulvus teres (Thorne, 1930)</t>
  </si>
  <si>
    <t>Solididens vulgaris (Thorne, 1930) Thorne, 1974</t>
  </si>
  <si>
    <t>Laevides microdens Thorne, 1974</t>
  </si>
  <si>
    <t>Aetholaimus gracilis Thorne, 1974</t>
  </si>
  <si>
    <t>Tylencholaimus proximus Thorne, 1939</t>
  </si>
  <si>
    <t>Tylencholaimus nanus</t>
  </si>
  <si>
    <t>Longidorus crassus Thorne, 1974</t>
  </si>
  <si>
    <t>Longidorus fragilis Thorne, 1974</t>
  </si>
  <si>
    <t>Xiphinema americanum</t>
  </si>
  <si>
    <t>Xiphinema chambersi</t>
  </si>
  <si>
    <t>Xiphinema vuittenezi</t>
  </si>
  <si>
    <t>Axonchium micans Thorne, 1939</t>
  </si>
  <si>
    <t>Axonchium solitare</t>
  </si>
  <si>
    <t>Belaxellus elegans Thorne, 1974</t>
  </si>
  <si>
    <t>Dorylaimellus (Dorylaimellus) virginianus Cobb, 1913 (Jairajpuri &amp; Ahmad, 1980)</t>
  </si>
  <si>
    <t>Dorylaimellus virginianus Cobb, 1913</t>
  </si>
  <si>
    <t>Dorylaimellus (Dorylaimellus) occidentalis Thorne, 1939 (Jairajpuri &amp; Ahmad, 1980)</t>
  </si>
  <si>
    <t>Dorylaimellus occidentalis Thorne, 1939</t>
  </si>
  <si>
    <t>Leptonchus microdens Thorne, 1974</t>
  </si>
  <si>
    <t>Funaria fimbriata (Thorne, 1939) Goseco, Ferris &amp; Ferris, 1974</t>
  </si>
  <si>
    <t>Leptonchus fimbriatus</t>
  </si>
  <si>
    <t>Dorylaimoides (Dorylaimoides) teres Thorne &amp; Swanger, 1936 (Jairajpuri &amp; Ahmad, 1992)</t>
  </si>
  <si>
    <t>Dorylaimoides elegans (de Man, 1880) Thorne &amp; Swanger, 1936</t>
  </si>
  <si>
    <t>Dorylaimoides (Digidorylaimoides) elegans (de Man, 1880) Thorne &amp; Swanger, 1936</t>
  </si>
  <si>
    <t>Dorylaimoides micoletzkyi (de Man, 1921) Thorne &amp; Swanger, 1936</t>
  </si>
  <si>
    <t>Dorylaimoides (Digidorylaimoides) micoletzkyi (de Man, 1921) Thorne &amp; Swanger, 1936</t>
  </si>
  <si>
    <t>Tylencholaimellus grandis Thorne, 1974</t>
  </si>
  <si>
    <t>Tylencholaimellus magnidens Thorne, 1939</t>
  </si>
  <si>
    <t>Tylencholaimellus striatus Thorne, 1939</t>
  </si>
  <si>
    <t>Tylencholaimellus coronatus Thorne, 1939</t>
  </si>
  <si>
    <t>Diphtherophora obesus Thorne, 1939</t>
  </si>
  <si>
    <t>Diphtherophora obesum</t>
  </si>
  <si>
    <t>Diphtherophora latum Thorne, 1974</t>
  </si>
  <si>
    <t>Triplonchium cylindricum Cobb, 1920</t>
  </si>
  <si>
    <t>Triplonchium parvum</t>
  </si>
  <si>
    <t>Trichodorus obtusus Cobb, 1913</t>
  </si>
  <si>
    <t>Trichodorus proximus Allen, 1957</t>
  </si>
  <si>
    <t>Similarity</t>
  </si>
  <si>
    <t>Index</t>
  </si>
  <si>
    <t>F</t>
  </si>
  <si>
    <t>G</t>
  </si>
  <si>
    <t>H</t>
  </si>
  <si>
    <t>I</t>
  </si>
  <si>
    <t>J</t>
  </si>
  <si>
    <t>Specimen Values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</si>
</sst>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0.0"/>
  </numFmts>
  <fonts count="7" x14ac:knownFonts="1">
    <font>
      <sz val="10"/>
      <color rgb="FF000000"/>
      <name val="Arial"/>
      <scheme val="minor"/>
    </font>
    <font>
      <sz val="10"/>
      <color theme="1"/>
      <name val="Times New Roman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  <family val="1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 applyAlignment="1">
      <alignment wrapText="1"/>
    </xf>
    <xf numFmtId="165" fontId="3" fillId="0" borderId="0" xfId="0" applyNumberFormat="1" applyFont="1"/>
    <xf numFmtId="165" fontId="2" fillId="0" borderId="0" xfId="0" applyNumberFormat="1" applyFont="1"/>
    <xf numFmtId="2" fontId="4" fillId="2" borderId="0" xfId="0" applyNumberFormat="1" applyFont="1" applyFill="1"/>
    <xf numFmtId="164" fontId="4" fillId="2" borderId="0" xfId="0" applyNumberFormat="1" applyFont="1" applyFill="1"/>
    <xf numFmtId="4" fontId="4" fillId="2" borderId="0" xfId="0" applyNumberFormat="1" applyFont="1" applyFill="1"/>
    <xf numFmtId="0" fontId="5" fillId="2" borderId="0" xfId="0" applyFont="1" applyFill="1"/>
    <xf numFmtId="0" fontId="6" fillId="0" borderId="0" xfId="0" applyFont="1"/>
    <xf numFmtId="4" fontId="0" fillId="0" borderId="0" xfId="0" applyNumberFormat="1"/>
    <xf numFmtId="10" fontId="0" fillId="0" borderId="0" xfId="0" applyNumberFormat="1"/>
    <xf numFmtId="10" fontId="5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/>
    <xf numFmtId="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80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5703125" defaultRowHeight="15" customHeight="1" x14ac:dyDescent="0.2"/>
  <cols>
    <col min="2" max="2" width="42.42578125" customWidth="1"/>
    <col min="3" max="3" width="27.42578125" customWidth="1"/>
    <col min="4" max="6" width="8.28515625" customWidth="1"/>
    <col min="7" max="7" width="5.7109375" customWidth="1"/>
    <col min="8" max="8" width="4.5703125" customWidth="1"/>
    <col min="9" max="9" width="4.42578125" customWidth="1"/>
    <col min="10" max="10" width="7.5703125" customWidth="1"/>
    <col min="11" max="12" width="4.7109375" customWidth="1"/>
    <col min="13" max="13" width="12.5703125" style="21"/>
    <col min="14" max="18" width="0" hidden="1" customWidth="1"/>
  </cols>
  <sheetData>
    <row r="1" spans="1:47" ht="15" customHeight="1" x14ac:dyDescent="0.2"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</row>
    <row r="2" spans="1:47" ht="15" customHeight="1" x14ac:dyDescent="0.2">
      <c r="C2" s="19" t="s">
        <v>753</v>
      </c>
      <c r="D2" s="1">
        <f>(0.54+0.62)/2</f>
        <v>0.58000000000000007</v>
      </c>
      <c r="E2" s="4">
        <f>(25+33)/2</f>
        <v>29</v>
      </c>
      <c r="F2" s="4">
        <f>(5.5+6.9)/2</f>
        <v>6.2</v>
      </c>
      <c r="G2" s="4"/>
      <c r="H2" s="4">
        <f>(17+24)/2</f>
        <v>20.5</v>
      </c>
      <c r="I2" s="4">
        <f>(2.5+2.6)/2</f>
        <v>2.5499999999999998</v>
      </c>
      <c r="J2" s="4">
        <f>(71+80)/2</f>
        <v>75.5</v>
      </c>
    </row>
    <row r="3" spans="1:47" ht="15" customHeight="1" x14ac:dyDescent="0.2">
      <c r="N3" s="17" t="s">
        <v>4</v>
      </c>
      <c r="O3" s="17" t="s">
        <v>5</v>
      </c>
      <c r="P3" s="17" t="s">
        <v>6</v>
      </c>
      <c r="Q3" s="17" t="s">
        <v>8</v>
      </c>
      <c r="R3" s="17" t="s">
        <v>10</v>
      </c>
    </row>
    <row r="4" spans="1:47" s="18" customFormat="1" ht="12.75" customHeight="1" x14ac:dyDescent="0.2">
      <c r="A4" s="18" t="s">
        <v>747</v>
      </c>
      <c r="B4" s="15" t="s">
        <v>0</v>
      </c>
      <c r="C4" s="15" t="s">
        <v>1</v>
      </c>
      <c r="D4" s="16" t="s">
        <v>2</v>
      </c>
      <c r="E4" s="15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22" t="s">
        <v>746</v>
      </c>
      <c r="N4" s="18" t="s">
        <v>748</v>
      </c>
      <c r="O4" s="18" t="s">
        <v>749</v>
      </c>
      <c r="P4" s="18" t="s">
        <v>750</v>
      </c>
      <c r="Q4" s="18" t="s">
        <v>751</v>
      </c>
      <c r="R4" s="18" t="s">
        <v>752</v>
      </c>
    </row>
    <row r="5" spans="1:47" ht="12.75" customHeight="1" x14ac:dyDescent="0.2">
      <c r="A5">
        <v>530</v>
      </c>
      <c r="B5" s="9" t="s">
        <v>70</v>
      </c>
      <c r="C5" s="9"/>
      <c r="D5" s="11">
        <v>5</v>
      </c>
      <c r="E5" s="6" t="s">
        <v>463</v>
      </c>
      <c r="F5" s="1">
        <f>(0.54+0.62)/2</f>
        <v>0.58000000000000007</v>
      </c>
      <c r="G5" s="4">
        <f>(25+33)/2</f>
        <v>29</v>
      </c>
      <c r="H5" s="4">
        <f>(5.5+6.9)/2</f>
        <v>6.2</v>
      </c>
      <c r="I5" s="4"/>
      <c r="J5" s="4">
        <f>(17+24)/2</f>
        <v>20.5</v>
      </c>
      <c r="K5" s="4">
        <f>(2.5+2.6)/2</f>
        <v>2.5499999999999998</v>
      </c>
      <c r="L5" s="4">
        <f>(71+80)/2</f>
        <v>75.5</v>
      </c>
      <c r="M5" s="21">
        <f>1-AVERAGE(N5:R5)</f>
        <v>1</v>
      </c>
      <c r="N5" s="20">
        <f>ABS($D$2-F5)/F5</f>
        <v>0</v>
      </c>
      <c r="O5" s="20">
        <f>ABS($E$2-G5)/G5</f>
        <v>0</v>
      </c>
      <c r="P5" s="20">
        <f>ABS($F$2-H5)/H5</f>
        <v>0</v>
      </c>
      <c r="Q5" s="20">
        <f>ABS($H$2-J5)/J5</f>
        <v>0</v>
      </c>
      <c r="R5" s="20">
        <f>ABS($J$2-L5)/L5</f>
        <v>0</v>
      </c>
    </row>
    <row r="6" spans="1:47" ht="12.75" customHeight="1" x14ac:dyDescent="0.2">
      <c r="A6">
        <v>561</v>
      </c>
      <c r="B6" s="1" t="s">
        <v>477</v>
      </c>
      <c r="C6" s="1"/>
      <c r="D6" s="2"/>
      <c r="E6" s="9" t="s">
        <v>463</v>
      </c>
      <c r="F6" s="1">
        <f>(0.45+0.7)/2</f>
        <v>0.57499999999999996</v>
      </c>
      <c r="G6" s="4">
        <f>(25+35)/2</f>
        <v>30</v>
      </c>
      <c r="H6" s="4">
        <f>(5+7)/2</f>
        <v>6</v>
      </c>
      <c r="I6" s="4"/>
      <c r="J6" s="4">
        <f>(17+22)/2</f>
        <v>19.5</v>
      </c>
      <c r="K6" s="4"/>
      <c r="L6" s="4">
        <f>(76+83)/2</f>
        <v>79.5</v>
      </c>
      <c r="M6" s="21">
        <f>1-AVERAGE(N6:R6)</f>
        <v>0.96460823289371278</v>
      </c>
      <c r="N6" s="20">
        <f>ABS($D$2-F6)/F6</f>
        <v>8.6956521739132448E-3</v>
      </c>
      <c r="O6" s="20">
        <f>ABS($E$2-G6)/G6</f>
        <v>3.3333333333333333E-2</v>
      </c>
      <c r="P6" s="20">
        <f>ABS($F$2-H6)/H6</f>
        <v>3.3333333333333361E-2</v>
      </c>
      <c r="Q6" s="20">
        <f>ABS($H$2-J6)/J6</f>
        <v>5.128205128205128E-2</v>
      </c>
      <c r="R6" s="20">
        <f>ABS($J$2-L6)/L6</f>
        <v>5.0314465408805034E-2</v>
      </c>
    </row>
    <row r="7" spans="1:47" ht="12.75" customHeight="1" x14ac:dyDescent="0.2">
      <c r="A7">
        <v>569</v>
      </c>
      <c r="B7" s="1" t="s">
        <v>477</v>
      </c>
      <c r="C7" s="1"/>
      <c r="D7" s="2">
        <v>20</v>
      </c>
      <c r="E7" s="1" t="s">
        <v>463</v>
      </c>
      <c r="F7" s="1">
        <v>0.6</v>
      </c>
      <c r="G7" s="4">
        <v>28.7</v>
      </c>
      <c r="H7" s="4">
        <v>6.7</v>
      </c>
      <c r="I7" s="4"/>
      <c r="J7" s="4">
        <v>20.9</v>
      </c>
      <c r="K7" s="4"/>
      <c r="L7" s="4">
        <v>81</v>
      </c>
      <c r="M7" s="21">
        <f>1-AVERAGE(N7:R7)</f>
        <v>0.95890936975475771</v>
      </c>
      <c r="N7" s="20">
        <f>ABS($D$2-F7)/F7</f>
        <v>3.333333333333318E-2</v>
      </c>
      <c r="O7" s="20">
        <f>ABS($E$2-G7)/G7</f>
        <v>1.0452961672473893E-2</v>
      </c>
      <c r="P7" s="20">
        <f>ABS($F$2-H7)/H7</f>
        <v>7.4626865671641784E-2</v>
      </c>
      <c r="Q7" s="20">
        <f>ABS($H$2-J7)/J7</f>
        <v>1.9138755980861177E-2</v>
      </c>
      <c r="R7" s="20">
        <f>ABS($J$2-L7)/L7</f>
        <v>6.7901234567901231E-2</v>
      </c>
    </row>
    <row r="8" spans="1:47" ht="12.75" customHeight="1" x14ac:dyDescent="0.2">
      <c r="A8">
        <v>566</v>
      </c>
      <c r="B8" s="1" t="s">
        <v>477</v>
      </c>
      <c r="C8" s="1"/>
      <c r="D8" s="2">
        <v>10</v>
      </c>
      <c r="E8" s="9" t="s">
        <v>463</v>
      </c>
      <c r="F8" s="1">
        <v>0.62</v>
      </c>
      <c r="G8" s="4">
        <v>28</v>
      </c>
      <c r="H8" s="4">
        <v>5.9</v>
      </c>
      <c r="I8" s="4"/>
      <c r="J8" s="4">
        <v>21</v>
      </c>
      <c r="K8" s="4">
        <v>2.9</v>
      </c>
      <c r="L8" s="4">
        <v>79</v>
      </c>
      <c r="M8" s="21">
        <f>1-AVERAGE(N8:R8)</f>
        <v>0.95616176126969188</v>
      </c>
      <c r="N8" s="20">
        <f>ABS($D$2-F8)/F8</f>
        <v>6.4516129032257938E-2</v>
      </c>
      <c r="O8" s="20">
        <f>ABS($E$2-G8)/G8</f>
        <v>3.5714285714285712E-2</v>
      </c>
      <c r="P8" s="20">
        <f>ABS($F$2-H8)/H8</f>
        <v>5.0847457627118613E-2</v>
      </c>
      <c r="Q8" s="20">
        <f>ABS($H$2-J8)/J8</f>
        <v>2.3809523809523808E-2</v>
      </c>
      <c r="R8" s="20">
        <f>ABS($J$2-L8)/L8</f>
        <v>4.4303797468354431E-2</v>
      </c>
    </row>
    <row r="9" spans="1:47" ht="12.75" customHeight="1" x14ac:dyDescent="0.2">
      <c r="A9">
        <v>562</v>
      </c>
      <c r="B9" s="1" t="s">
        <v>477</v>
      </c>
      <c r="C9" s="1"/>
      <c r="D9" s="2"/>
      <c r="E9" s="1" t="s">
        <v>464</v>
      </c>
      <c r="F9" s="1">
        <f>(0.45+0.7)/2</f>
        <v>0.57499999999999996</v>
      </c>
      <c r="G9" s="4">
        <f>(26+40)/2</f>
        <v>33</v>
      </c>
      <c r="H9" s="4">
        <f>(6+7)/2</f>
        <v>6.5</v>
      </c>
      <c r="I9" s="4"/>
      <c r="J9" s="4">
        <f>(17+24)/2</f>
        <v>20.5</v>
      </c>
      <c r="K9" s="4"/>
      <c r="L9" s="4"/>
      <c r="M9" s="21">
        <f>1-AVERAGE(N9:R9)</f>
        <v>0.95598459511502987</v>
      </c>
      <c r="N9" s="20">
        <f>ABS($D$2-F9)/F9</f>
        <v>8.6956521739132448E-3</v>
      </c>
      <c r="O9" s="20">
        <f>ABS($E$2-G9)/G9</f>
        <v>0.12121212121212122</v>
      </c>
      <c r="P9" s="20">
        <f>ABS($F$2-H9)/H9</f>
        <v>4.6153846153846129E-2</v>
      </c>
      <c r="Q9" s="20">
        <f>ABS($H$2-J9)/J9</f>
        <v>0</v>
      </c>
      <c r="R9" s="20"/>
    </row>
    <row r="10" spans="1:47" ht="12.75" customHeight="1" x14ac:dyDescent="0.2">
      <c r="A10">
        <v>567</v>
      </c>
      <c r="B10" s="1" t="s">
        <v>477</v>
      </c>
      <c r="C10" s="1"/>
      <c r="D10" s="2">
        <v>10</v>
      </c>
      <c r="E10" s="1" t="s">
        <v>464</v>
      </c>
      <c r="F10" s="1">
        <v>0.52</v>
      </c>
      <c r="G10" s="4">
        <v>28</v>
      </c>
      <c r="H10" s="4">
        <v>6.2</v>
      </c>
      <c r="I10" s="4"/>
      <c r="J10" s="4">
        <v>20</v>
      </c>
      <c r="K10" s="4">
        <v>2.6</v>
      </c>
      <c r="L10" s="4"/>
      <c r="M10" s="21">
        <f>1-AVERAGE(N10:R10)</f>
        <v>0.95597527472527466</v>
      </c>
      <c r="N10" s="20">
        <f>ABS($D$2-F10)/F10</f>
        <v>0.11538461538461549</v>
      </c>
      <c r="O10" s="20">
        <f>ABS($E$2-G10)/G10</f>
        <v>3.5714285714285712E-2</v>
      </c>
      <c r="P10" s="20">
        <f>ABS($F$2-H10)/H10</f>
        <v>0</v>
      </c>
      <c r="Q10" s="20">
        <f>ABS($H$2-J10)/J10</f>
        <v>2.5000000000000001E-2</v>
      </c>
      <c r="R10" s="20"/>
    </row>
    <row r="11" spans="1:47" ht="12.75" customHeight="1" x14ac:dyDescent="0.2">
      <c r="A11">
        <v>598</v>
      </c>
      <c r="B11" s="1" t="s">
        <v>487</v>
      </c>
      <c r="C11" s="1"/>
      <c r="D11" s="2">
        <v>22</v>
      </c>
      <c r="E11" s="1" t="s">
        <v>463</v>
      </c>
      <c r="F11" s="1">
        <v>0.53</v>
      </c>
      <c r="G11" s="4">
        <v>29</v>
      </c>
      <c r="H11" s="4">
        <v>6.5</v>
      </c>
      <c r="I11" s="4">
        <v>4.5</v>
      </c>
      <c r="J11" s="4">
        <v>21</v>
      </c>
      <c r="K11" s="4"/>
      <c r="L11" s="4">
        <v>80</v>
      </c>
      <c r="M11" s="21">
        <f>1-AVERAGE(N11:R11)</f>
        <v>0.95588940147902413</v>
      </c>
      <c r="N11" s="20">
        <f>ABS($D$2-F11)/F11</f>
        <v>9.433962264150951E-2</v>
      </c>
      <c r="O11" s="20">
        <f>ABS($E$2-G11)/G11</f>
        <v>0</v>
      </c>
      <c r="P11" s="20">
        <f>ABS($F$2-H11)/H11</f>
        <v>4.6153846153846129E-2</v>
      </c>
      <c r="Q11" s="20">
        <f>ABS($H$2-J11)/J11</f>
        <v>2.3809523809523808E-2</v>
      </c>
      <c r="R11" s="20">
        <f>ABS($J$2-L11)/L11</f>
        <v>5.6250000000000001E-2</v>
      </c>
    </row>
    <row r="12" spans="1:47" ht="12.75" customHeight="1" x14ac:dyDescent="0.2">
      <c r="A12">
        <v>534</v>
      </c>
      <c r="B12" s="9" t="s">
        <v>70</v>
      </c>
      <c r="C12" s="9"/>
      <c r="D12" s="11">
        <v>4</v>
      </c>
      <c r="E12" s="6" t="s">
        <v>464</v>
      </c>
      <c r="F12" s="1">
        <v>0.57999999999999996</v>
      </c>
      <c r="G12" s="4">
        <v>30</v>
      </c>
      <c r="H12" s="4">
        <v>5.8</v>
      </c>
      <c r="I12" s="4">
        <v>3.9</v>
      </c>
      <c r="J12" s="4">
        <v>19</v>
      </c>
      <c r="K12" s="4">
        <v>2.5</v>
      </c>
      <c r="L12" s="4"/>
      <c r="M12" s="21">
        <f>1-AVERAGE(N12:R12)</f>
        <v>0.95468844525105867</v>
      </c>
      <c r="N12" s="20">
        <f>ABS($D$2-F12)/F12</f>
        <v>1.9141776286640631E-16</v>
      </c>
      <c r="O12" s="20">
        <f>ABS($E$2-G12)/G12</f>
        <v>3.3333333333333333E-2</v>
      </c>
      <c r="P12" s="20">
        <f>ABS($F$2-H12)/H12</f>
        <v>6.8965517241379379E-2</v>
      </c>
      <c r="Q12" s="20">
        <f>ABS($H$2-J12)/J12</f>
        <v>7.8947368421052627E-2</v>
      </c>
      <c r="R12" s="20"/>
    </row>
    <row r="13" spans="1:47" ht="12.75" customHeight="1" x14ac:dyDescent="0.2">
      <c r="A13">
        <v>570</v>
      </c>
      <c r="B13" s="1" t="s">
        <v>477</v>
      </c>
      <c r="C13" s="1"/>
      <c r="D13" s="2">
        <v>20</v>
      </c>
      <c r="E13" s="1" t="s">
        <v>464</v>
      </c>
      <c r="F13" s="1">
        <v>0.59</v>
      </c>
      <c r="G13" s="4">
        <v>30.8</v>
      </c>
      <c r="H13" s="4">
        <v>6.7</v>
      </c>
      <c r="I13" s="4"/>
      <c r="J13" s="4">
        <v>21.8</v>
      </c>
      <c r="K13" s="4"/>
      <c r="L13" s="4"/>
      <c r="M13" s="21">
        <f>1-AVERAGE(N13:R13)</f>
        <v>0.94758734895537278</v>
      </c>
      <c r="N13" s="20">
        <f>ABS($D$2-F13)/F13</f>
        <v>1.6949152542372708E-2</v>
      </c>
      <c r="O13" s="20">
        <f>ABS($E$2-G13)/G13</f>
        <v>5.8441558441558461E-2</v>
      </c>
      <c r="P13" s="20">
        <f>ABS($F$2-H13)/H13</f>
        <v>7.4626865671641784E-2</v>
      </c>
      <c r="Q13" s="20">
        <f>ABS($H$2-J13)/J13</f>
        <v>5.9633027522935811E-2</v>
      </c>
      <c r="R13" s="20"/>
    </row>
    <row r="14" spans="1:47" ht="12.75" customHeight="1" x14ac:dyDescent="0.2">
      <c r="A14">
        <v>526</v>
      </c>
      <c r="B14" s="9" t="s">
        <v>70</v>
      </c>
      <c r="C14" s="6"/>
      <c r="D14" s="11">
        <v>10</v>
      </c>
      <c r="E14" s="9" t="s">
        <v>463</v>
      </c>
      <c r="F14" s="1">
        <f>(0.48+0.62)/2</f>
        <v>0.55000000000000004</v>
      </c>
      <c r="G14" s="4">
        <f>(27+38)/2</f>
        <v>32.5</v>
      </c>
      <c r="H14" s="4">
        <f>(5+7.1)/2</f>
        <v>6.05</v>
      </c>
      <c r="I14" s="4"/>
      <c r="J14" s="4">
        <f>(17+22)/2</f>
        <v>19.5</v>
      </c>
      <c r="K14" s="4"/>
      <c r="L14" s="4">
        <f>(77+80)/2</f>
        <v>78.5</v>
      </c>
      <c r="M14" s="21">
        <f>1-AVERAGE(N14:R14)</f>
        <v>0.94469404750817598</v>
      </c>
      <c r="N14" s="20">
        <f>ABS($D$2-F14)/F14</f>
        <v>5.4545454545454591E-2</v>
      </c>
      <c r="O14" s="20">
        <f>ABS($E$2-G14)/G14</f>
        <v>0.1076923076923077</v>
      </c>
      <c r="P14" s="20">
        <f>ABS($F$2-H14)/H14</f>
        <v>2.4793388429752126E-2</v>
      </c>
      <c r="Q14" s="20">
        <f>ABS($H$2-J14)/J14</f>
        <v>5.128205128205128E-2</v>
      </c>
      <c r="R14" s="20">
        <f>ABS($J$2-L14)/L14</f>
        <v>3.8216560509554139E-2</v>
      </c>
    </row>
    <row r="15" spans="1:47" s="23" customFormat="1" ht="12.75" customHeight="1" x14ac:dyDescent="0.2">
      <c r="A15">
        <v>560</v>
      </c>
      <c r="B15" s="1" t="s">
        <v>477</v>
      </c>
      <c r="C15" s="1"/>
      <c r="D15" s="2"/>
      <c r="E15" s="1" t="s">
        <v>478</v>
      </c>
      <c r="F15" s="1">
        <v>0.59</v>
      </c>
      <c r="G15" s="4">
        <v>34</v>
      </c>
      <c r="H15" s="4">
        <v>6.3</v>
      </c>
      <c r="I15" s="4"/>
      <c r="J15" s="4">
        <v>21</v>
      </c>
      <c r="K15" s="4"/>
      <c r="L15" s="4">
        <v>82</v>
      </c>
      <c r="M15" s="21">
        <f>1-AVERAGE(N15:R15)</f>
        <v>0.94340823831254983</v>
      </c>
      <c r="N15" s="20">
        <f>ABS($D$2-F15)/F15</f>
        <v>1.6949152542372708E-2</v>
      </c>
      <c r="O15" s="20">
        <f>ABS($E$2-G15)/G15</f>
        <v>0.14705882352941177</v>
      </c>
      <c r="P15" s="20">
        <f>ABS($F$2-H15)/H15</f>
        <v>1.5873015873015817E-2</v>
      </c>
      <c r="Q15" s="20">
        <f>ABS($H$2-J15)/J15</f>
        <v>2.3809523809523808E-2</v>
      </c>
      <c r="R15" s="20">
        <f>ABS($J$2-L15)/L15</f>
        <v>7.926829268292683E-2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.75" customHeight="1" x14ac:dyDescent="0.2">
      <c r="A16">
        <v>555</v>
      </c>
      <c r="B16" s="9" t="s">
        <v>473</v>
      </c>
      <c r="C16" s="9"/>
      <c r="D16" s="11"/>
      <c r="E16" s="9" t="s">
        <v>475</v>
      </c>
      <c r="F16" s="1">
        <f>(0.46+0.56)/2</f>
        <v>0.51</v>
      </c>
      <c r="G16" s="4">
        <f>(27+29)/2</f>
        <v>28</v>
      </c>
      <c r="H16" s="4">
        <v>6</v>
      </c>
      <c r="I16" s="4"/>
      <c r="J16" s="4">
        <v>21</v>
      </c>
      <c r="K16" s="4"/>
      <c r="L16" s="4"/>
      <c r="M16" s="21">
        <f>1-AVERAGE(N16:R16)</f>
        <v>0.94247198879551819</v>
      </c>
      <c r="N16" s="20">
        <f>ABS($D$2-F16)/F16</f>
        <v>0.13725490196078444</v>
      </c>
      <c r="O16" s="20">
        <f>ABS($E$2-G16)/G16</f>
        <v>3.5714285714285712E-2</v>
      </c>
      <c r="P16" s="20">
        <f>ABS($F$2-H16)/H16</f>
        <v>3.3333333333333361E-2</v>
      </c>
      <c r="Q16" s="20">
        <f>ABS($H$2-J16)/J16</f>
        <v>2.3809523809523808E-2</v>
      </c>
      <c r="R16" s="20"/>
    </row>
    <row r="17" spans="1:18" ht="12.75" customHeight="1" x14ac:dyDescent="0.2">
      <c r="A17">
        <v>621</v>
      </c>
      <c r="B17" s="1" t="s">
        <v>493</v>
      </c>
      <c r="C17" s="1"/>
      <c r="D17" s="2"/>
      <c r="E17" s="1" t="s">
        <v>466</v>
      </c>
      <c r="F17" s="1">
        <v>0.59</v>
      </c>
      <c r="G17" s="4">
        <v>27</v>
      </c>
      <c r="H17" s="4">
        <v>5.8</v>
      </c>
      <c r="I17" s="4"/>
      <c r="J17" s="4">
        <v>18</v>
      </c>
      <c r="K17" s="4"/>
      <c r="L17" s="4">
        <v>74</v>
      </c>
      <c r="M17" s="21">
        <f>1-AVERAGE(N17:R17)</f>
        <v>0.93617041939660295</v>
      </c>
      <c r="N17" s="20">
        <f>ABS($D$2-F17)/F17</f>
        <v>1.6949152542372708E-2</v>
      </c>
      <c r="O17" s="20">
        <f>ABS($E$2-G17)/G17</f>
        <v>7.407407407407407E-2</v>
      </c>
      <c r="P17" s="20">
        <f>ABS($F$2-H17)/H17</f>
        <v>6.8965517241379379E-2</v>
      </c>
      <c r="Q17" s="20">
        <f>ABS($H$2-J17)/J17</f>
        <v>0.1388888888888889</v>
      </c>
      <c r="R17" s="20">
        <f>ABS($J$2-L17)/L17</f>
        <v>2.0270270270270271E-2</v>
      </c>
    </row>
    <row r="18" spans="1:18" ht="12.75" customHeight="1" x14ac:dyDescent="0.2">
      <c r="A18">
        <v>145</v>
      </c>
      <c r="B18" s="1" t="s">
        <v>126</v>
      </c>
      <c r="C18" s="1"/>
      <c r="D18" s="2"/>
      <c r="E18" s="6" t="s">
        <v>40</v>
      </c>
      <c r="F18" s="3">
        <v>0.68</v>
      </c>
      <c r="G18" s="3">
        <v>28.7</v>
      </c>
      <c r="H18" s="3">
        <v>5.9</v>
      </c>
      <c r="I18" s="3"/>
      <c r="J18" s="3">
        <v>23</v>
      </c>
      <c r="K18" s="3"/>
      <c r="L18" s="3">
        <v>76</v>
      </c>
      <c r="M18" s="21">
        <f>1-AVERAGE(N18:R18)</f>
        <v>0.93527323152573238</v>
      </c>
      <c r="N18" s="20">
        <f>ABS($D$2-F18)/F18</f>
        <v>0.14705882352941171</v>
      </c>
      <c r="O18" s="20">
        <f>ABS($E$2-G18)/G18</f>
        <v>1.0452961672473893E-2</v>
      </c>
      <c r="P18" s="20">
        <f>ABS($F$2-H18)/H18</f>
        <v>5.0847457627118613E-2</v>
      </c>
      <c r="Q18" s="20">
        <f>ABS($H$2-J18)/J18</f>
        <v>0.10869565217391304</v>
      </c>
      <c r="R18" s="20">
        <f>ABS($J$2-L18)/L18</f>
        <v>6.5789473684210523E-3</v>
      </c>
    </row>
    <row r="19" spans="1:18" ht="12.75" customHeight="1" x14ac:dyDescent="0.2">
      <c r="A19">
        <v>532</v>
      </c>
      <c r="B19" s="9" t="s">
        <v>70</v>
      </c>
      <c r="C19" s="9"/>
      <c r="D19" s="11">
        <v>5</v>
      </c>
      <c r="E19" s="6" t="s">
        <v>463</v>
      </c>
      <c r="F19" s="1">
        <f>(0.48+0.63)/2</f>
        <v>0.55499999999999994</v>
      </c>
      <c r="G19" s="4">
        <f>(28+36)/2</f>
        <v>32</v>
      </c>
      <c r="H19" s="4">
        <f>(5.3+6.6)/2</f>
        <v>5.9499999999999993</v>
      </c>
      <c r="I19" s="4"/>
      <c r="J19" s="4">
        <f>(17+21)/2</f>
        <v>19</v>
      </c>
      <c r="K19" s="4"/>
      <c r="L19" s="4"/>
      <c r="M19" s="21">
        <f>1-AVERAGE(N19:R19)</f>
        <v>0.93506019495280324</v>
      </c>
      <c r="N19" s="20">
        <f>ABS($D$2-F19)/F19</f>
        <v>4.5045045045045293E-2</v>
      </c>
      <c r="O19" s="20">
        <f>ABS($E$2-G19)/G19</f>
        <v>9.375E-2</v>
      </c>
      <c r="P19" s="20">
        <f>ABS($F$2-H19)/H19</f>
        <v>4.2016806722689232E-2</v>
      </c>
      <c r="Q19" s="20">
        <f>ABS($H$2-J19)/J19</f>
        <v>7.8947368421052627E-2</v>
      </c>
      <c r="R19" s="20"/>
    </row>
    <row r="20" spans="1:18" ht="12.75" customHeight="1" x14ac:dyDescent="0.2">
      <c r="A20">
        <v>606</v>
      </c>
      <c r="B20" s="1" t="s">
        <v>490</v>
      </c>
      <c r="C20" s="1"/>
      <c r="D20" s="2">
        <v>10</v>
      </c>
      <c r="E20" s="1" t="s">
        <v>463</v>
      </c>
      <c r="F20" s="1">
        <f>(0.42+0.56)/2</f>
        <v>0.49</v>
      </c>
      <c r="G20" s="1">
        <f>(23+33)/2</f>
        <v>28</v>
      </c>
      <c r="H20" s="1">
        <f>(5.2+6.7)/2</f>
        <v>5.95</v>
      </c>
      <c r="I20" s="1"/>
      <c r="J20" s="1">
        <f>(18+24)/2</f>
        <v>21</v>
      </c>
      <c r="K20" s="1"/>
      <c r="L20" s="1">
        <f>(77+81)/2</f>
        <v>79</v>
      </c>
      <c r="M20" s="21">
        <f>1-AVERAGE(N20:R20)</f>
        <v>0.93409642337947829</v>
      </c>
      <c r="N20" s="20">
        <f>ABS($D$2-F20)/F20</f>
        <v>0.18367346938775528</v>
      </c>
      <c r="O20" s="20">
        <f>ABS($E$2-G20)/G20</f>
        <v>3.5714285714285712E-2</v>
      </c>
      <c r="P20" s="20">
        <f>ABS($F$2-H20)/H20</f>
        <v>4.2016806722689072E-2</v>
      </c>
      <c r="Q20" s="20">
        <f>ABS($H$2-J20)/J20</f>
        <v>2.3809523809523808E-2</v>
      </c>
      <c r="R20" s="20">
        <f>ABS($J$2-L20)/L20</f>
        <v>4.4303797468354431E-2</v>
      </c>
    </row>
    <row r="21" spans="1:18" ht="12.75" customHeight="1" x14ac:dyDescent="0.2">
      <c r="A21">
        <v>565</v>
      </c>
      <c r="B21" s="1" t="s">
        <v>477</v>
      </c>
      <c r="C21" s="1"/>
      <c r="D21" s="2">
        <v>30</v>
      </c>
      <c r="E21" s="9" t="s">
        <v>463</v>
      </c>
      <c r="F21" s="1">
        <v>0.62</v>
      </c>
      <c r="G21" s="4">
        <v>28</v>
      </c>
      <c r="H21" s="4">
        <v>7.3</v>
      </c>
      <c r="I21" s="4">
        <v>4.8</v>
      </c>
      <c r="J21" s="4">
        <v>20</v>
      </c>
      <c r="K21" s="4"/>
      <c r="L21" s="4">
        <v>81</v>
      </c>
      <c r="M21" s="21">
        <f>1-AVERAGE(N21:R21)</f>
        <v>0.93123668383574121</v>
      </c>
      <c r="N21" s="20">
        <f>ABS($D$2-F21)/F21</f>
        <v>6.4516129032257938E-2</v>
      </c>
      <c r="O21" s="20">
        <f>ABS($E$2-G21)/G21</f>
        <v>3.5714285714285712E-2</v>
      </c>
      <c r="P21" s="20">
        <f>ABS($F$2-H21)/H21</f>
        <v>0.15068493150684928</v>
      </c>
      <c r="Q21" s="20">
        <f>ABS($H$2-J21)/J21</f>
        <v>2.5000000000000001E-2</v>
      </c>
      <c r="R21" s="20">
        <f>ABS($J$2-L21)/L21</f>
        <v>6.7901234567901231E-2</v>
      </c>
    </row>
    <row r="22" spans="1:18" ht="12.75" customHeight="1" x14ac:dyDescent="0.2">
      <c r="A22">
        <v>576</v>
      </c>
      <c r="B22" s="1" t="s">
        <v>479</v>
      </c>
      <c r="C22" s="1"/>
      <c r="D22" s="2">
        <v>20</v>
      </c>
      <c r="E22" s="1" t="s">
        <v>463</v>
      </c>
      <c r="F22" s="1">
        <v>0.54</v>
      </c>
      <c r="G22" s="4">
        <v>29</v>
      </c>
      <c r="H22" s="4">
        <v>6.8</v>
      </c>
      <c r="I22" s="4"/>
      <c r="J22" s="4">
        <v>18</v>
      </c>
      <c r="K22" s="4">
        <v>2.2000000000000002</v>
      </c>
      <c r="L22" s="4">
        <v>79</v>
      </c>
      <c r="M22" s="21">
        <f>1-AVERAGE(N22:R22)</f>
        <v>0.93089958909020709</v>
      </c>
      <c r="N22" s="20">
        <f>ABS($D$2-F22)/F22</f>
        <v>7.4074074074074139E-2</v>
      </c>
      <c r="O22" s="20">
        <f>ABS($E$2-G22)/G22</f>
        <v>0</v>
      </c>
      <c r="P22" s="20">
        <f>ABS($F$2-H22)/H22</f>
        <v>8.8235294117647009E-2</v>
      </c>
      <c r="Q22" s="20">
        <f>ABS($H$2-J22)/J22</f>
        <v>0.1388888888888889</v>
      </c>
      <c r="R22" s="20">
        <f>ABS($J$2-L22)/L22</f>
        <v>4.4303797468354431E-2</v>
      </c>
    </row>
    <row r="23" spans="1:18" ht="12.75" customHeight="1" x14ac:dyDescent="0.2">
      <c r="A23">
        <v>608</v>
      </c>
      <c r="B23" s="1" t="s">
        <v>490</v>
      </c>
      <c r="C23" s="1"/>
      <c r="D23" s="2">
        <v>10</v>
      </c>
      <c r="E23" s="1" t="s">
        <v>463</v>
      </c>
      <c r="F23" s="1">
        <v>0.49</v>
      </c>
      <c r="G23" s="1">
        <v>29</v>
      </c>
      <c r="H23" s="1">
        <v>5.9</v>
      </c>
      <c r="I23" s="1">
        <v>4</v>
      </c>
      <c r="J23" s="1">
        <v>22</v>
      </c>
      <c r="K23" s="1">
        <v>2.5</v>
      </c>
      <c r="L23" s="1">
        <v>79</v>
      </c>
      <c r="M23" s="21">
        <f>1-AVERAGE(N23:R23)</f>
        <v>0.9305986914669907</v>
      </c>
      <c r="N23" s="20">
        <f>ABS($D$2-F23)/F23</f>
        <v>0.18367346938775528</v>
      </c>
      <c r="O23" s="20">
        <f>ABS($E$2-G23)/G23</f>
        <v>0</v>
      </c>
      <c r="P23" s="20">
        <f>ABS($F$2-H23)/H23</f>
        <v>5.0847457627118613E-2</v>
      </c>
      <c r="Q23" s="20">
        <f>ABS($H$2-J23)/J23</f>
        <v>6.8181818181818177E-2</v>
      </c>
      <c r="R23" s="20">
        <f>ABS($J$2-L23)/L23</f>
        <v>4.4303797468354431E-2</v>
      </c>
    </row>
    <row r="24" spans="1:18" ht="12.75" customHeight="1" x14ac:dyDescent="0.2">
      <c r="A24">
        <v>605</v>
      </c>
      <c r="B24" s="1" t="s">
        <v>490</v>
      </c>
      <c r="C24" s="1"/>
      <c r="D24" s="2"/>
      <c r="E24" s="1" t="s">
        <v>466</v>
      </c>
      <c r="F24" s="1">
        <v>0.52</v>
      </c>
      <c r="G24" s="4">
        <v>29</v>
      </c>
      <c r="H24" s="1">
        <f>(5.2+6.7)/2</f>
        <v>5.95</v>
      </c>
      <c r="I24" s="4"/>
      <c r="J24" s="4">
        <v>18</v>
      </c>
      <c r="K24" s="4"/>
      <c r="L24" s="4">
        <v>80</v>
      </c>
      <c r="M24" s="21">
        <f>1-AVERAGE(N24:R24)</f>
        <v>0.92949193780076134</v>
      </c>
      <c r="N24" s="20">
        <f>ABS($D$2-F24)/F24</f>
        <v>0.11538461538461549</v>
      </c>
      <c r="O24" s="20">
        <f>ABS($E$2-G24)/G24</f>
        <v>0</v>
      </c>
      <c r="P24" s="20">
        <f>ABS($F$2-H24)/H24</f>
        <v>4.2016806722689072E-2</v>
      </c>
      <c r="Q24" s="20">
        <f>ABS($H$2-J24)/J24</f>
        <v>0.1388888888888889</v>
      </c>
      <c r="R24" s="20">
        <f>ABS($J$2-L24)/L24</f>
        <v>5.6250000000000001E-2</v>
      </c>
    </row>
    <row r="25" spans="1:18" ht="12.75" customHeight="1" x14ac:dyDescent="0.2">
      <c r="A25">
        <v>568</v>
      </c>
      <c r="B25" s="1" t="s">
        <v>477</v>
      </c>
      <c r="C25" s="1"/>
      <c r="D25" s="2">
        <v>141</v>
      </c>
      <c r="E25" s="1" t="s">
        <v>463</v>
      </c>
      <c r="F25" s="1">
        <v>0.51</v>
      </c>
      <c r="G25" s="4">
        <v>26.5</v>
      </c>
      <c r="H25" s="4">
        <v>6.2</v>
      </c>
      <c r="I25" s="4">
        <v>3.8</v>
      </c>
      <c r="J25" s="4">
        <v>19</v>
      </c>
      <c r="K25" s="4">
        <v>2.2000000000000002</v>
      </c>
      <c r="L25" s="4">
        <v>80</v>
      </c>
      <c r="M25" s="21">
        <f>1-AVERAGE(N25:R25)</f>
        <v>0.92664162139533068</v>
      </c>
      <c r="N25" s="20">
        <f>ABS($D$2-F25)/F25</f>
        <v>0.13725490196078444</v>
      </c>
      <c r="O25" s="20">
        <f>ABS($E$2-G25)/G25</f>
        <v>9.4339622641509441E-2</v>
      </c>
      <c r="P25" s="20">
        <f>ABS($F$2-H25)/H25</f>
        <v>0</v>
      </c>
      <c r="Q25" s="20">
        <f>ABS($H$2-J25)/J25</f>
        <v>7.8947368421052627E-2</v>
      </c>
      <c r="R25" s="20">
        <f>ABS($J$2-L25)/L25</f>
        <v>5.6250000000000001E-2</v>
      </c>
    </row>
    <row r="26" spans="1:18" ht="12.75" customHeight="1" x14ac:dyDescent="0.2">
      <c r="A26">
        <v>528</v>
      </c>
      <c r="B26" s="9" t="s">
        <v>70</v>
      </c>
      <c r="C26" s="6"/>
      <c r="D26" s="11">
        <v>15</v>
      </c>
      <c r="E26" s="6" t="s">
        <v>463</v>
      </c>
      <c r="F26" s="1">
        <f>(0.47+0.56)/2</f>
        <v>0.51500000000000001</v>
      </c>
      <c r="G26" s="4">
        <f>(24+32)/2</f>
        <v>28</v>
      </c>
      <c r="H26" s="4">
        <f>(4.7+6.3)/2</f>
        <v>5.5</v>
      </c>
      <c r="I26" s="4"/>
      <c r="J26" s="4">
        <f>(16+22)/2</f>
        <v>19</v>
      </c>
      <c r="K26" s="4">
        <f>(2.1+2.7)/2</f>
        <v>2.4000000000000004</v>
      </c>
      <c r="L26" s="4">
        <f>(75+79)/2</f>
        <v>77</v>
      </c>
      <c r="M26" s="21">
        <f>1-AVERAGE(N26:R26)</f>
        <v>0.92247430137568098</v>
      </c>
      <c r="N26" s="20">
        <f>ABS($D$2-F26)/F26</f>
        <v>0.12621359223300982</v>
      </c>
      <c r="O26" s="20">
        <f>ABS($E$2-G26)/G26</f>
        <v>3.5714285714285712E-2</v>
      </c>
      <c r="P26" s="20">
        <f>ABS($F$2-H26)/H26</f>
        <v>0.12727272727272732</v>
      </c>
      <c r="Q26" s="20">
        <f>ABS($H$2-J26)/J26</f>
        <v>7.8947368421052627E-2</v>
      </c>
      <c r="R26" s="20">
        <f>ABS($J$2-L26)/L26</f>
        <v>1.948051948051948E-2</v>
      </c>
    </row>
    <row r="27" spans="1:18" ht="12.75" customHeight="1" x14ac:dyDescent="0.2">
      <c r="A27">
        <v>529</v>
      </c>
      <c r="B27" s="9" t="s">
        <v>70</v>
      </c>
      <c r="C27" s="9"/>
      <c r="D27" s="11">
        <v>10</v>
      </c>
      <c r="E27" s="6" t="s">
        <v>463</v>
      </c>
      <c r="F27" s="1">
        <f>(0.59+0.69)/2</f>
        <v>0.6399999999999999</v>
      </c>
      <c r="G27" s="4">
        <f>(26+34)/2</f>
        <v>30</v>
      </c>
      <c r="H27" s="4">
        <f>(6.3+7.8)/2</f>
        <v>7.05</v>
      </c>
      <c r="I27" s="4"/>
      <c r="J27" s="4">
        <f>(15+21)/2</f>
        <v>18</v>
      </c>
      <c r="K27" s="4">
        <f>(2.4+3.1)/2</f>
        <v>2.75</v>
      </c>
      <c r="L27" s="4">
        <f>(75+78)/2</f>
        <v>76.5</v>
      </c>
      <c r="M27" s="21">
        <f>1-AVERAGE(N27:R27)</f>
        <v>0.92007770129328337</v>
      </c>
      <c r="N27" s="20">
        <f>ABS($D$2-F27)/F27</f>
        <v>9.374999999999975E-2</v>
      </c>
      <c r="O27" s="20">
        <f>ABS($E$2-G27)/G27</f>
        <v>3.3333333333333333E-2</v>
      </c>
      <c r="P27" s="20">
        <f>ABS($F$2-H27)/H27</f>
        <v>0.12056737588652477</v>
      </c>
      <c r="Q27" s="20">
        <f>ABS($H$2-J27)/J27</f>
        <v>0.1388888888888889</v>
      </c>
      <c r="R27" s="20">
        <f>ABS($J$2-L27)/L27</f>
        <v>1.3071895424836602E-2</v>
      </c>
    </row>
    <row r="28" spans="1:18" ht="12.75" customHeight="1" x14ac:dyDescent="0.2">
      <c r="A28">
        <v>578</v>
      </c>
      <c r="B28" s="1" t="s">
        <v>479</v>
      </c>
      <c r="C28" s="1"/>
      <c r="D28" s="2">
        <v>4</v>
      </c>
      <c r="E28" s="1" t="s">
        <v>463</v>
      </c>
      <c r="F28" s="1">
        <v>0.53</v>
      </c>
      <c r="G28" s="4">
        <v>27</v>
      </c>
      <c r="H28" s="4">
        <v>6.6</v>
      </c>
      <c r="I28" s="4"/>
      <c r="J28" s="4">
        <v>18</v>
      </c>
      <c r="K28" s="4">
        <v>2.1</v>
      </c>
      <c r="L28" s="4">
        <v>79</v>
      </c>
      <c r="M28" s="21">
        <f>1-AVERAGE(N28:R28)</f>
        <v>0.91755751126422247</v>
      </c>
      <c r="N28" s="20">
        <f>ABS($D$2-F28)/F28</f>
        <v>9.433962264150951E-2</v>
      </c>
      <c r="O28" s="20">
        <f>ABS($E$2-G28)/G28</f>
        <v>7.407407407407407E-2</v>
      </c>
      <c r="P28" s="20">
        <f>ABS($F$2-H28)/H28</f>
        <v>6.0606060606060531E-2</v>
      </c>
      <c r="Q28" s="20">
        <f>ABS($H$2-J28)/J28</f>
        <v>0.1388888888888889</v>
      </c>
      <c r="R28" s="20">
        <f>ABS($J$2-L28)/L28</f>
        <v>4.4303797468354431E-2</v>
      </c>
    </row>
    <row r="29" spans="1:18" ht="12.75" customHeight="1" x14ac:dyDescent="0.2">
      <c r="A29">
        <v>574</v>
      </c>
      <c r="B29" s="1" t="s">
        <v>479</v>
      </c>
      <c r="C29" s="1"/>
      <c r="D29" s="2">
        <v>51</v>
      </c>
      <c r="E29" s="1" t="s">
        <v>463</v>
      </c>
      <c r="F29" s="1">
        <f>(0.4+0.6)/2</f>
        <v>0.5</v>
      </c>
      <c r="G29" s="4">
        <f>(21+30)/2</f>
        <v>25.5</v>
      </c>
      <c r="H29" s="4">
        <f>(5.6+7.6)/2</f>
        <v>6.6</v>
      </c>
      <c r="I29" s="4"/>
      <c r="J29" s="4">
        <f>(17+23)/2</f>
        <v>20</v>
      </c>
      <c r="K29" s="4"/>
      <c r="L29" s="4">
        <f>(76+81)/2</f>
        <v>78.5</v>
      </c>
      <c r="M29" s="21">
        <f>1-AVERAGE(N29:R29)</f>
        <v>0.91578449538472018</v>
      </c>
      <c r="N29" s="20">
        <f>ABS($D$2-F29)/F29</f>
        <v>0.16000000000000014</v>
      </c>
      <c r="O29" s="20">
        <f>ABS($E$2-G29)/G29</f>
        <v>0.13725490196078433</v>
      </c>
      <c r="P29" s="20">
        <f>ABS($F$2-H29)/H29</f>
        <v>6.0606060606060531E-2</v>
      </c>
      <c r="Q29" s="20">
        <f>ABS($H$2-J29)/J29</f>
        <v>2.5000000000000001E-2</v>
      </c>
      <c r="R29" s="20">
        <f>ABS($J$2-L29)/L29</f>
        <v>3.8216560509554139E-2</v>
      </c>
    </row>
    <row r="30" spans="1:18" ht="12.75" customHeight="1" x14ac:dyDescent="0.2">
      <c r="A30">
        <v>552</v>
      </c>
      <c r="B30" s="9" t="s">
        <v>472</v>
      </c>
      <c r="C30" s="9"/>
      <c r="D30" s="11">
        <v>15</v>
      </c>
      <c r="E30" s="9" t="s">
        <v>463</v>
      </c>
      <c r="F30" s="1">
        <v>0.59</v>
      </c>
      <c r="G30" s="4">
        <v>27</v>
      </c>
      <c r="H30" s="4">
        <v>5.2</v>
      </c>
      <c r="I30" s="4">
        <v>4.0999999999999996</v>
      </c>
      <c r="J30" s="4">
        <v>19</v>
      </c>
      <c r="K30" s="4"/>
      <c r="L30" s="4">
        <v>81</v>
      </c>
      <c r="M30" s="21">
        <f>1-AVERAGE(N30:R30)</f>
        <v>0.91396409561738146</v>
      </c>
      <c r="N30" s="20">
        <f>ABS($D$2-F30)/F30</f>
        <v>1.6949152542372708E-2</v>
      </c>
      <c r="O30" s="20">
        <f>ABS($E$2-G30)/G30</f>
        <v>7.407407407407407E-2</v>
      </c>
      <c r="P30" s="20">
        <f>ABS($F$2-H30)/H30</f>
        <v>0.19230769230769229</v>
      </c>
      <c r="Q30" s="20">
        <f>ABS($H$2-J30)/J30</f>
        <v>7.8947368421052627E-2</v>
      </c>
      <c r="R30" s="20">
        <f>ABS($J$2-L30)/L30</f>
        <v>6.7901234567901231E-2</v>
      </c>
    </row>
    <row r="31" spans="1:18" ht="12.75" customHeight="1" x14ac:dyDescent="0.2">
      <c r="A31">
        <v>577</v>
      </c>
      <c r="B31" s="1" t="s">
        <v>479</v>
      </c>
      <c r="C31" s="1"/>
      <c r="D31" s="2">
        <v>10</v>
      </c>
      <c r="E31" s="1" t="s">
        <v>464</v>
      </c>
      <c r="F31" s="1">
        <v>0.5</v>
      </c>
      <c r="G31" s="4">
        <v>34</v>
      </c>
      <c r="H31" s="4">
        <v>6.3</v>
      </c>
      <c r="I31" s="4"/>
      <c r="J31" s="4">
        <v>21</v>
      </c>
      <c r="K31" s="4"/>
      <c r="L31" s="4"/>
      <c r="M31" s="21">
        <f>1-AVERAGE(N31:R31)</f>
        <v>0.91331465919701205</v>
      </c>
      <c r="N31" s="20">
        <f>ABS($D$2-F31)/F31</f>
        <v>0.16000000000000014</v>
      </c>
      <c r="O31" s="20">
        <f>ABS($E$2-G31)/G31</f>
        <v>0.14705882352941177</v>
      </c>
      <c r="P31" s="20">
        <f>ABS($F$2-H31)/H31</f>
        <v>1.5873015873015817E-2</v>
      </c>
      <c r="Q31" s="20">
        <f>ABS($H$2-J31)/J31</f>
        <v>2.3809523809523808E-2</v>
      </c>
      <c r="R31" s="20"/>
    </row>
    <row r="32" spans="1:18" ht="12.75" customHeight="1" x14ac:dyDescent="0.2">
      <c r="A32">
        <v>548</v>
      </c>
      <c r="B32" s="9" t="s">
        <v>471</v>
      </c>
      <c r="C32" s="9"/>
      <c r="D32" s="11"/>
      <c r="E32" s="9" t="s">
        <v>466</v>
      </c>
      <c r="F32" s="1">
        <v>0.49</v>
      </c>
      <c r="G32" s="4">
        <v>29</v>
      </c>
      <c r="H32" s="4">
        <v>5.3</v>
      </c>
      <c r="I32" s="4">
        <v>4.2</v>
      </c>
      <c r="J32" s="4">
        <v>19.3</v>
      </c>
      <c r="K32" s="4"/>
      <c r="L32" s="4">
        <v>73</v>
      </c>
      <c r="M32" s="21">
        <f>1-AVERAGE(N32:R32)</f>
        <v>0.91001849374239063</v>
      </c>
      <c r="N32" s="20">
        <f>ABS($D$2-F32)/F32</f>
        <v>0.18367346938775528</v>
      </c>
      <c r="O32" s="20">
        <f>ABS($E$2-G32)/G32</f>
        <v>0</v>
      </c>
      <c r="P32" s="20">
        <f>ABS($F$2-H32)/H32</f>
        <v>0.16981132075471705</v>
      </c>
      <c r="Q32" s="20">
        <f>ABS($H$2-J32)/J32</f>
        <v>6.2176165803108772E-2</v>
      </c>
      <c r="R32" s="20">
        <f>ABS($J$2-L32)/L32</f>
        <v>3.4246575342465752E-2</v>
      </c>
    </row>
    <row r="33" spans="1:18" ht="12.75" customHeight="1" x14ac:dyDescent="0.2">
      <c r="A33">
        <v>571</v>
      </c>
      <c r="B33" s="1" t="s">
        <v>479</v>
      </c>
      <c r="C33" s="1"/>
      <c r="D33" s="2"/>
      <c r="E33" s="1" t="s">
        <v>466</v>
      </c>
      <c r="F33" s="1">
        <v>0.62</v>
      </c>
      <c r="G33" s="4">
        <v>31</v>
      </c>
      <c r="H33" s="4">
        <v>7</v>
      </c>
      <c r="I33" s="4"/>
      <c r="J33" s="4">
        <v>24</v>
      </c>
      <c r="K33" s="4"/>
      <c r="L33" s="4">
        <v>81</v>
      </c>
      <c r="M33" s="21">
        <f>1-AVERAGE(N33:R33)</f>
        <v>0.90858949194970706</v>
      </c>
      <c r="N33" s="20">
        <f>ABS($D$2-F33)/F33</f>
        <v>6.4516129032257938E-2</v>
      </c>
      <c r="O33" s="20">
        <f>ABS($E$2-G33)/G33</f>
        <v>6.4516129032258063E-2</v>
      </c>
      <c r="P33" s="20">
        <f>ABS($F$2-H33)/H33</f>
        <v>0.11428571428571425</v>
      </c>
      <c r="Q33" s="20">
        <f>ABS($H$2-J33)/J33</f>
        <v>0.14583333333333334</v>
      </c>
      <c r="R33" s="20">
        <f>ABS($J$2-L33)/L33</f>
        <v>6.7901234567901231E-2</v>
      </c>
    </row>
    <row r="34" spans="1:18" ht="12.75" customHeight="1" x14ac:dyDescent="0.2">
      <c r="A34">
        <v>564</v>
      </c>
      <c r="B34" s="1" t="s">
        <v>477</v>
      </c>
      <c r="C34" s="1"/>
      <c r="D34" s="2">
        <v>10</v>
      </c>
      <c r="E34" s="1" t="s">
        <v>464</v>
      </c>
      <c r="F34" s="1">
        <v>0.48</v>
      </c>
      <c r="G34" s="4">
        <v>27.4</v>
      </c>
      <c r="H34" s="4">
        <v>6.5</v>
      </c>
      <c r="I34" s="4"/>
      <c r="J34" s="4">
        <v>19.100000000000001</v>
      </c>
      <c r="K34" s="4"/>
      <c r="L34" s="4"/>
      <c r="M34" s="21">
        <f>1-AVERAGE(N34:R34)</f>
        <v>0.90345505765237677</v>
      </c>
      <c r="N34" s="20">
        <f>ABS($D$2-F34)/F34</f>
        <v>0.20833333333333354</v>
      </c>
      <c r="O34" s="20">
        <f>ABS($E$2-G34)/G34</f>
        <v>5.8394160583941659E-2</v>
      </c>
      <c r="P34" s="20">
        <f>ABS($F$2-H34)/H34</f>
        <v>4.6153846153846129E-2</v>
      </c>
      <c r="Q34" s="20">
        <f>ABS($H$2-J34)/J34</f>
        <v>7.3298429319371652E-2</v>
      </c>
      <c r="R34" s="20"/>
    </row>
    <row r="35" spans="1:18" ht="12.75" customHeight="1" x14ac:dyDescent="0.2">
      <c r="A35">
        <v>142</v>
      </c>
      <c r="B35" s="1" t="s">
        <v>124</v>
      </c>
      <c r="C35" s="1"/>
      <c r="D35" s="2"/>
      <c r="E35" s="6" t="s">
        <v>40</v>
      </c>
      <c r="F35" s="3">
        <f>(0.58+0.82)/2</f>
        <v>0.7</v>
      </c>
      <c r="G35" s="3">
        <f>(22+34)/2</f>
        <v>28</v>
      </c>
      <c r="H35" s="3">
        <f>(4.1+6.6)/2</f>
        <v>5.35</v>
      </c>
      <c r="I35" s="3"/>
      <c r="J35" s="3">
        <f>(13+24)/2</f>
        <v>18.5</v>
      </c>
      <c r="K35" s="3"/>
      <c r="L35" s="3">
        <f>(71+78)/2</f>
        <v>74.5</v>
      </c>
      <c r="M35" s="21">
        <f>1-AVERAGE(N35:R35)</f>
        <v>0.90248954225683831</v>
      </c>
      <c r="N35" s="20">
        <f>ABS($D$2-F35)/F35</f>
        <v>0.17142857142857126</v>
      </c>
      <c r="O35" s="20">
        <f>ABS($E$2-G35)/G35</f>
        <v>3.5714285714285712E-2</v>
      </c>
      <c r="P35" s="20">
        <f>ABS($F$2-H35)/H35</f>
        <v>0.1588785046728973</v>
      </c>
      <c r="Q35" s="20">
        <f>ABS($H$2-J35)/J35</f>
        <v>0.10810810810810811</v>
      </c>
      <c r="R35" s="20">
        <f>ABS($J$2-L35)/L35</f>
        <v>1.3422818791946308E-2</v>
      </c>
    </row>
    <row r="36" spans="1:18" ht="12.75" customHeight="1" x14ac:dyDescent="0.2">
      <c r="A36">
        <v>527</v>
      </c>
      <c r="B36" s="9" t="s">
        <v>70</v>
      </c>
      <c r="C36" s="6"/>
      <c r="D36" s="11">
        <v>10</v>
      </c>
      <c r="E36" s="6" t="s">
        <v>464</v>
      </c>
      <c r="F36" s="1">
        <f>(0.46+0.6)/2</f>
        <v>0.53</v>
      </c>
      <c r="G36" s="4">
        <f>(31+43)/2</f>
        <v>37</v>
      </c>
      <c r="H36" s="4">
        <f>(5.4+8.1)/2</f>
        <v>6.75</v>
      </c>
      <c r="I36" s="4"/>
      <c r="J36" s="4">
        <f>(16+25)/2</f>
        <v>20.5</v>
      </c>
      <c r="K36" s="13"/>
      <c r="L36" s="13"/>
      <c r="M36" s="21">
        <f>1-AVERAGE(N36:R36)</f>
        <v>0.90199066991519816</v>
      </c>
      <c r="N36" s="20">
        <f>ABS($D$2-F36)/F36</f>
        <v>9.433962264150951E-2</v>
      </c>
      <c r="O36" s="20">
        <f>ABS($E$2-G36)/G36</f>
        <v>0.21621621621621623</v>
      </c>
      <c r="P36" s="20">
        <f>ABS($F$2-H36)/H36</f>
        <v>8.148148148148146E-2</v>
      </c>
      <c r="Q36" s="20">
        <f>ABS($H$2-J36)/J36</f>
        <v>0</v>
      </c>
      <c r="R36" s="20"/>
    </row>
    <row r="37" spans="1:18" ht="12.75" customHeight="1" x14ac:dyDescent="0.2">
      <c r="A37">
        <v>56</v>
      </c>
      <c r="B37" s="1" t="s">
        <v>72</v>
      </c>
      <c r="C37" s="1"/>
      <c r="D37" s="2"/>
      <c r="E37" s="6" t="s">
        <v>40</v>
      </c>
      <c r="F37" s="3">
        <f>(0.45+0.66)/2</f>
        <v>0.55500000000000005</v>
      </c>
      <c r="G37" s="3">
        <f>(23+31)/2</f>
        <v>27</v>
      </c>
      <c r="H37" s="3">
        <f>(5.1+7.5)/2</f>
        <v>6.3</v>
      </c>
      <c r="I37" s="3"/>
      <c r="J37" s="3">
        <f>(14+19)/2</f>
        <v>16.5</v>
      </c>
      <c r="K37" s="3"/>
      <c r="L37" s="3">
        <f>(84+87)/2</f>
        <v>85.5</v>
      </c>
      <c r="M37" s="21">
        <f>1-AVERAGE(N37:R37)</f>
        <v>0.90112491165122743</v>
      </c>
      <c r="N37" s="20">
        <f>ABS($D$2-F37)/F37</f>
        <v>4.5045045045045085E-2</v>
      </c>
      <c r="O37" s="20">
        <f>ABS($E$2-G37)/G37</f>
        <v>7.407407407407407E-2</v>
      </c>
      <c r="P37" s="20">
        <f>ABS($F$2-H37)/H37</f>
        <v>1.5873015873015817E-2</v>
      </c>
      <c r="Q37" s="20">
        <f>ABS($H$2-J37)/J37</f>
        <v>0.24242424242424243</v>
      </c>
      <c r="R37" s="20">
        <f>ABS($J$2-L37)/L37</f>
        <v>0.11695906432748537</v>
      </c>
    </row>
    <row r="38" spans="1:18" ht="12.75" customHeight="1" x14ac:dyDescent="0.2">
      <c r="A38">
        <v>572</v>
      </c>
      <c r="B38" s="1" t="s">
        <v>479</v>
      </c>
      <c r="C38" s="1"/>
      <c r="D38" s="2">
        <v>10</v>
      </c>
      <c r="E38" s="1" t="s">
        <v>463</v>
      </c>
      <c r="F38" s="1">
        <f>(0.58+0.61)/2</f>
        <v>0.59499999999999997</v>
      </c>
      <c r="G38" s="4">
        <f>(23+27)/2</f>
        <v>25</v>
      </c>
      <c r="H38" s="4">
        <f>(6+9)/2</f>
        <v>7.5</v>
      </c>
      <c r="I38" s="4"/>
      <c r="J38" s="4">
        <f>(17+28)/2</f>
        <v>22.5</v>
      </c>
      <c r="K38" s="4"/>
      <c r="L38" s="4">
        <f>(78+81)/2</f>
        <v>79.5</v>
      </c>
      <c r="M38" s="21">
        <f>1-AVERAGE(N38:R38)</f>
        <v>0.90045064566707189</v>
      </c>
      <c r="N38" s="20">
        <f>ABS($D$2-F38)/F38</f>
        <v>2.5210084033613283E-2</v>
      </c>
      <c r="O38" s="20">
        <f>ABS($E$2-G38)/G38</f>
        <v>0.16</v>
      </c>
      <c r="P38" s="20">
        <f>ABS($F$2-H38)/H38</f>
        <v>0.17333333333333331</v>
      </c>
      <c r="Q38" s="20">
        <f>ABS($H$2-J38)/J38</f>
        <v>8.8888888888888892E-2</v>
      </c>
      <c r="R38" s="20">
        <f>ABS($J$2-L38)/L38</f>
        <v>5.0314465408805034E-2</v>
      </c>
    </row>
    <row r="39" spans="1:18" ht="12.75" customHeight="1" x14ac:dyDescent="0.2">
      <c r="A39">
        <v>531</v>
      </c>
      <c r="B39" s="9" t="s">
        <v>70</v>
      </c>
      <c r="C39" s="9"/>
      <c r="D39" s="11">
        <v>3</v>
      </c>
      <c r="E39" s="6" t="s">
        <v>464</v>
      </c>
      <c r="F39" s="1">
        <f>(0.44+0.57)/2</f>
        <v>0.505</v>
      </c>
      <c r="G39" s="4">
        <f>(28+32)/2</f>
        <v>30</v>
      </c>
      <c r="H39" s="4">
        <f>(5.2+6.3)/2</f>
        <v>5.75</v>
      </c>
      <c r="I39" s="4"/>
      <c r="J39" s="4">
        <f>(17+19)/2</f>
        <v>18</v>
      </c>
      <c r="K39" s="4">
        <f>(2.4+2.6)/2</f>
        <v>2.5</v>
      </c>
      <c r="L39" s="4"/>
      <c r="M39" s="21">
        <f>1-AVERAGE(N39:R39)</f>
        <v>0.90025051418185287</v>
      </c>
      <c r="N39" s="20">
        <f>ABS($D$2-F39)/F39</f>
        <v>0.14851485148514865</v>
      </c>
      <c r="O39" s="20">
        <f>ABS($E$2-G39)/G39</f>
        <v>3.3333333333333333E-2</v>
      </c>
      <c r="P39" s="20">
        <f>ABS($F$2-H39)/H39</f>
        <v>7.8260869565217425E-2</v>
      </c>
      <c r="Q39" s="20">
        <f>ABS($H$2-J39)/J39</f>
        <v>0.1388888888888889</v>
      </c>
      <c r="R39" s="20"/>
    </row>
    <row r="40" spans="1:18" ht="12.75" customHeight="1" x14ac:dyDescent="0.2">
      <c r="A40">
        <v>551</v>
      </c>
      <c r="B40" s="9" t="s">
        <v>472</v>
      </c>
      <c r="C40" s="9"/>
      <c r="D40" s="11"/>
      <c r="E40" s="9" t="s">
        <v>466</v>
      </c>
      <c r="F40" s="1">
        <v>0.61</v>
      </c>
      <c r="G40" s="4">
        <v>25</v>
      </c>
      <c r="H40" s="4">
        <v>5.4</v>
      </c>
      <c r="I40" s="4">
        <v>4</v>
      </c>
      <c r="J40" s="4">
        <v>22</v>
      </c>
      <c r="K40" s="4"/>
      <c r="L40" s="4">
        <v>82</v>
      </c>
      <c r="M40" s="21">
        <f>1-AVERAGE(N40:R40)</f>
        <v>0.89904428262365088</v>
      </c>
      <c r="N40" s="20">
        <f>ABS($D$2-F40)/F40</f>
        <v>4.9180327868852319E-2</v>
      </c>
      <c r="O40" s="20">
        <f>ABS($E$2-G40)/G40</f>
        <v>0.16</v>
      </c>
      <c r="P40" s="20">
        <f>ABS($F$2-H40)/H40</f>
        <v>0.14814814814814811</v>
      </c>
      <c r="Q40" s="20">
        <f>ABS($H$2-J40)/J40</f>
        <v>6.8181818181818177E-2</v>
      </c>
      <c r="R40" s="20">
        <f>ABS($J$2-L40)/L40</f>
        <v>7.926829268292683E-2</v>
      </c>
    </row>
    <row r="41" spans="1:18" ht="12.75" customHeight="1" x14ac:dyDescent="0.2">
      <c r="A41">
        <v>52</v>
      </c>
      <c r="B41" s="1" t="s">
        <v>70</v>
      </c>
      <c r="C41" s="1"/>
      <c r="D41" s="2"/>
      <c r="E41" s="6" t="s">
        <v>40</v>
      </c>
      <c r="F41" s="3">
        <f>(0.39+0.61)/2</f>
        <v>0.5</v>
      </c>
      <c r="G41" s="3">
        <f>(22+33)/2</f>
        <v>27.5</v>
      </c>
      <c r="H41" s="3">
        <f>(5+6.4)/2</f>
        <v>5.7</v>
      </c>
      <c r="I41" s="3"/>
      <c r="J41" s="3">
        <f>(13+22)/2</f>
        <v>17.5</v>
      </c>
      <c r="K41" s="3"/>
      <c r="L41" s="3">
        <f>(76+80)/2</f>
        <v>78</v>
      </c>
      <c r="M41" s="21">
        <f>1-AVERAGE(N41:R41)</f>
        <v>0.8988510787458156</v>
      </c>
      <c r="N41" s="20">
        <f>ABS($D$2-F41)/F41</f>
        <v>0.16000000000000014</v>
      </c>
      <c r="O41" s="20">
        <f>ABS($E$2-G41)/G41</f>
        <v>5.4545454545454543E-2</v>
      </c>
      <c r="P41" s="20">
        <f>ABS($F$2-H41)/H41</f>
        <v>8.771929824561403E-2</v>
      </c>
      <c r="Q41" s="20">
        <f>ABS($H$2-J41)/J41</f>
        <v>0.17142857142857143</v>
      </c>
      <c r="R41" s="20">
        <f>ABS($J$2-L41)/L41</f>
        <v>3.2051282051282048E-2</v>
      </c>
    </row>
    <row r="42" spans="1:18" ht="12.75" customHeight="1" x14ac:dyDescent="0.2">
      <c r="A42">
        <v>607</v>
      </c>
      <c r="B42" s="1" t="s">
        <v>490</v>
      </c>
      <c r="C42" s="1"/>
      <c r="D42" s="2">
        <v>10</v>
      </c>
      <c r="E42" s="1" t="s">
        <v>464</v>
      </c>
      <c r="F42" s="1">
        <f>(0.4+0.5)/2</f>
        <v>0.45</v>
      </c>
      <c r="G42" s="1">
        <f>(26+33)/2</f>
        <v>29.5</v>
      </c>
      <c r="H42" s="1">
        <f>(5+6.2)/2</f>
        <v>5.6</v>
      </c>
      <c r="I42" s="1"/>
      <c r="J42" s="1">
        <f>(16+25)/2</f>
        <v>20.5</v>
      </c>
      <c r="K42" s="1"/>
      <c r="L42" s="1"/>
      <c r="M42" s="21">
        <f>1-AVERAGE(N42:R42)</f>
        <v>0.89675477535647019</v>
      </c>
      <c r="N42" s="20">
        <f>ABS($D$2-F42)/F42</f>
        <v>0.28888888888888903</v>
      </c>
      <c r="O42" s="20">
        <f>ABS($E$2-G42)/G42</f>
        <v>1.6949152542372881E-2</v>
      </c>
      <c r="P42" s="20">
        <f>ABS($F$2-H42)/H42</f>
        <v>0.10714285714285725</v>
      </c>
      <c r="Q42" s="20">
        <f>ABS($H$2-J42)/J42</f>
        <v>0</v>
      </c>
      <c r="R42" s="20"/>
    </row>
    <row r="43" spans="1:18" ht="12.75" customHeight="1" x14ac:dyDescent="0.2">
      <c r="A43">
        <v>575</v>
      </c>
      <c r="B43" s="1" t="s">
        <v>479</v>
      </c>
      <c r="C43" s="1"/>
      <c r="D43" s="2">
        <v>14</v>
      </c>
      <c r="E43" s="1" t="s">
        <v>464</v>
      </c>
      <c r="F43" s="1">
        <f>(0.38+0.52)/2</f>
        <v>0.45</v>
      </c>
      <c r="G43" s="4">
        <f>(24+34)/2</f>
        <v>29</v>
      </c>
      <c r="H43" s="4">
        <f>(5.1+6.4)/2</f>
        <v>5.75</v>
      </c>
      <c r="I43" s="4"/>
      <c r="J43" s="4">
        <f>(17+22)/2</f>
        <v>19.5</v>
      </c>
      <c r="K43" s="4"/>
      <c r="L43" s="4"/>
      <c r="M43" s="21">
        <f>1-AVERAGE(N43:R43)</f>
        <v>0.89539204756596058</v>
      </c>
      <c r="N43" s="20">
        <f>ABS($D$2-F43)/F43</f>
        <v>0.28888888888888903</v>
      </c>
      <c r="O43" s="20">
        <f>ABS($E$2-G43)/G43</f>
        <v>0</v>
      </c>
      <c r="P43" s="20">
        <f>ABS($F$2-H43)/H43</f>
        <v>7.8260869565217425E-2</v>
      </c>
      <c r="Q43" s="20">
        <f>ABS($H$2-J43)/J43</f>
        <v>5.128205128205128E-2</v>
      </c>
      <c r="R43" s="20"/>
    </row>
    <row r="44" spans="1:18" ht="12.75" customHeight="1" x14ac:dyDescent="0.2">
      <c r="A44">
        <v>616</v>
      </c>
      <c r="B44" s="1" t="s">
        <v>491</v>
      </c>
      <c r="C44" s="1"/>
      <c r="D44" s="2">
        <v>14</v>
      </c>
      <c r="E44" s="1" t="s">
        <v>463</v>
      </c>
      <c r="F44" s="1">
        <v>0.5</v>
      </c>
      <c r="G44" s="4">
        <v>29</v>
      </c>
      <c r="H44" s="4">
        <v>4.8</v>
      </c>
      <c r="I44" s="4"/>
      <c r="J44" s="4">
        <v>20.399999999999999</v>
      </c>
      <c r="K44" s="4">
        <v>2.5</v>
      </c>
      <c r="L44" s="4">
        <v>81</v>
      </c>
      <c r="M44" s="21">
        <f>1-AVERAGE(N44:R44)</f>
        <v>0.8951060275962236</v>
      </c>
      <c r="N44" s="20">
        <f>ABS($D$2-F44)/F44</f>
        <v>0.16000000000000014</v>
      </c>
      <c r="O44" s="20">
        <f>ABS($E$2-G44)/G44</f>
        <v>0</v>
      </c>
      <c r="P44" s="20">
        <f>ABS($F$2-H44)/H44</f>
        <v>0.29166666666666674</v>
      </c>
      <c r="Q44" s="20">
        <f>ABS($H$2-J44)/J44</f>
        <v>4.9019607843137957E-3</v>
      </c>
      <c r="R44" s="20">
        <f>ABS($J$2-L44)/L44</f>
        <v>6.7901234567901231E-2</v>
      </c>
    </row>
    <row r="45" spans="1:18" ht="12.75" customHeight="1" x14ac:dyDescent="0.2">
      <c r="A45">
        <v>613</v>
      </c>
      <c r="B45" s="1" t="s">
        <v>491</v>
      </c>
      <c r="C45" s="1"/>
      <c r="D45" s="2"/>
      <c r="E45" s="1" t="s">
        <v>463</v>
      </c>
      <c r="F45" s="1">
        <v>0.51</v>
      </c>
      <c r="G45" s="1">
        <v>25</v>
      </c>
      <c r="H45" s="1">
        <v>6.1</v>
      </c>
      <c r="I45" s="4"/>
      <c r="J45" s="1">
        <v>17</v>
      </c>
      <c r="K45" s="1">
        <v>2.5</v>
      </c>
      <c r="L45" s="1">
        <v>76</v>
      </c>
      <c r="M45" s="21">
        <f>1-AVERAGE(N45:R45)</f>
        <v>0.89477807102133344</v>
      </c>
      <c r="N45" s="20">
        <f>ABS($D$2-F45)/F45</f>
        <v>0.13725490196078444</v>
      </c>
      <c r="O45" s="20">
        <f>ABS($E$2-G45)/G45</f>
        <v>0.16</v>
      </c>
      <c r="P45" s="20">
        <f>ABS($F$2-H45)/H45</f>
        <v>1.6393442622950907E-2</v>
      </c>
      <c r="Q45" s="20">
        <f>ABS($H$2-J45)/J45</f>
        <v>0.20588235294117646</v>
      </c>
      <c r="R45" s="20">
        <f>ABS($J$2-L45)/L45</f>
        <v>6.5789473684210523E-3</v>
      </c>
    </row>
    <row r="46" spans="1:18" ht="12.75" customHeight="1" x14ac:dyDescent="0.2">
      <c r="A46">
        <v>703</v>
      </c>
      <c r="B46" s="1" t="s">
        <v>563</v>
      </c>
      <c r="C46" s="1"/>
      <c r="D46" s="2"/>
      <c r="E46" s="6" t="s">
        <v>495</v>
      </c>
      <c r="F46" s="1">
        <v>0.5</v>
      </c>
      <c r="G46" s="1">
        <v>24</v>
      </c>
      <c r="H46" s="1">
        <v>6.1</v>
      </c>
      <c r="I46" s="1"/>
      <c r="J46" s="1">
        <v>18</v>
      </c>
      <c r="K46" s="1"/>
      <c r="L46" s="1">
        <v>76</v>
      </c>
      <c r="M46" s="21">
        <f>1-AVERAGE(N46:R46)</f>
        <v>0.89396107755728116</v>
      </c>
      <c r="N46" s="20">
        <f>ABS($D$2-F46)/F46</f>
        <v>0.16000000000000014</v>
      </c>
      <c r="O46" s="20">
        <f>ABS($E$2-G46)/G46</f>
        <v>0.20833333333333334</v>
      </c>
      <c r="P46" s="20">
        <f>ABS($F$2-H46)/H46</f>
        <v>1.6393442622950907E-2</v>
      </c>
      <c r="Q46" s="20">
        <f>ABS($H$2-J46)/J46</f>
        <v>0.1388888888888889</v>
      </c>
      <c r="R46" s="20">
        <f>ABS($J$2-L46)/L46</f>
        <v>6.5789473684210523E-3</v>
      </c>
    </row>
    <row r="47" spans="1:18" ht="12.75" customHeight="1" x14ac:dyDescent="0.2">
      <c r="A47">
        <v>525</v>
      </c>
      <c r="B47" s="9" t="s">
        <v>70</v>
      </c>
      <c r="C47" s="9"/>
      <c r="D47" s="11">
        <v>27</v>
      </c>
      <c r="E47" s="9" t="s">
        <v>463</v>
      </c>
      <c r="F47" s="1">
        <v>0.49</v>
      </c>
      <c r="G47" s="12">
        <f>(22.3+33)/2</f>
        <v>27.65</v>
      </c>
      <c r="H47" s="4">
        <f>(5+6.4)/2</f>
        <v>5.7</v>
      </c>
      <c r="I47" s="4"/>
      <c r="J47" s="4">
        <f>(12.8+22)/2</f>
        <v>17.399999999999999</v>
      </c>
      <c r="K47" s="4"/>
      <c r="L47" s="4">
        <f>(76+80)/2</f>
        <v>78</v>
      </c>
      <c r="M47" s="21">
        <f>1-AVERAGE(N47:R47)</f>
        <v>0.89391408752934565</v>
      </c>
      <c r="N47" s="20">
        <f>ABS($D$2-F47)/F47</f>
        <v>0.18367346938775528</v>
      </c>
      <c r="O47" s="20">
        <f>ABS($E$2-G47)/G47</f>
        <v>4.8824593128390652E-2</v>
      </c>
      <c r="P47" s="20">
        <f>ABS($F$2-H47)/H47</f>
        <v>8.771929824561403E-2</v>
      </c>
      <c r="Q47" s="20">
        <f>ABS($H$2-J47)/J47</f>
        <v>0.17816091954022997</v>
      </c>
      <c r="R47" s="20">
        <f>ABS($J$2-L47)/L47</f>
        <v>3.2051282051282048E-2</v>
      </c>
    </row>
    <row r="48" spans="1:18" ht="12.75" customHeight="1" x14ac:dyDescent="0.2">
      <c r="A48">
        <v>612</v>
      </c>
      <c r="B48" s="1" t="s">
        <v>491</v>
      </c>
      <c r="C48" s="1"/>
      <c r="D48" s="2"/>
      <c r="E48" s="1" t="s">
        <v>464</v>
      </c>
      <c r="F48" s="1">
        <f>(0.42+0.49)/2</f>
        <v>0.45499999999999996</v>
      </c>
      <c r="G48" s="1">
        <f>(27+33)/2</f>
        <v>30</v>
      </c>
      <c r="H48" s="1">
        <f>(5.1+6.5)/2</f>
        <v>5.8</v>
      </c>
      <c r="I48" s="4"/>
      <c r="J48" s="1">
        <f>(18+21)/2</f>
        <v>19.5</v>
      </c>
      <c r="K48" s="4"/>
      <c r="L48" s="4"/>
      <c r="M48" s="21">
        <f>1-AVERAGE(N48:R48)</f>
        <v>0.89292345585449029</v>
      </c>
      <c r="N48" s="20">
        <f>ABS($D$2-F48)/F48</f>
        <v>0.27472527472527497</v>
      </c>
      <c r="O48" s="20">
        <f>ABS($E$2-G48)/G48</f>
        <v>3.3333333333333333E-2</v>
      </c>
      <c r="P48" s="20">
        <f>ABS($F$2-H48)/H48</f>
        <v>6.8965517241379379E-2</v>
      </c>
      <c r="Q48" s="20">
        <f>ABS($H$2-J48)/J48</f>
        <v>5.128205128205128E-2</v>
      </c>
      <c r="R48" s="20"/>
    </row>
    <row r="49" spans="1:18" ht="12.75" customHeight="1" x14ac:dyDescent="0.2">
      <c r="A49">
        <v>563</v>
      </c>
      <c r="B49" s="1" t="s">
        <v>477</v>
      </c>
      <c r="C49" s="1"/>
      <c r="D49" s="2">
        <v>69</v>
      </c>
      <c r="E49" s="9" t="s">
        <v>463</v>
      </c>
      <c r="F49" s="1">
        <v>0.53</v>
      </c>
      <c r="G49" s="4">
        <v>23.7</v>
      </c>
      <c r="H49" s="4">
        <v>6.8</v>
      </c>
      <c r="I49" s="4"/>
      <c r="J49" s="4">
        <v>19</v>
      </c>
      <c r="K49" s="4"/>
      <c r="L49" s="4">
        <v>80</v>
      </c>
      <c r="M49" s="21">
        <f>1-AVERAGE(N49:R49)</f>
        <v>0.89171980456733368</v>
      </c>
      <c r="N49" s="20">
        <f>ABS($D$2-F49)/F49</f>
        <v>9.433962264150951E-2</v>
      </c>
      <c r="O49" s="20">
        <f>ABS($E$2-G49)/G49</f>
        <v>0.22362869198312241</v>
      </c>
      <c r="P49" s="20">
        <f>ABS($F$2-H49)/H49</f>
        <v>8.8235294117647009E-2</v>
      </c>
      <c r="Q49" s="20">
        <f>ABS($H$2-J49)/J49</f>
        <v>7.8947368421052627E-2</v>
      </c>
      <c r="R49" s="20">
        <f>ABS($J$2-L49)/L49</f>
        <v>5.6250000000000001E-2</v>
      </c>
    </row>
    <row r="50" spans="1:18" ht="12.75" customHeight="1" x14ac:dyDescent="0.2">
      <c r="A50">
        <v>543</v>
      </c>
      <c r="B50" s="9" t="s">
        <v>468</v>
      </c>
      <c r="C50" s="9"/>
      <c r="D50" s="11">
        <v>5</v>
      </c>
      <c r="E50" s="9" t="s">
        <v>463</v>
      </c>
      <c r="F50" s="1">
        <f>(0.6+0.66)/2</f>
        <v>0.63</v>
      </c>
      <c r="G50" s="4">
        <f>(24+33)/2</f>
        <v>28.5</v>
      </c>
      <c r="H50" s="4">
        <f>(5.3+6)/2</f>
        <v>5.65</v>
      </c>
      <c r="I50" s="4">
        <f>(3.9+4.4)/2</f>
        <v>4.1500000000000004</v>
      </c>
      <c r="J50" s="4">
        <f>(22+33)/2</f>
        <v>27.5</v>
      </c>
      <c r="K50" s="4"/>
      <c r="L50" s="4">
        <f>(82+85)/2</f>
        <v>83.5</v>
      </c>
      <c r="M50" s="21">
        <f>1-AVERAGE(N50:R50)</f>
        <v>0.89107841809268951</v>
      </c>
      <c r="N50" s="20">
        <f>ABS($D$2-F50)/F50</f>
        <v>7.9365079365079264E-2</v>
      </c>
      <c r="O50" s="20">
        <f>ABS($E$2-G50)/G50</f>
        <v>1.7543859649122806E-2</v>
      </c>
      <c r="P50" s="20">
        <f>ABS($F$2-H50)/H50</f>
        <v>9.7345132743362789E-2</v>
      </c>
      <c r="Q50" s="20">
        <f>ABS($H$2-J50)/J50</f>
        <v>0.25454545454545452</v>
      </c>
      <c r="R50" s="20">
        <f>ABS($J$2-L50)/L50</f>
        <v>9.580838323353294E-2</v>
      </c>
    </row>
    <row r="51" spans="1:18" ht="12.75" customHeight="1" x14ac:dyDescent="0.2">
      <c r="A51">
        <v>748</v>
      </c>
      <c r="B51" s="1" t="s">
        <v>596</v>
      </c>
      <c r="C51" s="1"/>
      <c r="D51" s="2"/>
      <c r="E51" s="6" t="s">
        <v>495</v>
      </c>
      <c r="F51" s="1">
        <v>0.6</v>
      </c>
      <c r="G51" s="4">
        <v>30</v>
      </c>
      <c r="H51" s="4">
        <v>8.6</v>
      </c>
      <c r="I51" s="4"/>
      <c r="J51" s="4">
        <v>18</v>
      </c>
      <c r="K51" s="4"/>
      <c r="L51" s="4">
        <v>71</v>
      </c>
      <c r="M51" s="21">
        <f>1-AVERAGE(N51:R51)</f>
        <v>0.89039887906248871</v>
      </c>
      <c r="N51" s="20">
        <f>ABS($D$2-F51)/F51</f>
        <v>3.333333333333318E-2</v>
      </c>
      <c r="O51" s="20">
        <f>ABS($E$2-G51)/G51</f>
        <v>3.3333333333333333E-2</v>
      </c>
      <c r="P51" s="20">
        <f>ABS($F$2-H51)/H51</f>
        <v>0.27906976744186041</v>
      </c>
      <c r="Q51" s="20">
        <f>ABS($H$2-J51)/J51</f>
        <v>0.1388888888888889</v>
      </c>
      <c r="R51" s="20">
        <f>ABS($J$2-L51)/L51</f>
        <v>6.3380281690140844E-2</v>
      </c>
    </row>
    <row r="52" spans="1:18" ht="12.75" customHeight="1" x14ac:dyDescent="0.2">
      <c r="A52">
        <v>602</v>
      </c>
      <c r="B52" s="1" t="s">
        <v>488</v>
      </c>
      <c r="C52" s="1"/>
      <c r="D52" s="2">
        <v>3</v>
      </c>
      <c r="E52" s="1" t="s">
        <v>463</v>
      </c>
      <c r="F52" s="1">
        <v>0.44</v>
      </c>
      <c r="G52" s="4">
        <v>27</v>
      </c>
      <c r="H52" s="4">
        <v>5.7</v>
      </c>
      <c r="I52" s="4">
        <v>4.0999999999999996</v>
      </c>
      <c r="J52" s="4">
        <v>19</v>
      </c>
      <c r="K52" s="4">
        <v>2.9</v>
      </c>
      <c r="L52" s="1">
        <f>(75+76)/2</f>
        <v>75.5</v>
      </c>
      <c r="M52" s="21">
        <f>1-AVERAGE(N52:R52)</f>
        <v>0.88821548821548824</v>
      </c>
      <c r="N52" s="20">
        <f>ABS($D$2-F52)/F52</f>
        <v>0.31818181818181834</v>
      </c>
      <c r="O52" s="20">
        <f>ABS($E$2-G52)/G52</f>
        <v>7.407407407407407E-2</v>
      </c>
      <c r="P52" s="20">
        <f>ABS($F$2-H52)/H52</f>
        <v>8.771929824561403E-2</v>
      </c>
      <c r="Q52" s="20">
        <f>ABS($H$2-J52)/J52</f>
        <v>7.8947368421052627E-2</v>
      </c>
      <c r="R52" s="20">
        <f>ABS($J$2-L52)/L52</f>
        <v>0</v>
      </c>
    </row>
    <row r="53" spans="1:18" ht="12.75" customHeight="1" x14ac:dyDescent="0.2">
      <c r="A53">
        <v>553</v>
      </c>
      <c r="B53" s="9" t="s">
        <v>472</v>
      </c>
      <c r="C53" s="9"/>
      <c r="D53" s="11">
        <v>12</v>
      </c>
      <c r="E53" s="9" t="s">
        <v>463</v>
      </c>
      <c r="F53" s="1">
        <v>0.63</v>
      </c>
      <c r="G53" s="4">
        <v>31</v>
      </c>
      <c r="H53" s="4">
        <v>7.8</v>
      </c>
      <c r="I53" s="4"/>
      <c r="J53" s="4">
        <v>18</v>
      </c>
      <c r="K53" s="4"/>
      <c r="L53" s="4">
        <v>82</v>
      </c>
      <c r="M53" s="21">
        <f>1-AVERAGE(N53:R53)</f>
        <v>0.88656668098052838</v>
      </c>
      <c r="N53" s="20">
        <f>ABS($D$2-F53)/F53</f>
        <v>7.9365079365079264E-2</v>
      </c>
      <c r="O53" s="20">
        <f>ABS($E$2-G53)/G53</f>
        <v>6.4516129032258063E-2</v>
      </c>
      <c r="P53" s="20">
        <f>ABS($F$2-H53)/H53</f>
        <v>0.20512820512820509</v>
      </c>
      <c r="Q53" s="20">
        <f>ABS($H$2-J53)/J53</f>
        <v>0.1388888888888889</v>
      </c>
      <c r="R53" s="20">
        <f>ABS($J$2-L53)/L53</f>
        <v>7.926829268292683E-2</v>
      </c>
    </row>
    <row r="54" spans="1:18" ht="12.75" customHeight="1" x14ac:dyDescent="0.2">
      <c r="A54">
        <v>573</v>
      </c>
      <c r="B54" s="1" t="s">
        <v>479</v>
      </c>
      <c r="C54" s="1"/>
      <c r="D54" s="2">
        <v>10</v>
      </c>
      <c r="E54" s="1" t="s">
        <v>464</v>
      </c>
      <c r="F54" s="1">
        <f>(0.49+0.58)/2</f>
        <v>0.53499999999999992</v>
      </c>
      <c r="G54" s="4">
        <f>(27+36)/2</f>
        <v>31.5</v>
      </c>
      <c r="H54" s="4">
        <f>(5.2+6/2)</f>
        <v>8.1999999999999993</v>
      </c>
      <c r="I54" s="4"/>
      <c r="J54" s="4">
        <f>(20+23)/2</f>
        <v>21.5</v>
      </c>
      <c r="K54" s="4"/>
      <c r="L54" s="4"/>
      <c r="M54" s="21">
        <f>1-AVERAGE(N54:R54)</f>
        <v>0.88652717604271081</v>
      </c>
      <c r="N54" s="20">
        <f>ABS($D$2-F54)/F54</f>
        <v>8.4112149532710581E-2</v>
      </c>
      <c r="O54" s="20">
        <f>ABS($E$2-G54)/G54</f>
        <v>7.9365079365079361E-2</v>
      </c>
      <c r="P54" s="20">
        <f>ABS($F$2-H54)/H54</f>
        <v>0.24390243902439016</v>
      </c>
      <c r="Q54" s="20">
        <f>ABS($H$2-J54)/J54</f>
        <v>4.6511627906976744E-2</v>
      </c>
      <c r="R54" s="20"/>
    </row>
    <row r="55" spans="1:18" ht="12.75" customHeight="1" x14ac:dyDescent="0.2">
      <c r="A55">
        <v>549</v>
      </c>
      <c r="B55" s="9" t="s">
        <v>471</v>
      </c>
      <c r="C55" s="9"/>
      <c r="D55" s="11">
        <v>10</v>
      </c>
      <c r="E55" s="9" t="s">
        <v>463</v>
      </c>
      <c r="F55" s="1">
        <v>0.48</v>
      </c>
      <c r="G55" s="4">
        <v>28</v>
      </c>
      <c r="H55" s="4">
        <v>5.7</v>
      </c>
      <c r="I55" s="4">
        <v>4.4000000000000004</v>
      </c>
      <c r="J55" s="4">
        <v>17</v>
      </c>
      <c r="K55" s="4">
        <v>2.5</v>
      </c>
      <c r="L55" s="4">
        <v>73</v>
      </c>
      <c r="M55" s="21">
        <f>1-AVERAGE(N55:R55)</f>
        <v>0.88562083088462484</v>
      </c>
      <c r="N55" s="20">
        <f>ABS($D$2-F55)/F55</f>
        <v>0.20833333333333354</v>
      </c>
      <c r="O55" s="20">
        <f>ABS($E$2-G55)/G55</f>
        <v>3.5714285714285712E-2</v>
      </c>
      <c r="P55" s="20">
        <f>ABS($F$2-H55)/H55</f>
        <v>8.771929824561403E-2</v>
      </c>
      <c r="Q55" s="20">
        <f>ABS($H$2-J55)/J55</f>
        <v>0.20588235294117646</v>
      </c>
      <c r="R55" s="20">
        <f>ABS($J$2-L55)/L55</f>
        <v>3.4246575342465752E-2</v>
      </c>
    </row>
    <row r="56" spans="1:18" ht="12.75" customHeight="1" x14ac:dyDescent="0.2">
      <c r="A56">
        <v>581</v>
      </c>
      <c r="B56" s="1" t="s">
        <v>481</v>
      </c>
      <c r="C56" s="1"/>
      <c r="D56" s="2"/>
      <c r="E56" s="1" t="s">
        <v>466</v>
      </c>
      <c r="F56" s="1">
        <v>0.45</v>
      </c>
      <c r="G56" s="4">
        <v>25</v>
      </c>
      <c r="H56" s="4">
        <v>6</v>
      </c>
      <c r="I56" s="4"/>
      <c r="J56" s="4">
        <v>21</v>
      </c>
      <c r="K56" s="4"/>
      <c r="L56" s="4">
        <v>81</v>
      </c>
      <c r="M56" s="21">
        <f>1-AVERAGE(N56:R56)</f>
        <v>0.88521340388007053</v>
      </c>
      <c r="N56" s="20">
        <f>ABS($D$2-F56)/F56</f>
        <v>0.28888888888888903</v>
      </c>
      <c r="O56" s="20">
        <f>ABS($E$2-G56)/G56</f>
        <v>0.16</v>
      </c>
      <c r="P56" s="20">
        <f>ABS($F$2-H56)/H56</f>
        <v>3.3333333333333361E-2</v>
      </c>
      <c r="Q56" s="20">
        <f>ABS($H$2-J56)/J56</f>
        <v>2.3809523809523808E-2</v>
      </c>
      <c r="R56" s="20">
        <f>ABS($J$2-L56)/L56</f>
        <v>6.7901234567901231E-2</v>
      </c>
    </row>
    <row r="57" spans="1:18" ht="12.75" customHeight="1" x14ac:dyDescent="0.2">
      <c r="A57">
        <v>610</v>
      </c>
      <c r="B57" s="1" t="s">
        <v>491</v>
      </c>
      <c r="C57" s="1"/>
      <c r="D57" s="2"/>
      <c r="E57" s="1" t="s">
        <v>466</v>
      </c>
      <c r="F57" s="1">
        <v>0.48</v>
      </c>
      <c r="G57" s="4">
        <v>25</v>
      </c>
      <c r="H57" s="4">
        <v>5.5</v>
      </c>
      <c r="I57" s="4"/>
      <c r="J57" s="4">
        <v>19</v>
      </c>
      <c r="K57" s="4"/>
      <c r="L57" s="4">
        <v>76</v>
      </c>
      <c r="M57" s="21">
        <f>1-AVERAGE(N57:R57)</f>
        <v>0.8837735247208931</v>
      </c>
      <c r="N57" s="20">
        <f>ABS($D$2-F57)/F57</f>
        <v>0.20833333333333354</v>
      </c>
      <c r="O57" s="20">
        <f>ABS($E$2-G57)/G57</f>
        <v>0.16</v>
      </c>
      <c r="P57" s="20">
        <f>ABS($F$2-H57)/H57</f>
        <v>0.12727272727272732</v>
      </c>
      <c r="Q57" s="20">
        <f>ABS($H$2-J57)/J57</f>
        <v>7.8947368421052627E-2</v>
      </c>
      <c r="R57" s="20">
        <f>ABS($J$2-L57)/L57</f>
        <v>6.5789473684210523E-3</v>
      </c>
    </row>
    <row r="58" spans="1:18" ht="12.75" customHeight="1" x14ac:dyDescent="0.2">
      <c r="A58">
        <v>119</v>
      </c>
      <c r="B58" s="1" t="s">
        <v>112</v>
      </c>
      <c r="C58" s="1"/>
      <c r="D58" s="2"/>
      <c r="E58" s="6" t="s">
        <v>40</v>
      </c>
      <c r="F58" s="3">
        <v>0.5</v>
      </c>
      <c r="G58" s="3">
        <v>31</v>
      </c>
      <c r="H58" s="3">
        <v>8.3000000000000007</v>
      </c>
      <c r="I58" s="3"/>
      <c r="J58" s="3">
        <v>22</v>
      </c>
      <c r="K58" s="3"/>
      <c r="L58" s="3">
        <v>72</v>
      </c>
      <c r="M58" s="21">
        <f>1-AVERAGE(N58:R58)</f>
        <v>0.88113577869640825</v>
      </c>
      <c r="N58" s="20">
        <f>ABS($D$2-F58)/F58</f>
        <v>0.16000000000000014</v>
      </c>
      <c r="O58" s="20">
        <f>ABS($E$2-G58)/G58</f>
        <v>6.4516129032258063E-2</v>
      </c>
      <c r="P58" s="20">
        <f>ABS($F$2-H58)/H58</f>
        <v>0.25301204819277112</v>
      </c>
      <c r="Q58" s="20">
        <f>ABS($H$2-J58)/J58</f>
        <v>6.8181818181818177E-2</v>
      </c>
      <c r="R58" s="20">
        <f>ABS($J$2-L58)/L58</f>
        <v>4.8611111111111112E-2</v>
      </c>
    </row>
    <row r="59" spans="1:18" ht="12.75" customHeight="1" x14ac:dyDescent="0.2">
      <c r="A59">
        <v>604</v>
      </c>
      <c r="B59" s="1" t="s">
        <v>489</v>
      </c>
      <c r="C59" s="1"/>
      <c r="D59" s="2">
        <v>11</v>
      </c>
      <c r="E59" s="1" t="s">
        <v>463</v>
      </c>
      <c r="F59" s="1">
        <f>(0.35+0.5)/2</f>
        <v>0.42499999999999999</v>
      </c>
      <c r="G59" s="1">
        <f>(17+38)/2</f>
        <v>27.5</v>
      </c>
      <c r="H59" s="1">
        <f>(4.6+7.6)/2</f>
        <v>6.1</v>
      </c>
      <c r="I59" s="1">
        <f>(3.5+5.5)/2</f>
        <v>4.5</v>
      </c>
      <c r="J59" s="1">
        <f>(16+22)/2</f>
        <v>19</v>
      </c>
      <c r="K59" s="1">
        <f>(0.8+1.1)/2</f>
        <v>0.95000000000000007</v>
      </c>
      <c r="L59" s="1">
        <f>(79+86)/2</f>
        <v>82.5</v>
      </c>
      <c r="M59" s="21">
        <f>1-AVERAGE(N59:R59)</f>
        <v>0.88011187344182318</v>
      </c>
      <c r="N59" s="20">
        <f>ABS($D$2-F59)/F59</f>
        <v>0.36470588235294138</v>
      </c>
      <c r="O59" s="20">
        <f>ABS($E$2-G59)/G59</f>
        <v>5.4545454545454543E-2</v>
      </c>
      <c r="P59" s="20">
        <f>ABS($F$2-H59)/H59</f>
        <v>1.6393442622950907E-2</v>
      </c>
      <c r="Q59" s="20">
        <f>ABS($H$2-J59)/J59</f>
        <v>7.8947368421052627E-2</v>
      </c>
      <c r="R59" s="20">
        <f>ABS($J$2-L59)/L59</f>
        <v>8.4848484848484854E-2</v>
      </c>
    </row>
    <row r="60" spans="1:18" ht="12.75" customHeight="1" x14ac:dyDescent="0.2">
      <c r="A60">
        <v>614</v>
      </c>
      <c r="B60" s="1" t="s">
        <v>491</v>
      </c>
      <c r="C60" s="1"/>
      <c r="D60" s="2"/>
      <c r="E60" s="1" t="s">
        <v>464</v>
      </c>
      <c r="F60" s="1">
        <v>0.45</v>
      </c>
      <c r="G60" s="1">
        <v>31</v>
      </c>
      <c r="H60" s="1">
        <v>5.5</v>
      </c>
      <c r="I60" s="4"/>
      <c r="J60" s="1">
        <v>21</v>
      </c>
      <c r="K60" s="1">
        <v>2.5</v>
      </c>
      <c r="L60" s="4"/>
      <c r="M60" s="21">
        <f>1-AVERAGE(N60:R60)</f>
        <v>0.87387818274915041</v>
      </c>
      <c r="N60" s="20">
        <f>ABS($D$2-F60)/F60</f>
        <v>0.28888888888888903</v>
      </c>
      <c r="O60" s="20">
        <f>ABS($E$2-G60)/G60</f>
        <v>6.4516129032258063E-2</v>
      </c>
      <c r="P60" s="20">
        <f>ABS($F$2-H60)/H60</f>
        <v>0.12727272727272732</v>
      </c>
      <c r="Q60" s="20">
        <f>ABS($H$2-J60)/J60</f>
        <v>2.3809523809523808E-2</v>
      </c>
      <c r="R60" s="20"/>
    </row>
    <row r="61" spans="1:18" ht="12.75" customHeight="1" x14ac:dyDescent="0.2">
      <c r="A61">
        <v>595</v>
      </c>
      <c r="B61" s="9" t="s">
        <v>486</v>
      </c>
      <c r="C61" s="1"/>
      <c r="D61" s="2">
        <v>15</v>
      </c>
      <c r="E61" s="1" t="s">
        <v>463</v>
      </c>
      <c r="F61" s="1">
        <v>0.51</v>
      </c>
      <c r="G61" s="4">
        <v>28.3</v>
      </c>
      <c r="H61" s="4">
        <v>6.8</v>
      </c>
      <c r="I61" s="4">
        <v>4.3</v>
      </c>
      <c r="J61" s="4">
        <v>15</v>
      </c>
      <c r="K61" s="4"/>
      <c r="L61" s="4">
        <v>78</v>
      </c>
      <c r="M61" s="21">
        <f>1-AVERAGE(N61:R61)</f>
        <v>0.87021137457429287</v>
      </c>
      <c r="N61" s="20">
        <f>ABS($D$2-F61)/F61</f>
        <v>0.13725490196078444</v>
      </c>
      <c r="O61" s="20">
        <f>ABS($E$2-G61)/G61</f>
        <v>2.4734982332155452E-2</v>
      </c>
      <c r="P61" s="20">
        <f>ABS($F$2-H61)/H61</f>
        <v>8.8235294117647009E-2</v>
      </c>
      <c r="Q61" s="20">
        <f>ABS($H$2-J61)/J61</f>
        <v>0.36666666666666664</v>
      </c>
      <c r="R61" s="20">
        <f>ABS($J$2-L61)/L61</f>
        <v>3.2051282051282048E-2</v>
      </c>
    </row>
    <row r="62" spans="1:18" ht="12.75" customHeight="1" x14ac:dyDescent="0.2">
      <c r="A62">
        <v>83</v>
      </c>
      <c r="B62" s="1" t="s">
        <v>92</v>
      </c>
      <c r="C62" s="1"/>
      <c r="D62" s="2"/>
      <c r="E62" s="6" t="s">
        <v>40</v>
      </c>
      <c r="F62" s="3">
        <v>0.76</v>
      </c>
      <c r="G62" s="3">
        <f>(15+35)/2</f>
        <v>25</v>
      </c>
      <c r="H62" s="3">
        <f>(5+7)/2</f>
        <v>6</v>
      </c>
      <c r="I62" s="3"/>
      <c r="J62" s="3">
        <f>(17+20)/2</f>
        <v>18.5</v>
      </c>
      <c r="K62" s="3"/>
      <c r="L62" s="3">
        <f>(81+89)/2</f>
        <v>85</v>
      </c>
      <c r="M62" s="21">
        <f>1-AVERAGE(N62:R62)</f>
        <v>0.86999034948260956</v>
      </c>
      <c r="N62" s="20">
        <f>ABS($D$2-F62)/F62</f>
        <v>0.2368421052631578</v>
      </c>
      <c r="O62" s="20">
        <f>ABS($E$2-G62)/G62</f>
        <v>0.16</v>
      </c>
      <c r="P62" s="20">
        <f>ABS($F$2-H62)/H62</f>
        <v>3.3333333333333361E-2</v>
      </c>
      <c r="Q62" s="20">
        <f>ABS($H$2-J62)/J62</f>
        <v>0.10810810810810811</v>
      </c>
      <c r="R62" s="20">
        <f>ABS($J$2-L62)/L62</f>
        <v>0.11176470588235295</v>
      </c>
    </row>
    <row r="63" spans="1:18" ht="12.75" customHeight="1" x14ac:dyDescent="0.2">
      <c r="A63">
        <v>617</v>
      </c>
      <c r="B63" s="1" t="s">
        <v>491</v>
      </c>
      <c r="C63" s="1"/>
      <c r="D63" s="2">
        <v>15</v>
      </c>
      <c r="E63" s="1" t="s">
        <v>464</v>
      </c>
      <c r="F63" s="1">
        <v>0.45</v>
      </c>
      <c r="G63" s="4">
        <v>32</v>
      </c>
      <c r="H63" s="4">
        <v>5.5</v>
      </c>
      <c r="I63" s="4"/>
      <c r="J63" s="4">
        <v>20.8</v>
      </c>
      <c r="K63" s="4">
        <v>1.8</v>
      </c>
      <c r="L63" s="4"/>
      <c r="M63" s="21">
        <f>1-AVERAGE(N63:R63)</f>
        <v>0.86891632672882668</v>
      </c>
      <c r="N63" s="20">
        <f>ABS($D$2-F63)/F63</f>
        <v>0.28888888888888903</v>
      </c>
      <c r="O63" s="20">
        <f>ABS($E$2-G63)/G63</f>
        <v>9.375E-2</v>
      </c>
      <c r="P63" s="20">
        <f>ABS($F$2-H63)/H63</f>
        <v>0.12727272727272732</v>
      </c>
      <c r="Q63" s="20">
        <f>ABS($H$2-J63)/J63</f>
        <v>1.4423076923076957E-2</v>
      </c>
      <c r="R63" s="20"/>
    </row>
    <row r="64" spans="1:18" ht="12.75" customHeight="1" x14ac:dyDescent="0.2">
      <c r="A64">
        <v>53</v>
      </c>
      <c r="B64" s="1" t="s">
        <v>70</v>
      </c>
      <c r="C64" s="1"/>
      <c r="D64" s="2"/>
      <c r="E64" s="6" t="s">
        <v>41</v>
      </c>
      <c r="F64" s="3">
        <f>(0.38+0.54)/2</f>
        <v>0.46</v>
      </c>
      <c r="G64" s="3">
        <f>(24+33)/2</f>
        <v>28.5</v>
      </c>
      <c r="H64" s="3">
        <f>(4.7+6.5)/2</f>
        <v>5.6</v>
      </c>
      <c r="I64" s="3"/>
      <c r="J64" s="3">
        <f>(16+20)/2</f>
        <v>18</v>
      </c>
      <c r="K64" s="3"/>
      <c r="L64" s="3"/>
      <c r="M64" s="21">
        <f>1-AVERAGE(N64:R64)</f>
        <v>0.86888870727543488</v>
      </c>
      <c r="N64" s="20">
        <f>ABS($D$2-F64)/F64</f>
        <v>0.26086956521739141</v>
      </c>
      <c r="O64" s="20">
        <f>ABS($E$2-G64)/G64</f>
        <v>1.7543859649122806E-2</v>
      </c>
      <c r="P64" s="20">
        <f>ABS($F$2-H64)/H64</f>
        <v>0.10714285714285725</v>
      </c>
      <c r="Q64" s="20">
        <f>ABS($H$2-J64)/J64</f>
        <v>0.1388888888888889</v>
      </c>
      <c r="R64" s="20"/>
    </row>
    <row r="65" spans="1:18" ht="12.75" customHeight="1" x14ac:dyDescent="0.2">
      <c r="A65">
        <v>586</v>
      </c>
      <c r="B65" s="1" t="s">
        <v>483</v>
      </c>
      <c r="C65" s="1"/>
      <c r="D65" s="2"/>
      <c r="E65" s="1" t="s">
        <v>463</v>
      </c>
      <c r="F65" s="1">
        <v>0.73</v>
      </c>
      <c r="G65" s="4">
        <v>33</v>
      </c>
      <c r="H65" s="4">
        <v>8.1999999999999993</v>
      </c>
      <c r="I65" s="4">
        <v>5.8</v>
      </c>
      <c r="J65" s="4">
        <v>22</v>
      </c>
      <c r="K65" s="4"/>
      <c r="L65" s="4">
        <v>77</v>
      </c>
      <c r="M65" s="21">
        <f>1-AVERAGE(N65:R65)</f>
        <v>0.86834873000927137</v>
      </c>
      <c r="N65" s="20">
        <f>ABS($D$2-F65)/F65</f>
        <v>0.2054794520547944</v>
      </c>
      <c r="O65" s="20">
        <f>ABS($E$2-G65)/G65</f>
        <v>0.12121212121212122</v>
      </c>
      <c r="P65" s="20">
        <f>ABS($F$2-H65)/H65</f>
        <v>0.24390243902439016</v>
      </c>
      <c r="Q65" s="20">
        <f>ABS($H$2-J65)/J65</f>
        <v>6.8181818181818177E-2</v>
      </c>
      <c r="R65" s="20">
        <f>ABS($J$2-L65)/L65</f>
        <v>1.948051948051948E-2</v>
      </c>
    </row>
    <row r="66" spans="1:18" ht="12.75" customHeight="1" x14ac:dyDescent="0.2">
      <c r="A66">
        <v>597</v>
      </c>
      <c r="B66" s="1" t="s">
        <v>487</v>
      </c>
      <c r="C66" s="1"/>
      <c r="D66" s="2"/>
      <c r="E66" s="1" t="s">
        <v>466</v>
      </c>
      <c r="F66" s="9">
        <v>0.6</v>
      </c>
      <c r="G66" s="4">
        <v>39</v>
      </c>
      <c r="H66" s="4">
        <v>6.9</v>
      </c>
      <c r="I66" s="4">
        <v>4</v>
      </c>
      <c r="J66" s="4">
        <v>25</v>
      </c>
      <c r="K66" s="4">
        <v>2.9</v>
      </c>
      <c r="L66" s="4">
        <v>83</v>
      </c>
      <c r="M66" s="21">
        <f>1-AVERAGE(N66:R66)</f>
        <v>0.86768913782219181</v>
      </c>
      <c r="N66" s="20">
        <f>ABS($D$2-F66)/F66</f>
        <v>3.333333333333318E-2</v>
      </c>
      <c r="O66" s="20">
        <f>ABS($E$2-G66)/G66</f>
        <v>0.25641025641025639</v>
      </c>
      <c r="P66" s="20">
        <f>ABS($F$2-H66)/H66</f>
        <v>0.10144927536231886</v>
      </c>
      <c r="Q66" s="20">
        <f>ABS($H$2-J66)/J66</f>
        <v>0.18</v>
      </c>
      <c r="R66" s="20">
        <f>ABS($J$2-L66)/L66</f>
        <v>9.036144578313253E-2</v>
      </c>
    </row>
    <row r="67" spans="1:18" ht="12.75" customHeight="1" x14ac:dyDescent="0.2">
      <c r="A67">
        <v>601</v>
      </c>
      <c r="B67" s="1" t="s">
        <v>488</v>
      </c>
      <c r="C67" s="1"/>
      <c r="D67" s="2">
        <v>22</v>
      </c>
      <c r="E67" s="1" t="s">
        <v>463</v>
      </c>
      <c r="F67" s="1">
        <v>0.41</v>
      </c>
      <c r="G67" s="4">
        <v>28</v>
      </c>
      <c r="H67" s="4">
        <v>5.8</v>
      </c>
      <c r="I67" s="4">
        <v>3.8</v>
      </c>
      <c r="J67" s="4">
        <v>18</v>
      </c>
      <c r="K67" s="4">
        <v>2.6</v>
      </c>
      <c r="L67" s="4">
        <v>75</v>
      </c>
      <c r="M67" s="21">
        <f>1-AVERAGE(N67:R67)</f>
        <v>0.86702609902946315</v>
      </c>
      <c r="N67" s="20">
        <f>ABS($D$2-F67)/F67</f>
        <v>0.41463414634146367</v>
      </c>
      <c r="O67" s="20">
        <f>ABS($E$2-G67)/G67</f>
        <v>3.5714285714285712E-2</v>
      </c>
      <c r="P67" s="20">
        <f>ABS($F$2-H67)/H67</f>
        <v>6.8965517241379379E-2</v>
      </c>
      <c r="Q67" s="20">
        <f>ABS($H$2-J67)/J67</f>
        <v>0.1388888888888889</v>
      </c>
      <c r="R67" s="20">
        <f>ABS($J$2-L67)/L67</f>
        <v>6.6666666666666671E-3</v>
      </c>
    </row>
    <row r="68" spans="1:18" ht="12.75" customHeight="1" x14ac:dyDescent="0.2">
      <c r="A68">
        <v>701</v>
      </c>
      <c r="B68" s="1" t="s">
        <v>561</v>
      </c>
      <c r="C68" s="1"/>
      <c r="D68" s="2"/>
      <c r="E68" s="6" t="s">
        <v>495</v>
      </c>
      <c r="F68" s="1">
        <f>(0.5+0.7)/2</f>
        <v>0.6</v>
      </c>
      <c r="G68" s="1">
        <f>(17+26)/2</f>
        <v>21.5</v>
      </c>
      <c r="H68" s="1">
        <f>(5.4+6.6)/2</f>
        <v>6</v>
      </c>
      <c r="I68" s="1"/>
      <c r="J68" s="1">
        <f>(16+18)/2</f>
        <v>17</v>
      </c>
      <c r="K68" s="1"/>
      <c r="L68" s="1">
        <v>79</v>
      </c>
      <c r="M68" s="21">
        <f>1-AVERAGE(N68:R68)</f>
        <v>0.86686199472429537</v>
      </c>
      <c r="N68" s="20">
        <f>ABS($D$2-F68)/F68</f>
        <v>3.333333333333318E-2</v>
      </c>
      <c r="O68" s="20">
        <f>ABS($E$2-G68)/G68</f>
        <v>0.34883720930232559</v>
      </c>
      <c r="P68" s="20">
        <f>ABS($F$2-H68)/H68</f>
        <v>3.3333333333333361E-2</v>
      </c>
      <c r="Q68" s="20">
        <f>ABS($H$2-J68)/J68</f>
        <v>0.20588235294117646</v>
      </c>
      <c r="R68" s="20">
        <f>ABS($J$2-L68)/L68</f>
        <v>4.4303797468354431E-2</v>
      </c>
    </row>
    <row r="69" spans="1:18" ht="12.75" customHeight="1" x14ac:dyDescent="0.2">
      <c r="A69">
        <v>144</v>
      </c>
      <c r="B69" s="1" t="s">
        <v>125</v>
      </c>
      <c r="C69" s="1"/>
      <c r="D69" s="2"/>
      <c r="E69" s="6" t="s">
        <v>40</v>
      </c>
      <c r="F69" s="3">
        <f>(0.74+0.8)/2</f>
        <v>0.77</v>
      </c>
      <c r="G69" s="3">
        <f>(27+33)/2</f>
        <v>30</v>
      </c>
      <c r="H69" s="3">
        <f>(5.9+6.7)/2</f>
        <v>6.3000000000000007</v>
      </c>
      <c r="I69" s="3"/>
      <c r="J69" s="3">
        <f>(28+37)/2</f>
        <v>32.5</v>
      </c>
      <c r="K69" s="3"/>
      <c r="L69" s="3">
        <f>(73+77)/2</f>
        <v>75</v>
      </c>
      <c r="M69" s="21">
        <f>1-AVERAGE(N69:R69)</f>
        <v>0.86562859362859368</v>
      </c>
      <c r="N69" s="20">
        <f>ABS($D$2-F69)/F69</f>
        <v>0.24675324675324667</v>
      </c>
      <c r="O69" s="20">
        <f>ABS($E$2-G69)/G69</f>
        <v>3.3333333333333333E-2</v>
      </c>
      <c r="P69" s="20">
        <f>ABS($F$2-H69)/H69</f>
        <v>1.5873015873015955E-2</v>
      </c>
      <c r="Q69" s="20">
        <f>ABS($H$2-J69)/J69</f>
        <v>0.36923076923076925</v>
      </c>
      <c r="R69" s="20">
        <f>ABS($J$2-L69)/L69</f>
        <v>6.6666666666666671E-3</v>
      </c>
    </row>
    <row r="70" spans="1:18" ht="12.75" customHeight="1" x14ac:dyDescent="0.2">
      <c r="A70">
        <v>753</v>
      </c>
      <c r="B70" s="1" t="s">
        <v>598</v>
      </c>
      <c r="C70" s="1"/>
      <c r="D70" s="2"/>
      <c r="E70" s="6" t="s">
        <v>495</v>
      </c>
      <c r="F70" s="1">
        <v>0.44</v>
      </c>
      <c r="G70" s="4">
        <v>27</v>
      </c>
      <c r="H70" s="4">
        <v>5.5</v>
      </c>
      <c r="I70" s="4"/>
      <c r="J70" s="4">
        <v>24</v>
      </c>
      <c r="K70" s="4"/>
      <c r="L70" s="4">
        <v>75</v>
      </c>
      <c r="M70" s="21">
        <f>1-AVERAGE(N70:R70)</f>
        <v>0.86559427609427608</v>
      </c>
      <c r="N70" s="20">
        <f>ABS($D$2-F70)/F70</f>
        <v>0.31818181818181834</v>
      </c>
      <c r="O70" s="20">
        <f>ABS($E$2-G70)/G70</f>
        <v>7.407407407407407E-2</v>
      </c>
      <c r="P70" s="20">
        <f>ABS($F$2-H70)/H70</f>
        <v>0.12727272727272732</v>
      </c>
      <c r="Q70" s="20">
        <f>ABS($H$2-J70)/J70</f>
        <v>0.14583333333333334</v>
      </c>
      <c r="R70" s="20">
        <f>ABS($J$2-L70)/L70</f>
        <v>6.6666666666666671E-3</v>
      </c>
    </row>
    <row r="71" spans="1:18" ht="12.75" customHeight="1" x14ac:dyDescent="0.2">
      <c r="A71">
        <v>583</v>
      </c>
      <c r="B71" s="1" t="s">
        <v>481</v>
      </c>
      <c r="C71" s="1"/>
      <c r="D71" s="2"/>
      <c r="E71" s="1" t="s">
        <v>463</v>
      </c>
      <c r="F71" s="1">
        <v>0.5</v>
      </c>
      <c r="G71" s="4">
        <v>21</v>
      </c>
      <c r="H71" s="4">
        <v>6.1</v>
      </c>
      <c r="I71" s="4">
        <v>5.2</v>
      </c>
      <c r="J71" s="4">
        <v>20</v>
      </c>
      <c r="K71" s="4">
        <v>2.5</v>
      </c>
      <c r="L71" s="4">
        <v>83</v>
      </c>
      <c r="M71" s="21">
        <f>1-AVERAGE(N71:R71)</f>
        <v>0.86545854612830708</v>
      </c>
      <c r="N71" s="20">
        <f>ABS($D$2-F71)/F71</f>
        <v>0.16000000000000014</v>
      </c>
      <c r="O71" s="20">
        <f>ABS($E$2-G71)/G71</f>
        <v>0.38095238095238093</v>
      </c>
      <c r="P71" s="20">
        <f>ABS($F$2-H71)/H71</f>
        <v>1.6393442622950907E-2</v>
      </c>
      <c r="Q71" s="20">
        <f>ABS($H$2-J71)/J71</f>
        <v>2.5000000000000001E-2</v>
      </c>
      <c r="R71" s="20">
        <f>ABS($J$2-L71)/L71</f>
        <v>9.036144578313253E-2</v>
      </c>
    </row>
    <row r="72" spans="1:18" ht="12.75" customHeight="1" x14ac:dyDescent="0.2">
      <c r="A72">
        <v>101</v>
      </c>
      <c r="B72" s="1" t="s">
        <v>102</v>
      </c>
      <c r="C72" s="1"/>
      <c r="D72" s="2"/>
      <c r="E72" s="6" t="s">
        <v>41</v>
      </c>
      <c r="F72" s="3">
        <v>0.8</v>
      </c>
      <c r="G72" s="3">
        <v>27</v>
      </c>
      <c r="H72" s="3">
        <v>5.7</v>
      </c>
      <c r="I72" s="3"/>
      <c r="J72" s="3">
        <v>23</v>
      </c>
      <c r="K72" s="3"/>
      <c r="L72" s="3"/>
      <c r="M72" s="21">
        <f>1-AVERAGE(N72:R72)</f>
        <v>0.86362774387659969</v>
      </c>
      <c r="N72" s="20">
        <f>ABS($D$2-F72)/F72</f>
        <v>0.27499999999999997</v>
      </c>
      <c r="O72" s="20">
        <f>ABS($E$2-G72)/G72</f>
        <v>7.407407407407407E-2</v>
      </c>
      <c r="P72" s="20">
        <f>ABS($F$2-H72)/H72</f>
        <v>8.771929824561403E-2</v>
      </c>
      <c r="Q72" s="20">
        <f>ABS($H$2-J72)/J72</f>
        <v>0.10869565217391304</v>
      </c>
      <c r="R72" s="20"/>
    </row>
    <row r="73" spans="1:18" ht="12.75" customHeight="1" x14ac:dyDescent="0.2">
      <c r="A73">
        <v>143</v>
      </c>
      <c r="B73" s="1" t="s">
        <v>124</v>
      </c>
      <c r="C73" s="1"/>
      <c r="D73" s="2"/>
      <c r="E73" s="6" t="s">
        <v>41</v>
      </c>
      <c r="F73" s="3">
        <f>(0.56+0.82)/2</f>
        <v>0.69</v>
      </c>
      <c r="G73" s="3">
        <f>(23+32)/2</f>
        <v>27.5</v>
      </c>
      <c r="H73" s="3">
        <f>(3.9+5.9)/2</f>
        <v>4.9000000000000004</v>
      </c>
      <c r="I73" s="3"/>
      <c r="J73" s="3">
        <f>(14+30)/2</f>
        <v>22</v>
      </c>
      <c r="K73" s="3"/>
      <c r="L73" s="3"/>
      <c r="M73" s="21">
        <f>1-AVERAGE(N73:R73)</f>
        <v>0.86313657874216887</v>
      </c>
      <c r="N73" s="20">
        <f>ABS($D$2-F73)/F73</f>
        <v>0.15942028985507228</v>
      </c>
      <c r="O73" s="20">
        <f>ABS($E$2-G73)/G73</f>
        <v>5.4545454545454543E-2</v>
      </c>
      <c r="P73" s="20">
        <f>ABS($F$2-H73)/H73</f>
        <v>0.26530612244897955</v>
      </c>
      <c r="Q73" s="20">
        <f>ABS($H$2-J73)/J73</f>
        <v>6.8181818181818177E-2</v>
      </c>
      <c r="R73" s="20"/>
    </row>
    <row r="74" spans="1:18" ht="12.75" customHeight="1" x14ac:dyDescent="0.2">
      <c r="A74">
        <v>557</v>
      </c>
      <c r="B74" s="9" t="s">
        <v>473</v>
      </c>
      <c r="C74" s="9"/>
      <c r="D74" s="11">
        <v>7</v>
      </c>
      <c r="E74" s="9" t="s">
        <v>474</v>
      </c>
      <c r="F74" s="1">
        <v>0.55000000000000004</v>
      </c>
      <c r="G74" s="4">
        <v>21</v>
      </c>
      <c r="H74" s="4">
        <v>7</v>
      </c>
      <c r="I74" s="4"/>
      <c r="J74" s="4">
        <v>21</v>
      </c>
      <c r="K74" s="4">
        <v>2</v>
      </c>
      <c r="L74" s="4">
        <v>85</v>
      </c>
      <c r="M74" s="21">
        <f>1-AVERAGE(N74:R74)</f>
        <v>0.86292844410491476</v>
      </c>
      <c r="N74" s="20">
        <f>ABS($D$2-F74)/F74</f>
        <v>5.4545454545454591E-2</v>
      </c>
      <c r="O74" s="20">
        <f>ABS($E$2-G74)/G74</f>
        <v>0.38095238095238093</v>
      </c>
      <c r="P74" s="20">
        <f>ABS($F$2-H74)/H74</f>
        <v>0.11428571428571425</v>
      </c>
      <c r="Q74" s="20">
        <f>ABS($H$2-J74)/J74</f>
        <v>2.3809523809523808E-2</v>
      </c>
      <c r="R74" s="20">
        <f>ABS($J$2-L74)/L74</f>
        <v>0.11176470588235295</v>
      </c>
    </row>
    <row r="75" spans="1:18" ht="12.75" customHeight="1" x14ac:dyDescent="0.2">
      <c r="A75">
        <v>646</v>
      </c>
      <c r="B75" s="6" t="s">
        <v>518</v>
      </c>
      <c r="C75" s="6"/>
      <c r="D75" s="7"/>
      <c r="E75" s="6" t="s">
        <v>495</v>
      </c>
      <c r="F75" s="1">
        <v>0.8</v>
      </c>
      <c r="G75" s="4">
        <v>30</v>
      </c>
      <c r="H75" s="4">
        <v>7</v>
      </c>
      <c r="I75" s="4"/>
      <c r="J75" s="4">
        <v>18</v>
      </c>
      <c r="K75" s="4"/>
      <c r="L75" s="4">
        <v>87</v>
      </c>
      <c r="M75" s="21">
        <f>1-AVERAGE(N75:R75)</f>
        <v>0.86126163108921727</v>
      </c>
      <c r="N75" s="20">
        <f>ABS($D$2-F75)/F75</f>
        <v>0.27499999999999997</v>
      </c>
      <c r="O75" s="20">
        <f>ABS($E$2-G75)/G75</f>
        <v>3.3333333333333333E-2</v>
      </c>
      <c r="P75" s="20">
        <f>ABS($F$2-H75)/H75</f>
        <v>0.11428571428571425</v>
      </c>
      <c r="Q75" s="20">
        <f>ABS($H$2-J75)/J75</f>
        <v>0.1388888888888889</v>
      </c>
      <c r="R75" s="20">
        <f>ABS($J$2-L75)/L75</f>
        <v>0.13218390804597702</v>
      </c>
    </row>
    <row r="76" spans="1:18" ht="12.75" customHeight="1" x14ac:dyDescent="0.2">
      <c r="A76">
        <v>714</v>
      </c>
      <c r="B76" s="1" t="s">
        <v>570</v>
      </c>
      <c r="C76" s="1"/>
      <c r="D76" s="2"/>
      <c r="E76" s="6" t="s">
        <v>495</v>
      </c>
      <c r="F76" s="1">
        <v>0.66</v>
      </c>
      <c r="G76" s="4">
        <v>32</v>
      </c>
      <c r="H76" s="4">
        <v>6.3</v>
      </c>
      <c r="I76" s="4"/>
      <c r="J76" s="4">
        <v>14</v>
      </c>
      <c r="K76" s="4"/>
      <c r="L76" s="4">
        <v>76</v>
      </c>
      <c r="M76" s="21">
        <f>1-AVERAGE(N76:R76)</f>
        <v>0.85966004025214549</v>
      </c>
      <c r="N76" s="20">
        <f>ABS($D$2-F76)/F76</f>
        <v>0.12121212121212115</v>
      </c>
      <c r="O76" s="20">
        <f>ABS($E$2-G76)/G76</f>
        <v>9.375E-2</v>
      </c>
      <c r="P76" s="20">
        <f>ABS($F$2-H76)/H76</f>
        <v>1.5873015873015817E-2</v>
      </c>
      <c r="Q76" s="20">
        <f>ABS($H$2-J76)/J76</f>
        <v>0.4642857142857143</v>
      </c>
      <c r="R76" s="20">
        <f>ABS($J$2-L76)/L76</f>
        <v>6.5789473684210523E-3</v>
      </c>
    </row>
    <row r="77" spans="1:18" ht="12.75" customHeight="1" x14ac:dyDescent="0.2">
      <c r="A77">
        <v>536</v>
      </c>
      <c r="B77" s="9" t="s">
        <v>465</v>
      </c>
      <c r="C77" s="9"/>
      <c r="D77" s="11">
        <v>20</v>
      </c>
      <c r="E77" s="9" t="s">
        <v>463</v>
      </c>
      <c r="F77" s="1">
        <v>0.51</v>
      </c>
      <c r="G77" s="4">
        <v>30</v>
      </c>
      <c r="H77" s="4">
        <v>4.8</v>
      </c>
      <c r="I77" s="4"/>
      <c r="J77" s="4">
        <v>16.899999999999999</v>
      </c>
      <c r="K77" s="4"/>
      <c r="L77" s="4">
        <v>78</v>
      </c>
      <c r="M77" s="21">
        <f>1-AVERAGE(N77:R77)</f>
        <v>0.85853521290172874</v>
      </c>
      <c r="N77" s="20">
        <f>ABS($D$2-F77)/F77</f>
        <v>0.13725490196078444</v>
      </c>
      <c r="O77" s="20">
        <f>ABS($E$2-G77)/G77</f>
        <v>3.3333333333333333E-2</v>
      </c>
      <c r="P77" s="20">
        <f>ABS($F$2-H77)/H77</f>
        <v>0.29166666666666674</v>
      </c>
      <c r="Q77" s="20">
        <f>ABS($H$2-J77)/J77</f>
        <v>0.21301775147929003</v>
      </c>
      <c r="R77" s="20">
        <f>ABS($J$2-L77)/L77</f>
        <v>3.2051282051282048E-2</v>
      </c>
    </row>
    <row r="78" spans="1:18" ht="12.75" customHeight="1" x14ac:dyDescent="0.2">
      <c r="A78">
        <v>673</v>
      </c>
      <c r="B78" s="1" t="s">
        <v>539</v>
      </c>
      <c r="C78" s="1"/>
      <c r="D78" s="2"/>
      <c r="E78" s="6" t="s">
        <v>482</v>
      </c>
      <c r="F78" s="1">
        <v>0.84</v>
      </c>
      <c r="G78" s="4">
        <v>35</v>
      </c>
      <c r="H78" s="4">
        <v>5.8</v>
      </c>
      <c r="I78" s="4"/>
      <c r="J78" s="4">
        <v>20</v>
      </c>
      <c r="K78" s="4"/>
      <c r="L78" s="4"/>
      <c r="M78" s="21">
        <f>1-AVERAGE(N78:R78)</f>
        <v>0.85627052545155991</v>
      </c>
      <c r="N78" s="20">
        <f>ABS($D$2-F78)/F78</f>
        <v>0.30952380952380942</v>
      </c>
      <c r="O78" s="20">
        <f>ABS($E$2-G78)/G78</f>
        <v>0.17142857142857143</v>
      </c>
      <c r="P78" s="20">
        <f>ABS($F$2-H78)/H78</f>
        <v>6.8965517241379379E-2</v>
      </c>
      <c r="Q78" s="20">
        <f>ABS($H$2-J78)/J78</f>
        <v>2.5000000000000001E-2</v>
      </c>
      <c r="R78" s="20"/>
    </row>
    <row r="79" spans="1:18" ht="12.75" customHeight="1" x14ac:dyDescent="0.2">
      <c r="A79">
        <v>609</v>
      </c>
      <c r="B79" s="1" t="s">
        <v>490</v>
      </c>
      <c r="C79" s="1"/>
      <c r="D79" s="2">
        <v>10</v>
      </c>
      <c r="E79" s="1" t="s">
        <v>464</v>
      </c>
      <c r="F79" s="1">
        <v>0.44</v>
      </c>
      <c r="G79" s="1">
        <v>27</v>
      </c>
      <c r="H79" s="1">
        <v>5.6</v>
      </c>
      <c r="I79" s="1">
        <v>4</v>
      </c>
      <c r="J79" s="1">
        <v>19</v>
      </c>
      <c r="K79" s="1">
        <v>2.4</v>
      </c>
      <c r="L79" s="1"/>
      <c r="M79" s="21">
        <f>1-AVERAGE(N79:R79)</f>
        <v>0.85541347054504946</v>
      </c>
      <c r="N79" s="20">
        <f>ABS($D$2-F79)/F79</f>
        <v>0.31818181818181834</v>
      </c>
      <c r="O79" s="20">
        <f>ABS($E$2-G79)/G79</f>
        <v>7.407407407407407E-2</v>
      </c>
      <c r="P79" s="20">
        <f>ABS($F$2-H79)/H79</f>
        <v>0.10714285714285725</v>
      </c>
      <c r="Q79" s="20">
        <f>ABS($H$2-J79)/J79</f>
        <v>7.8947368421052627E-2</v>
      </c>
      <c r="R79" s="20"/>
    </row>
    <row r="80" spans="1:18" ht="12.75" customHeight="1" x14ac:dyDescent="0.2">
      <c r="A80">
        <v>752</v>
      </c>
      <c r="B80" s="1" t="s">
        <v>597</v>
      </c>
      <c r="C80" s="1"/>
      <c r="D80" s="2"/>
      <c r="E80" s="6" t="s">
        <v>482</v>
      </c>
      <c r="F80" s="1">
        <v>0.7</v>
      </c>
      <c r="G80" s="4">
        <v>30</v>
      </c>
      <c r="H80" s="4">
        <v>8.8000000000000007</v>
      </c>
      <c r="I80" s="4"/>
      <c r="J80" s="4">
        <v>19</v>
      </c>
      <c r="K80" s="4"/>
      <c r="L80" s="4"/>
      <c r="M80" s="21">
        <f>1-AVERAGE(N80:R80)</f>
        <v>0.85520904534062425</v>
      </c>
      <c r="N80" s="20">
        <f>ABS($D$2-F80)/F80</f>
        <v>0.17142857142857126</v>
      </c>
      <c r="O80" s="20">
        <f>ABS($E$2-G80)/G80</f>
        <v>3.3333333333333333E-2</v>
      </c>
      <c r="P80" s="20">
        <f>ABS($F$2-H80)/H80</f>
        <v>0.29545454545454547</v>
      </c>
      <c r="Q80" s="20">
        <f>ABS($H$2-J80)/J80</f>
        <v>7.8947368421052627E-2</v>
      </c>
      <c r="R80" s="20"/>
    </row>
    <row r="81" spans="1:18" ht="12.75" customHeight="1" x14ac:dyDescent="0.2">
      <c r="A81">
        <v>594</v>
      </c>
      <c r="B81" s="9" t="s">
        <v>486</v>
      </c>
      <c r="C81" s="1"/>
      <c r="D81" s="2"/>
      <c r="E81" s="1" t="s">
        <v>466</v>
      </c>
      <c r="F81" s="1">
        <v>0.49</v>
      </c>
      <c r="G81" s="4">
        <v>30.6</v>
      </c>
      <c r="H81" s="4">
        <v>6.6</v>
      </c>
      <c r="I81" s="4">
        <v>4.7</v>
      </c>
      <c r="J81" s="4">
        <v>14.4</v>
      </c>
      <c r="K81" s="4">
        <v>3.4</v>
      </c>
      <c r="L81" s="4">
        <v>76</v>
      </c>
      <c r="M81" s="21">
        <f>1-AVERAGE(N81:R81)</f>
        <v>0.85464856596546113</v>
      </c>
      <c r="N81" s="20">
        <f>ABS($D$2-F81)/F81</f>
        <v>0.18367346938775528</v>
      </c>
      <c r="O81" s="20">
        <f>ABS($E$2-G81)/G81</f>
        <v>5.2287581699346448E-2</v>
      </c>
      <c r="P81" s="20">
        <f>ABS($F$2-H81)/H81</f>
        <v>6.0606060606060531E-2</v>
      </c>
      <c r="Q81" s="20">
        <f>ABS($H$2-J81)/J81</f>
        <v>0.42361111111111105</v>
      </c>
      <c r="R81" s="20">
        <f>ABS($J$2-L81)/L81</f>
        <v>6.5789473684210523E-3</v>
      </c>
    </row>
    <row r="82" spans="1:18" ht="12.75" customHeight="1" x14ac:dyDescent="0.2">
      <c r="A82">
        <v>698</v>
      </c>
      <c r="B82" s="1" t="s">
        <v>559</v>
      </c>
      <c r="C82" s="1"/>
      <c r="D82" s="2"/>
      <c r="E82" s="6" t="s">
        <v>482</v>
      </c>
      <c r="F82" s="1">
        <f>(0.6+0.7)/2</f>
        <v>0.64999999999999991</v>
      </c>
      <c r="G82" s="4">
        <v>30</v>
      </c>
      <c r="H82" s="4">
        <v>5.6</v>
      </c>
      <c r="I82" s="4"/>
      <c r="J82" s="4">
        <v>31</v>
      </c>
      <c r="K82" s="4"/>
      <c r="L82" s="4"/>
      <c r="M82" s="21">
        <f>1-AVERAGE(N82:R82)</f>
        <v>0.85328045610303671</v>
      </c>
      <c r="N82" s="20">
        <f>ABS($D$2-F82)/F82</f>
        <v>0.10769230769230746</v>
      </c>
      <c r="O82" s="20">
        <f>ABS($E$2-G82)/G82</f>
        <v>3.3333333333333333E-2</v>
      </c>
      <c r="P82" s="20">
        <f>ABS($F$2-H82)/H82</f>
        <v>0.10714285714285725</v>
      </c>
      <c r="Q82" s="20">
        <f>ABS($H$2-J82)/J82</f>
        <v>0.33870967741935482</v>
      </c>
      <c r="R82" s="20"/>
    </row>
    <row r="83" spans="1:18" ht="12.75" customHeight="1" x14ac:dyDescent="0.2">
      <c r="A83">
        <v>599</v>
      </c>
      <c r="B83" s="1" t="s">
        <v>487</v>
      </c>
      <c r="C83" s="1"/>
      <c r="D83" s="2">
        <v>8</v>
      </c>
      <c r="E83" s="1" t="s">
        <v>464</v>
      </c>
      <c r="F83" s="1">
        <f>(0.4+0.54)/2</f>
        <v>0.47000000000000003</v>
      </c>
      <c r="G83" s="1">
        <f>(29+34)/2</f>
        <v>31.5</v>
      </c>
      <c r="H83" s="1">
        <v>5.2</v>
      </c>
      <c r="I83" s="1">
        <v>4</v>
      </c>
      <c r="J83" s="1">
        <f>(19+26)/2</f>
        <v>22.5</v>
      </c>
      <c r="K83" s="1">
        <f>(1.9+2.2)/2</f>
        <v>2.0499999999999998</v>
      </c>
      <c r="L83" s="4"/>
      <c r="M83" s="21">
        <f>1-AVERAGE(N83:R83)</f>
        <v>0.85134894656171256</v>
      </c>
      <c r="N83" s="20">
        <f>ABS($D$2-F83)/F83</f>
        <v>0.23404255319148945</v>
      </c>
      <c r="O83" s="20">
        <f>ABS($E$2-G83)/G83</f>
        <v>7.9365079365079361E-2</v>
      </c>
      <c r="P83" s="20">
        <f>ABS($F$2-H83)/H83</f>
        <v>0.19230769230769229</v>
      </c>
      <c r="Q83" s="20">
        <f>ABS($H$2-J83)/J83</f>
        <v>8.8888888888888892E-2</v>
      </c>
      <c r="R83" s="20"/>
    </row>
    <row r="84" spans="1:18" ht="12.75" customHeight="1" x14ac:dyDescent="0.2">
      <c r="A84">
        <v>587</v>
      </c>
      <c r="B84" s="1" t="s">
        <v>484</v>
      </c>
      <c r="C84" s="1"/>
      <c r="D84" s="2"/>
      <c r="E84" s="1" t="s">
        <v>466</v>
      </c>
      <c r="F84" s="1">
        <v>0.47</v>
      </c>
      <c r="G84" s="4">
        <v>27.6</v>
      </c>
      <c r="H84" s="4">
        <v>5.4</v>
      </c>
      <c r="I84" s="4">
        <v>3.5</v>
      </c>
      <c r="J84" s="4">
        <v>16.2</v>
      </c>
      <c r="K84" s="4">
        <v>2.9</v>
      </c>
      <c r="L84" s="4">
        <v>72</v>
      </c>
      <c r="M84" s="21">
        <f>1-AVERAGE(N84:R84)</f>
        <v>0.85060829022053186</v>
      </c>
      <c r="N84" s="20">
        <f>ABS($D$2-F84)/F84</f>
        <v>0.23404255319148959</v>
      </c>
      <c r="O84" s="20">
        <f>ABS($E$2-G84)/G84</f>
        <v>5.0724637681159368E-2</v>
      </c>
      <c r="P84" s="20">
        <f>ABS($F$2-H84)/H84</f>
        <v>0.14814814814814811</v>
      </c>
      <c r="Q84" s="20">
        <f>ABS($H$2-J84)/J84</f>
        <v>0.26543209876543217</v>
      </c>
      <c r="R84" s="20">
        <f>ABS($J$2-L84)/L84</f>
        <v>4.8611111111111112E-2</v>
      </c>
    </row>
    <row r="85" spans="1:18" ht="12.75" customHeight="1" x14ac:dyDescent="0.2">
      <c r="A85">
        <v>533</v>
      </c>
      <c r="B85" s="9" t="s">
        <v>70</v>
      </c>
      <c r="C85" s="9"/>
      <c r="D85" s="11">
        <v>10</v>
      </c>
      <c r="E85" s="6" t="s">
        <v>463</v>
      </c>
      <c r="F85" s="1">
        <v>0.5</v>
      </c>
      <c r="G85" s="4">
        <v>23</v>
      </c>
      <c r="H85" s="4">
        <v>5</v>
      </c>
      <c r="I85" s="4">
        <v>4</v>
      </c>
      <c r="J85" s="4">
        <v>19</v>
      </c>
      <c r="K85" s="4">
        <v>2.4</v>
      </c>
      <c r="L85" s="4">
        <v>77</v>
      </c>
      <c r="M85" s="21">
        <f>1-AVERAGE(N85:R85)</f>
        <v>0.84814050937620733</v>
      </c>
      <c r="N85" s="20">
        <f>ABS($D$2-F85)/F85</f>
        <v>0.16000000000000014</v>
      </c>
      <c r="O85" s="20">
        <f>ABS($E$2-G85)/G85</f>
        <v>0.2608695652173913</v>
      </c>
      <c r="P85" s="20">
        <f>ABS($F$2-H85)/H85</f>
        <v>0.24000000000000005</v>
      </c>
      <c r="Q85" s="20">
        <f>ABS($H$2-J85)/J85</f>
        <v>7.8947368421052627E-2</v>
      </c>
      <c r="R85" s="20">
        <f>ABS($J$2-L85)/L85</f>
        <v>1.948051948051948E-2</v>
      </c>
    </row>
    <row r="86" spans="1:18" ht="12.75" customHeight="1" x14ac:dyDescent="0.2">
      <c r="A86">
        <v>582</v>
      </c>
      <c r="B86" s="1" t="s">
        <v>481</v>
      </c>
      <c r="C86" s="1"/>
      <c r="D86" s="2"/>
      <c r="E86" s="1" t="s">
        <v>463</v>
      </c>
      <c r="F86" s="1">
        <f>(0.32+0.6)/2</f>
        <v>0.45999999999999996</v>
      </c>
      <c r="G86" s="4">
        <v>21</v>
      </c>
      <c r="H86" s="4">
        <v>6.1</v>
      </c>
      <c r="I86" s="4">
        <v>5.2</v>
      </c>
      <c r="J86" s="4">
        <v>20</v>
      </c>
      <c r="K86" s="4">
        <v>2.5</v>
      </c>
      <c r="L86" s="4">
        <v>83</v>
      </c>
      <c r="M86" s="21">
        <f>1-AVERAGE(N86:R86)</f>
        <v>0.84528463308482882</v>
      </c>
      <c r="N86" s="20">
        <f>ABS($D$2-F86)/F86</f>
        <v>0.26086956521739157</v>
      </c>
      <c r="O86" s="20">
        <f>ABS($E$2-G86)/G86</f>
        <v>0.38095238095238093</v>
      </c>
      <c r="P86" s="20">
        <f>ABS($F$2-H86)/H86</f>
        <v>1.6393442622950907E-2</v>
      </c>
      <c r="Q86" s="20">
        <f>ABS($H$2-J86)/J86</f>
        <v>2.5000000000000001E-2</v>
      </c>
      <c r="R86" s="20">
        <f>ABS($J$2-L86)/L86</f>
        <v>9.036144578313253E-2</v>
      </c>
    </row>
    <row r="87" spans="1:18" ht="12.75" customHeight="1" x14ac:dyDescent="0.2">
      <c r="A87">
        <v>611</v>
      </c>
      <c r="B87" s="1" t="s">
        <v>491</v>
      </c>
      <c r="C87" s="1"/>
      <c r="D87" s="2"/>
      <c r="E87" s="1" t="s">
        <v>463</v>
      </c>
      <c r="F87" s="1">
        <f>(0.42+0.57)/2</f>
        <v>0.495</v>
      </c>
      <c r="G87" s="1">
        <f>(20+27)/2</f>
        <v>23.5</v>
      </c>
      <c r="H87" s="1">
        <f>(5.2+7.1)/2</f>
        <v>6.15</v>
      </c>
      <c r="I87" s="1"/>
      <c r="J87" s="1">
        <f>(12+18)/2</f>
        <v>15</v>
      </c>
      <c r="K87" s="1"/>
      <c r="L87" s="1">
        <f>(73+77)/2</f>
        <v>75</v>
      </c>
      <c r="M87" s="21">
        <f>1-AVERAGE(N87:R87)</f>
        <v>0.84255537209143849</v>
      </c>
      <c r="N87" s="20">
        <f>ABS($D$2-F87)/F87</f>
        <v>0.17171717171717188</v>
      </c>
      <c r="O87" s="20">
        <f>ABS($E$2-G87)/G87</f>
        <v>0.23404255319148937</v>
      </c>
      <c r="P87" s="20">
        <f>ABS($F$2-H87)/H87</f>
        <v>8.1300813008129795E-3</v>
      </c>
      <c r="Q87" s="20">
        <f>ABS($H$2-J87)/J87</f>
        <v>0.36666666666666664</v>
      </c>
      <c r="R87" s="20">
        <f>ABS($J$2-L87)/L87</f>
        <v>6.6666666666666671E-3</v>
      </c>
    </row>
    <row r="88" spans="1:18" ht="12.75" customHeight="1" x14ac:dyDescent="0.2">
      <c r="A88">
        <v>591</v>
      </c>
      <c r="B88" s="9" t="s">
        <v>485</v>
      </c>
      <c r="C88" s="1"/>
      <c r="D88" s="2">
        <v>14</v>
      </c>
      <c r="E88" s="1" t="s">
        <v>463</v>
      </c>
      <c r="F88" s="1">
        <v>0.54</v>
      </c>
      <c r="G88" s="4">
        <v>24</v>
      </c>
      <c r="H88" s="4">
        <v>4.3</v>
      </c>
      <c r="I88" s="4"/>
      <c r="J88" s="4">
        <v>19.399999999999999</v>
      </c>
      <c r="K88" s="4">
        <v>1.4</v>
      </c>
      <c r="L88" s="4">
        <v>77</v>
      </c>
      <c r="M88" s="21">
        <f>1-AVERAGE(N88:R88)</f>
        <v>0.83991011541359173</v>
      </c>
      <c r="N88" s="20">
        <f>ABS($D$2-F88)/F88</f>
        <v>7.4074074074074139E-2</v>
      </c>
      <c r="O88" s="20">
        <f>ABS($E$2-G88)/G88</f>
        <v>0.20833333333333334</v>
      </c>
      <c r="P88" s="20">
        <f>ABS($F$2-H88)/H88</f>
        <v>0.44186046511627919</v>
      </c>
      <c r="Q88" s="20">
        <f>ABS($H$2-J88)/J88</f>
        <v>5.6701030927835128E-2</v>
      </c>
      <c r="R88" s="20">
        <f>ABS($J$2-L88)/L88</f>
        <v>1.948051948051948E-2</v>
      </c>
    </row>
    <row r="89" spans="1:18" ht="12.75" customHeight="1" x14ac:dyDescent="0.2">
      <c r="A89">
        <v>620</v>
      </c>
      <c r="B89" s="1" t="s">
        <v>492</v>
      </c>
      <c r="C89" s="1"/>
      <c r="D89" s="2">
        <v>1</v>
      </c>
      <c r="E89" s="1" t="s">
        <v>464</v>
      </c>
      <c r="F89" s="1">
        <v>0.47</v>
      </c>
      <c r="G89" s="4">
        <v>32.200000000000003</v>
      </c>
      <c r="H89" s="4">
        <v>7.9</v>
      </c>
      <c r="I89" s="4"/>
      <c r="J89" s="4">
        <v>18.600000000000001</v>
      </c>
      <c r="K89" s="4">
        <v>2</v>
      </c>
      <c r="L89" s="4"/>
      <c r="M89" s="21">
        <f>1-AVERAGE(N89:R89)</f>
        <v>0.83730953844220068</v>
      </c>
      <c r="N89" s="20">
        <f>ABS($D$2-F89)/F89</f>
        <v>0.23404255319148959</v>
      </c>
      <c r="O89" s="20">
        <f>ABS($E$2-G89)/G89</f>
        <v>9.9378881987577716E-2</v>
      </c>
      <c r="P89" s="20">
        <f>ABS($F$2-H89)/H89</f>
        <v>0.21518987341772153</v>
      </c>
      <c r="Q89" s="20">
        <f>ABS($H$2-J89)/J89</f>
        <v>0.10215053763440851</v>
      </c>
      <c r="R89" s="20"/>
    </row>
    <row r="90" spans="1:18" ht="12.75" customHeight="1" x14ac:dyDescent="0.2">
      <c r="A90">
        <v>648</v>
      </c>
      <c r="B90" s="6" t="s">
        <v>520</v>
      </c>
      <c r="C90" s="6"/>
      <c r="D90" s="7"/>
      <c r="E90" s="6" t="s">
        <v>495</v>
      </c>
      <c r="F90" s="1">
        <v>0.64</v>
      </c>
      <c r="G90" s="4">
        <v>31</v>
      </c>
      <c r="H90" s="4">
        <v>6.2</v>
      </c>
      <c r="I90" s="4"/>
      <c r="J90" s="4">
        <v>13</v>
      </c>
      <c r="K90" s="4"/>
      <c r="L90" s="4">
        <v>82</v>
      </c>
      <c r="M90" s="21">
        <f>1-AVERAGE(N90:R90)</f>
        <v>0.83710850027234773</v>
      </c>
      <c r="N90" s="20">
        <f>ABS($D$2-F90)/F90</f>
        <v>9.3749999999999903E-2</v>
      </c>
      <c r="O90" s="20">
        <f>ABS($E$2-G90)/G90</f>
        <v>6.4516129032258063E-2</v>
      </c>
      <c r="P90" s="20">
        <f>ABS($F$2-H90)/H90</f>
        <v>0</v>
      </c>
      <c r="Q90" s="20">
        <f>ABS($H$2-J90)/J90</f>
        <v>0.57692307692307687</v>
      </c>
      <c r="R90" s="20">
        <f>ABS($J$2-L90)/L90</f>
        <v>7.926829268292683E-2</v>
      </c>
    </row>
    <row r="91" spans="1:18" ht="12.75" customHeight="1" x14ac:dyDescent="0.2">
      <c r="A91">
        <v>585</v>
      </c>
      <c r="B91" s="1" t="s">
        <v>483</v>
      </c>
      <c r="C91" s="1"/>
      <c r="D91" s="2"/>
      <c r="E91" s="1" t="s">
        <v>466</v>
      </c>
      <c r="F91" s="1">
        <v>0.76</v>
      </c>
      <c r="G91" s="4">
        <v>34</v>
      </c>
      <c r="H91" s="4">
        <v>8.3000000000000007</v>
      </c>
      <c r="I91" s="4">
        <v>5.8</v>
      </c>
      <c r="J91" s="4">
        <v>24</v>
      </c>
      <c r="K91" s="4">
        <v>2.5</v>
      </c>
      <c r="L91" s="4">
        <v>78</v>
      </c>
      <c r="M91" s="21">
        <f>1-AVERAGE(N91:R91)</f>
        <v>0.83704048152600885</v>
      </c>
      <c r="N91" s="20">
        <f>ABS($D$2-F91)/F91</f>
        <v>0.2368421052631578</v>
      </c>
      <c r="O91" s="20">
        <f>ABS($E$2-G91)/G91</f>
        <v>0.14705882352941177</v>
      </c>
      <c r="P91" s="20">
        <f>ABS($F$2-H91)/H91</f>
        <v>0.25301204819277112</v>
      </c>
      <c r="Q91" s="20">
        <f>ABS($H$2-J91)/J91</f>
        <v>0.14583333333333334</v>
      </c>
      <c r="R91" s="20">
        <f>ABS($J$2-L91)/L91</f>
        <v>3.2051282051282048E-2</v>
      </c>
    </row>
    <row r="92" spans="1:18" ht="12.75" customHeight="1" x14ac:dyDescent="0.2">
      <c r="A92">
        <v>590</v>
      </c>
      <c r="B92" s="9" t="s">
        <v>485</v>
      </c>
      <c r="C92" s="1"/>
      <c r="D92" s="2">
        <v>7</v>
      </c>
      <c r="E92" s="1" t="s">
        <v>463</v>
      </c>
      <c r="F92" s="1">
        <f>(0.44+0.49)/2</f>
        <v>0.46499999999999997</v>
      </c>
      <c r="G92" s="1">
        <f>(20+25)/2</f>
        <v>22.5</v>
      </c>
      <c r="H92" s="1">
        <f>(8.1+8.8)/2</f>
        <v>8.4499999999999993</v>
      </c>
      <c r="I92" s="1"/>
      <c r="J92" s="1">
        <f>(18+22.7)/2</f>
        <v>20.350000000000001</v>
      </c>
      <c r="K92" s="1"/>
      <c r="L92" s="1">
        <f>(75+77)/2</f>
        <v>76</v>
      </c>
      <c r="M92" s="21">
        <f>1-AVERAGE(N92:R92)</f>
        <v>0.83671542781311614</v>
      </c>
      <c r="N92" s="20">
        <f>ABS($D$2-F92)/F92</f>
        <v>0.24731182795698947</v>
      </c>
      <c r="O92" s="20">
        <f>ABS($E$2-G92)/G92</f>
        <v>0.28888888888888886</v>
      </c>
      <c r="P92" s="20">
        <f>ABS($F$2-H92)/H92</f>
        <v>0.26627218934911234</v>
      </c>
      <c r="Q92" s="20">
        <f>ABS($H$2-J92)/J92</f>
        <v>7.371007371007301E-3</v>
      </c>
      <c r="R92" s="20">
        <f>ABS($J$2-L92)/L92</f>
        <v>6.5789473684210523E-3</v>
      </c>
    </row>
    <row r="93" spans="1:18" ht="12.75" customHeight="1" x14ac:dyDescent="0.2">
      <c r="A93">
        <v>112</v>
      </c>
      <c r="B93" s="1" t="s">
        <v>107</v>
      </c>
      <c r="C93" s="1"/>
      <c r="D93" s="2"/>
      <c r="E93" s="6" t="s">
        <v>41</v>
      </c>
      <c r="F93" s="3">
        <f>(0.75+0.77)/2</f>
        <v>0.76</v>
      </c>
      <c r="G93" s="3">
        <f>(28.4+31)/2</f>
        <v>29.7</v>
      </c>
      <c r="H93" s="3">
        <f>(5+6)/2</f>
        <v>5.5</v>
      </c>
      <c r="I93" s="3"/>
      <c r="J93" s="3">
        <f>(25+31)/2</f>
        <v>28</v>
      </c>
      <c r="K93" s="3"/>
      <c r="L93" s="3"/>
      <c r="M93" s="21">
        <f>1-AVERAGE(N93:R93)</f>
        <v>0.83611475025948712</v>
      </c>
      <c r="N93" s="20">
        <f>ABS($D$2-F93)/F93</f>
        <v>0.2368421052631578</v>
      </c>
      <c r="O93" s="20">
        <f>ABS($E$2-G93)/G93</f>
        <v>2.3569023569023545E-2</v>
      </c>
      <c r="P93" s="20">
        <f>ABS($F$2-H93)/H93</f>
        <v>0.12727272727272732</v>
      </c>
      <c r="Q93" s="20">
        <f>ABS($H$2-J93)/J93</f>
        <v>0.26785714285714285</v>
      </c>
      <c r="R93" s="20"/>
    </row>
    <row r="94" spans="1:18" ht="12.75" customHeight="1" x14ac:dyDescent="0.2">
      <c r="A94">
        <v>757</v>
      </c>
      <c r="B94" s="1" t="s">
        <v>47</v>
      </c>
      <c r="C94" s="1"/>
      <c r="D94" s="2"/>
      <c r="E94" s="6" t="s">
        <v>495</v>
      </c>
      <c r="F94" s="1">
        <v>0.75</v>
      </c>
      <c r="G94" s="4">
        <v>31</v>
      </c>
      <c r="H94" s="4">
        <v>5.7</v>
      </c>
      <c r="I94" s="4"/>
      <c r="J94" s="4">
        <v>18</v>
      </c>
      <c r="K94" s="4"/>
      <c r="L94" s="4">
        <v>58</v>
      </c>
      <c r="M94" s="21">
        <f>1-AVERAGE(N94:R94)</f>
        <v>0.83609697584710763</v>
      </c>
      <c r="N94" s="20">
        <f>ABS($D$2-F94)/F94</f>
        <v>0.22666666666666657</v>
      </c>
      <c r="O94" s="20">
        <f>ABS($E$2-G94)/G94</f>
        <v>6.4516129032258063E-2</v>
      </c>
      <c r="P94" s="20">
        <f>ABS($F$2-H94)/H94</f>
        <v>8.771929824561403E-2</v>
      </c>
      <c r="Q94" s="20">
        <f>ABS($H$2-J94)/J94</f>
        <v>0.1388888888888889</v>
      </c>
      <c r="R94" s="20">
        <f>ABS($J$2-L94)/L94</f>
        <v>0.30172413793103448</v>
      </c>
    </row>
    <row r="95" spans="1:18" ht="12.75" customHeight="1" x14ac:dyDescent="0.2">
      <c r="A95">
        <v>596</v>
      </c>
      <c r="B95" s="9" t="s">
        <v>486</v>
      </c>
      <c r="C95" s="1"/>
      <c r="D95" s="2">
        <v>15</v>
      </c>
      <c r="E95" s="1" t="s">
        <v>464</v>
      </c>
      <c r="F95" s="1">
        <v>0.45</v>
      </c>
      <c r="G95" s="4">
        <v>28.7</v>
      </c>
      <c r="H95" s="4">
        <v>6.2</v>
      </c>
      <c r="I95" s="4">
        <v>4.0999999999999996</v>
      </c>
      <c r="J95" s="4">
        <v>15</v>
      </c>
      <c r="K95" s="4">
        <v>2.6</v>
      </c>
      <c r="M95" s="21">
        <f>1-AVERAGE(N95:R95)</f>
        <v>0.83349787069299264</v>
      </c>
      <c r="N95" s="20">
        <f>ABS($D$2-F95)/F95</f>
        <v>0.28888888888888903</v>
      </c>
      <c r="O95" s="20">
        <f>ABS($E$2-G95)/G95</f>
        <v>1.0452961672473893E-2</v>
      </c>
      <c r="P95" s="20">
        <f>ABS($F$2-H95)/H95</f>
        <v>0</v>
      </c>
      <c r="Q95" s="20">
        <f>ABS($H$2-J95)/J95</f>
        <v>0.36666666666666664</v>
      </c>
      <c r="R95" s="20"/>
    </row>
    <row r="96" spans="1:18" ht="12.75" customHeight="1" x14ac:dyDescent="0.2">
      <c r="A96">
        <v>286</v>
      </c>
      <c r="B96" s="9" t="s">
        <v>229</v>
      </c>
      <c r="E96" s="6" t="s">
        <v>41</v>
      </c>
      <c r="F96" s="3">
        <v>0.63</v>
      </c>
      <c r="G96" s="3">
        <v>32</v>
      </c>
      <c r="H96" s="3">
        <v>4.8</v>
      </c>
      <c r="I96" s="3"/>
      <c r="J96" s="3">
        <v>17</v>
      </c>
      <c r="K96" s="3"/>
      <c r="L96" s="3"/>
      <c r="M96" s="21">
        <f>1-AVERAGE(N96:R96)</f>
        <v>0.83233397525676933</v>
      </c>
      <c r="N96" s="20">
        <f>ABS($D$2-F96)/F96</f>
        <v>7.9365079365079264E-2</v>
      </c>
      <c r="O96" s="20">
        <f>ABS($E$2-G96)/G96</f>
        <v>9.375E-2</v>
      </c>
      <c r="P96" s="20">
        <f>ABS($F$2-H96)/H96</f>
        <v>0.29166666666666674</v>
      </c>
      <c r="Q96" s="20">
        <f>ABS($H$2-J96)/J96</f>
        <v>0.20588235294117646</v>
      </c>
      <c r="R96" s="20"/>
    </row>
    <row r="97" spans="1:18" ht="12.75" customHeight="1" x14ac:dyDescent="0.2">
      <c r="A97">
        <v>558</v>
      </c>
      <c r="B97" s="9" t="s">
        <v>476</v>
      </c>
      <c r="C97" s="9"/>
      <c r="D97" s="11">
        <v>20</v>
      </c>
      <c r="E97" s="9" t="s">
        <v>463</v>
      </c>
      <c r="F97" s="1">
        <v>0.69</v>
      </c>
      <c r="G97" s="4">
        <v>28</v>
      </c>
      <c r="H97" s="4">
        <v>7.7</v>
      </c>
      <c r="I97" s="4"/>
      <c r="J97" s="4">
        <v>14.3</v>
      </c>
      <c r="K97" s="4"/>
      <c r="L97" s="4">
        <v>77</v>
      </c>
      <c r="M97" s="21">
        <f>1-AVERAGE(N97:R97)</f>
        <v>0.83140265531569879</v>
      </c>
      <c r="N97" s="20">
        <f>ABS($D$2-F97)/F97</f>
        <v>0.15942028985507228</v>
      </c>
      <c r="O97" s="20">
        <f>ABS($E$2-G97)/G97</f>
        <v>3.5714285714285712E-2</v>
      </c>
      <c r="P97" s="20">
        <f>ABS($F$2-H97)/H97</f>
        <v>0.19480519480519481</v>
      </c>
      <c r="Q97" s="20">
        <f>ABS($H$2-J97)/J97</f>
        <v>0.43356643356643348</v>
      </c>
      <c r="R97" s="20">
        <f>ABS($J$2-L97)/L97</f>
        <v>1.948051948051948E-2</v>
      </c>
    </row>
    <row r="98" spans="1:18" ht="12.75" customHeight="1" x14ac:dyDescent="0.2">
      <c r="A98">
        <v>104</v>
      </c>
      <c r="B98" s="1" t="s">
        <v>104</v>
      </c>
      <c r="C98" s="1"/>
      <c r="D98" s="2"/>
      <c r="E98" s="6" t="s">
        <v>40</v>
      </c>
      <c r="F98" s="3">
        <f>(0.5+0.6)/2</f>
        <v>0.55000000000000004</v>
      </c>
      <c r="G98" s="3">
        <f>(33+36)/2</f>
        <v>34.5</v>
      </c>
      <c r="H98" s="3">
        <f>(4.4+4.6)/2</f>
        <v>4.5</v>
      </c>
      <c r="I98" s="3"/>
      <c r="J98" s="3">
        <f>(18+19)/2</f>
        <v>18.5</v>
      </c>
      <c r="K98" s="3"/>
      <c r="L98" s="3">
        <f>(87+90)/2</f>
        <v>88.5</v>
      </c>
      <c r="M98" s="21">
        <f>1-AVERAGE(N98:R98)</f>
        <v>0.83065114286927111</v>
      </c>
      <c r="N98" s="20">
        <f>ABS($D$2-F98)/F98</f>
        <v>5.4545454545454591E-2</v>
      </c>
      <c r="O98" s="20">
        <f>ABS($E$2-G98)/G98</f>
        <v>0.15942028985507245</v>
      </c>
      <c r="P98" s="20">
        <f>ABS($F$2-H98)/H98</f>
        <v>0.37777777777777782</v>
      </c>
      <c r="Q98" s="20">
        <f>ABS($H$2-J98)/J98</f>
        <v>0.10810810810810811</v>
      </c>
      <c r="R98" s="20">
        <f>ABS($J$2-L98)/L98</f>
        <v>0.14689265536723164</v>
      </c>
    </row>
    <row r="99" spans="1:18" ht="12.75" customHeight="1" x14ac:dyDescent="0.2">
      <c r="A99">
        <v>749</v>
      </c>
      <c r="B99" s="1" t="s">
        <v>597</v>
      </c>
      <c r="C99" s="1"/>
      <c r="D99" s="2"/>
      <c r="E99" s="6" t="s">
        <v>495</v>
      </c>
      <c r="F99" s="1">
        <v>0.46</v>
      </c>
      <c r="G99" s="4">
        <v>26</v>
      </c>
      <c r="H99" s="4">
        <v>6.4</v>
      </c>
      <c r="I99" s="4"/>
      <c r="J99" s="4">
        <v>15</v>
      </c>
      <c r="K99" s="4"/>
      <c r="L99" s="4">
        <v>70</v>
      </c>
      <c r="M99" s="21">
        <f>1-AVERAGE(N99:R99)</f>
        <v>0.82945154483197958</v>
      </c>
      <c r="N99" s="20">
        <f>ABS($D$2-F99)/F99</f>
        <v>0.26086956521739141</v>
      </c>
      <c r="O99" s="20">
        <f>ABS($E$2-G99)/G99</f>
        <v>0.11538461538461539</v>
      </c>
      <c r="P99" s="20">
        <f>ABS($F$2-H99)/H99</f>
        <v>3.1250000000000028E-2</v>
      </c>
      <c r="Q99" s="20">
        <f>ABS($H$2-J99)/J99</f>
        <v>0.36666666666666664</v>
      </c>
      <c r="R99" s="20">
        <f>ABS($J$2-L99)/L99</f>
        <v>7.857142857142857E-2</v>
      </c>
    </row>
    <row r="100" spans="1:18" ht="12.75" customHeight="1" x14ac:dyDescent="0.2">
      <c r="A100">
        <v>756</v>
      </c>
      <c r="B100" s="1" t="s">
        <v>601</v>
      </c>
      <c r="C100" s="1"/>
      <c r="D100" s="2"/>
      <c r="E100" s="6" t="s">
        <v>495</v>
      </c>
      <c r="F100" s="1">
        <f>(0.7+1)/2</f>
        <v>0.85</v>
      </c>
      <c r="G100" s="4">
        <f>(24+28)/2</f>
        <v>26</v>
      </c>
      <c r="H100" s="4">
        <f>(4.3+5.6)/2</f>
        <v>4.9499999999999993</v>
      </c>
      <c r="I100" s="4"/>
      <c r="J100" s="4">
        <f>(23+26)/2</f>
        <v>24.5</v>
      </c>
      <c r="K100" s="4"/>
      <c r="L100" s="4">
        <v>76</v>
      </c>
      <c r="M100" s="21">
        <f>1-AVERAGE(N100:R100)</f>
        <v>0.82891976395514655</v>
      </c>
      <c r="N100" s="20">
        <f>ABS($D$2-F100)/F100</f>
        <v>0.31764705882352934</v>
      </c>
      <c r="O100" s="20">
        <f>ABS($E$2-G100)/G100</f>
        <v>0.11538461538461539</v>
      </c>
      <c r="P100" s="20">
        <f>ABS($F$2-H100)/H100</f>
        <v>0.25252525252525276</v>
      </c>
      <c r="Q100" s="20">
        <f>ABS($H$2-J100)/J100</f>
        <v>0.16326530612244897</v>
      </c>
      <c r="R100" s="20">
        <f>ABS($J$2-L100)/L100</f>
        <v>6.5789473684210523E-3</v>
      </c>
    </row>
    <row r="101" spans="1:18" ht="12.75" customHeight="1" x14ac:dyDescent="0.2">
      <c r="A101">
        <v>86</v>
      </c>
      <c r="B101" s="1" t="s">
        <v>94</v>
      </c>
      <c r="C101" s="1"/>
      <c r="D101" s="2"/>
      <c r="E101" s="6" t="s">
        <v>40</v>
      </c>
      <c r="F101" s="3">
        <v>0.9</v>
      </c>
      <c r="G101" s="3">
        <v>33</v>
      </c>
      <c r="H101" s="3">
        <v>6.2</v>
      </c>
      <c r="I101" s="3"/>
      <c r="J101" s="3">
        <v>15.5</v>
      </c>
      <c r="K101" s="3"/>
      <c r="L101" s="3">
        <v>80</v>
      </c>
      <c r="M101" s="21">
        <f>1-AVERAGE(N101:R101)</f>
        <v>0.8288803356142066</v>
      </c>
      <c r="N101" s="20">
        <f>ABS($D$2-F101)/F101</f>
        <v>0.35555555555555551</v>
      </c>
      <c r="O101" s="20">
        <f>ABS($E$2-G101)/G101</f>
        <v>0.12121212121212122</v>
      </c>
      <c r="P101" s="20">
        <f>ABS($F$2-H101)/H101</f>
        <v>0</v>
      </c>
      <c r="Q101" s="20">
        <f>ABS($H$2-J101)/J101</f>
        <v>0.32258064516129031</v>
      </c>
      <c r="R101" s="20">
        <f>ABS($J$2-L101)/L101</f>
        <v>5.6250000000000001E-2</v>
      </c>
    </row>
    <row r="102" spans="1:18" ht="12.75" customHeight="1" x14ac:dyDescent="0.2">
      <c r="A102">
        <v>588</v>
      </c>
      <c r="B102" s="1" t="s">
        <v>484</v>
      </c>
      <c r="C102" s="1"/>
      <c r="D102" s="2"/>
      <c r="E102" s="1" t="s">
        <v>463</v>
      </c>
      <c r="F102" s="1">
        <v>0.5</v>
      </c>
      <c r="G102" s="4">
        <v>24</v>
      </c>
      <c r="H102" s="4">
        <v>5.9</v>
      </c>
      <c r="I102" s="4">
        <v>3.4</v>
      </c>
      <c r="J102" s="4">
        <v>14.5</v>
      </c>
      <c r="K102" s="4">
        <v>2.7</v>
      </c>
      <c r="L102" s="4">
        <v>73</v>
      </c>
      <c r="M102" s="21">
        <f>1-AVERAGE(N102:R102)</f>
        <v>0.82655590604976126</v>
      </c>
      <c r="N102" s="20">
        <f>ABS($D$2-F102)/F102</f>
        <v>0.16000000000000014</v>
      </c>
      <c r="O102" s="20">
        <f>ABS($E$2-G102)/G102</f>
        <v>0.20833333333333334</v>
      </c>
      <c r="P102" s="20">
        <f>ABS($F$2-H102)/H102</f>
        <v>5.0847457627118613E-2</v>
      </c>
      <c r="Q102" s="20">
        <f>ABS($H$2-J102)/J102</f>
        <v>0.41379310344827586</v>
      </c>
      <c r="R102" s="20">
        <f>ABS($J$2-L102)/L102</f>
        <v>3.4246575342465752E-2</v>
      </c>
    </row>
    <row r="103" spans="1:18" ht="12.75" customHeight="1" x14ac:dyDescent="0.2">
      <c r="A103">
        <v>111</v>
      </c>
      <c r="B103" s="1" t="s">
        <v>107</v>
      </c>
      <c r="C103" s="1"/>
      <c r="D103" s="2"/>
      <c r="E103" s="6" t="s">
        <v>40</v>
      </c>
      <c r="F103" s="3">
        <f>(0.8+0.85)/2</f>
        <v>0.82499999999999996</v>
      </c>
      <c r="G103" s="3">
        <f>(28+29)/2</f>
        <v>28.5</v>
      </c>
      <c r="H103" s="3">
        <f>(8+8.6)/2</f>
        <v>8.3000000000000007</v>
      </c>
      <c r="I103" s="3"/>
      <c r="J103" s="3">
        <f>(28+29)/2</f>
        <v>28.5</v>
      </c>
      <c r="K103" s="3"/>
      <c r="L103" s="3">
        <f>(70+78)/2</f>
        <v>74</v>
      </c>
      <c r="M103" s="21">
        <f>1-AVERAGE(N103:R103)</f>
        <v>0.82630047410643481</v>
      </c>
      <c r="N103" s="20">
        <f>ABS($D$2-F103)/F103</f>
        <v>0.29696969696969683</v>
      </c>
      <c r="O103" s="20">
        <f>ABS($E$2-G103)/G103</f>
        <v>1.7543859649122806E-2</v>
      </c>
      <c r="P103" s="20">
        <f>ABS($F$2-H103)/H103</f>
        <v>0.25301204819277112</v>
      </c>
      <c r="Q103" s="20">
        <f>ABS($H$2-J103)/J103</f>
        <v>0.2807017543859649</v>
      </c>
      <c r="R103" s="20">
        <f>ABS($J$2-L103)/L103</f>
        <v>2.0270270270270271E-2</v>
      </c>
    </row>
    <row r="104" spans="1:18" ht="12.75" customHeight="1" x14ac:dyDescent="0.2">
      <c r="A104">
        <v>122</v>
      </c>
      <c r="B104" s="1" t="s">
        <v>114</v>
      </c>
      <c r="C104" s="1"/>
      <c r="D104" s="2"/>
      <c r="E104" s="6" t="s">
        <v>40</v>
      </c>
      <c r="F104" s="3">
        <v>0.69</v>
      </c>
      <c r="G104" s="3">
        <v>31</v>
      </c>
      <c r="H104" s="3">
        <v>10</v>
      </c>
      <c r="I104" s="3"/>
      <c r="J104" s="3">
        <v>18</v>
      </c>
      <c r="K104" s="3"/>
      <c r="L104" s="3">
        <v>67</v>
      </c>
      <c r="M104" s="21">
        <f>1-AVERAGE(N104:R104)</f>
        <v>0.82606180411639796</v>
      </c>
      <c r="N104" s="20">
        <f>ABS($D$2-F104)/F104</f>
        <v>0.15942028985507228</v>
      </c>
      <c r="O104" s="20">
        <f>ABS($E$2-G104)/G104</f>
        <v>6.4516129032258063E-2</v>
      </c>
      <c r="P104" s="20">
        <f>ABS($F$2-H104)/H104</f>
        <v>0.38</v>
      </c>
      <c r="Q104" s="20">
        <f>ABS($H$2-J104)/J104</f>
        <v>0.1388888888888889</v>
      </c>
      <c r="R104" s="20">
        <f>ABS($J$2-L104)/L104</f>
        <v>0.12686567164179105</v>
      </c>
    </row>
    <row r="105" spans="1:18" ht="12.75" customHeight="1" x14ac:dyDescent="0.2">
      <c r="A105">
        <v>131</v>
      </c>
      <c r="B105" s="1" t="s">
        <v>118</v>
      </c>
      <c r="C105" s="1"/>
      <c r="D105" s="2"/>
      <c r="E105" s="6" t="s">
        <v>41</v>
      </c>
      <c r="F105" s="3">
        <f>(0.43+0.46)/2</f>
        <v>0.44500000000000001</v>
      </c>
      <c r="G105" s="3">
        <f>(25.7+30.9)/2</f>
        <v>28.299999999999997</v>
      </c>
      <c r="H105" s="3">
        <f>(9.1+9.4)/2</f>
        <v>9.25</v>
      </c>
      <c r="I105" s="3"/>
      <c r="J105" s="3">
        <f>(20.6+22.1)/2</f>
        <v>21.35</v>
      </c>
      <c r="K105" s="3"/>
      <c r="L105" s="3"/>
      <c r="M105" s="21">
        <f>1-AVERAGE(N105:R105)</f>
        <v>0.8255879637628093</v>
      </c>
      <c r="N105" s="20">
        <f>ABS($D$2-F105)/F105</f>
        <v>0.30337078651685406</v>
      </c>
      <c r="O105" s="20">
        <f>ABS($E$2-G105)/G105</f>
        <v>2.473498233215558E-2</v>
      </c>
      <c r="P105" s="20">
        <f>ABS($F$2-H105)/H105</f>
        <v>0.32972972972972969</v>
      </c>
      <c r="Q105" s="20">
        <f>ABS($H$2-J105)/J105</f>
        <v>3.9812646370023484E-2</v>
      </c>
      <c r="R105" s="20"/>
    </row>
    <row r="106" spans="1:18" ht="12.75" customHeight="1" x14ac:dyDescent="0.2">
      <c r="A106">
        <v>754</v>
      </c>
      <c r="B106" s="1" t="s">
        <v>599</v>
      </c>
      <c r="C106" s="1"/>
      <c r="D106" s="2"/>
      <c r="E106" s="6" t="s">
        <v>495</v>
      </c>
      <c r="F106" s="1">
        <v>0.8</v>
      </c>
      <c r="G106" s="4">
        <v>23</v>
      </c>
      <c r="H106" s="4">
        <v>5.5</v>
      </c>
      <c r="I106" s="4"/>
      <c r="J106" s="4">
        <v>17</v>
      </c>
      <c r="K106" s="4"/>
      <c r="L106" s="4">
        <v>76</v>
      </c>
      <c r="M106" s="21">
        <f>1-AVERAGE(N106:R106)</f>
        <v>0.82487928144005673</v>
      </c>
      <c r="N106" s="20">
        <f>ABS($D$2-F106)/F106</f>
        <v>0.27499999999999997</v>
      </c>
      <c r="O106" s="20">
        <f>ABS($E$2-G106)/G106</f>
        <v>0.2608695652173913</v>
      </c>
      <c r="P106" s="20">
        <f>ABS($F$2-H106)/H106</f>
        <v>0.12727272727272732</v>
      </c>
      <c r="Q106" s="20">
        <f>ABS($H$2-J106)/J106</f>
        <v>0.20588235294117646</v>
      </c>
      <c r="R106" s="20">
        <f>ABS($J$2-L106)/L106</f>
        <v>6.5789473684210523E-3</v>
      </c>
    </row>
    <row r="107" spans="1:18" ht="12.75" customHeight="1" x14ac:dyDescent="0.2">
      <c r="A107">
        <v>542</v>
      </c>
      <c r="B107" s="9" t="s">
        <v>468</v>
      </c>
      <c r="C107" s="9"/>
      <c r="D107" s="11">
        <v>15</v>
      </c>
      <c r="E107" s="9" t="s">
        <v>463</v>
      </c>
      <c r="F107" s="1">
        <f>(0.54+0.56)/2</f>
        <v>0.55000000000000004</v>
      </c>
      <c r="G107" s="4">
        <f>(21.5+22)/2</f>
        <v>21.75</v>
      </c>
      <c r="H107" s="4">
        <f>(7+7.4)/2</f>
        <v>7.2</v>
      </c>
      <c r="I107" s="4"/>
      <c r="J107" s="4">
        <f>(27+28.3)/2</f>
        <v>27.65</v>
      </c>
      <c r="K107" s="4"/>
      <c r="L107" s="4">
        <f>(81+85)/2</f>
        <v>83</v>
      </c>
      <c r="M107" s="21">
        <f>1-AVERAGE(N107:R107)</f>
        <v>0.82485627313902443</v>
      </c>
      <c r="N107" s="20">
        <f>ABS($D$2-F107)/F107</f>
        <v>5.4545454545454591E-2</v>
      </c>
      <c r="O107" s="20">
        <f>ABS($E$2-G107)/G107</f>
        <v>0.33333333333333331</v>
      </c>
      <c r="P107" s="20">
        <f>ABS($F$2-H107)/H107</f>
        <v>0.1388888888888889</v>
      </c>
      <c r="Q107" s="20">
        <f>ABS($H$2-J107)/J107</f>
        <v>0.25858951175406869</v>
      </c>
      <c r="R107" s="20">
        <f>ABS($J$2-L107)/L107</f>
        <v>9.036144578313253E-2</v>
      </c>
    </row>
    <row r="108" spans="1:18" ht="12.75" customHeight="1" x14ac:dyDescent="0.2">
      <c r="A108">
        <v>697</v>
      </c>
      <c r="B108" s="1" t="s">
        <v>559</v>
      </c>
      <c r="C108" s="1"/>
      <c r="D108" s="2"/>
      <c r="E108" s="6" t="s">
        <v>495</v>
      </c>
      <c r="F108" s="1">
        <f>(0.6+0.7)/2</f>
        <v>0.64999999999999991</v>
      </c>
      <c r="G108" s="4">
        <v>27</v>
      </c>
      <c r="H108" s="4">
        <v>6.3</v>
      </c>
      <c r="I108" s="4"/>
      <c r="J108" s="4">
        <v>38</v>
      </c>
      <c r="K108" s="4"/>
      <c r="L108" s="4">
        <v>62</v>
      </c>
      <c r="M108" s="21">
        <f>1-AVERAGE(N108:R108)</f>
        <v>0.82481847021745158</v>
      </c>
      <c r="N108" s="20">
        <f>ABS($D$2-F108)/F108</f>
        <v>0.10769230769230746</v>
      </c>
      <c r="O108" s="20">
        <f>ABS($E$2-G108)/G108</f>
        <v>7.407407407407407E-2</v>
      </c>
      <c r="P108" s="20">
        <f>ABS($F$2-H108)/H108</f>
        <v>1.5873015873015817E-2</v>
      </c>
      <c r="Q108" s="20">
        <f>ABS($H$2-J108)/J108</f>
        <v>0.46052631578947367</v>
      </c>
      <c r="R108" s="20">
        <f>ABS($J$2-L108)/L108</f>
        <v>0.21774193548387097</v>
      </c>
    </row>
    <row r="109" spans="1:18" ht="12.75" customHeight="1" x14ac:dyDescent="0.2">
      <c r="A109">
        <v>180</v>
      </c>
      <c r="B109" s="1" t="s">
        <v>153</v>
      </c>
      <c r="C109" s="1"/>
      <c r="D109" s="2"/>
      <c r="E109" s="6" t="s">
        <v>41</v>
      </c>
      <c r="F109" s="3">
        <f>(0.83+1.13)/2</f>
        <v>0.98</v>
      </c>
      <c r="G109" s="3">
        <f>(27+34)/2</f>
        <v>30.5</v>
      </c>
      <c r="H109" s="3">
        <f>(4.8+5.9)/2</f>
        <v>5.35</v>
      </c>
      <c r="I109" s="3"/>
      <c r="J109" s="3">
        <f>(19+26)/2</f>
        <v>22.5</v>
      </c>
      <c r="K109" s="3"/>
      <c r="L109" s="3"/>
      <c r="M109" s="21">
        <f>1-AVERAGE(N109:R109)</f>
        <v>0.82372225331580973</v>
      </c>
      <c r="N109" s="20">
        <f>ABS($D$2-F109)/F109</f>
        <v>0.40816326530612235</v>
      </c>
      <c r="O109" s="20">
        <f>ABS($E$2-G109)/G109</f>
        <v>4.9180327868852458E-2</v>
      </c>
      <c r="P109" s="20">
        <f>ABS($F$2-H109)/H109</f>
        <v>0.1588785046728973</v>
      </c>
      <c r="Q109" s="20">
        <f>ABS($H$2-J109)/J109</f>
        <v>8.8888888888888892E-2</v>
      </c>
      <c r="R109" s="20"/>
    </row>
    <row r="110" spans="1:18" ht="12.75" customHeight="1" x14ac:dyDescent="0.2">
      <c r="A110">
        <v>592</v>
      </c>
      <c r="B110" s="9" t="s">
        <v>485</v>
      </c>
      <c r="C110" s="1"/>
      <c r="D110" s="2">
        <v>48</v>
      </c>
      <c r="E110" s="1" t="s">
        <v>463</v>
      </c>
      <c r="F110" s="1">
        <v>0.43</v>
      </c>
      <c r="G110" s="4">
        <v>23.7</v>
      </c>
      <c r="H110" s="4">
        <v>4.8</v>
      </c>
      <c r="I110" s="4">
        <v>3.5</v>
      </c>
      <c r="J110" s="4">
        <v>20.5</v>
      </c>
      <c r="K110" s="4">
        <v>1.6</v>
      </c>
      <c r="L110" s="4">
        <v>77</v>
      </c>
      <c r="M110" s="21">
        <f>1-AVERAGE(N110:R110)</f>
        <v>0.82327738251347315</v>
      </c>
      <c r="N110" s="20">
        <f>ABS($D$2-F110)/F110</f>
        <v>0.34883720930232576</v>
      </c>
      <c r="O110" s="20">
        <f>ABS($E$2-G110)/G110</f>
        <v>0.22362869198312241</v>
      </c>
      <c r="P110" s="20">
        <f>ABS($F$2-H110)/H110</f>
        <v>0.29166666666666674</v>
      </c>
      <c r="Q110" s="20">
        <f>ABS($H$2-J110)/J110</f>
        <v>0</v>
      </c>
      <c r="R110" s="20">
        <f>ABS($J$2-L110)/L110</f>
        <v>1.948051948051948E-2</v>
      </c>
    </row>
    <row r="111" spans="1:18" ht="12.75" customHeight="1" x14ac:dyDescent="0.2">
      <c r="A111">
        <v>547</v>
      </c>
      <c r="B111" s="9" t="s">
        <v>470</v>
      </c>
      <c r="C111" s="9"/>
      <c r="D111" s="11">
        <v>20</v>
      </c>
      <c r="E111" s="9" t="s">
        <v>463</v>
      </c>
      <c r="F111" s="9">
        <v>0.46</v>
      </c>
      <c r="G111" s="4">
        <v>27</v>
      </c>
      <c r="H111" s="4">
        <v>4.4000000000000004</v>
      </c>
      <c r="I111" s="4"/>
      <c r="J111" s="4">
        <v>22</v>
      </c>
      <c r="K111" s="4"/>
      <c r="L111" s="4">
        <v>82</v>
      </c>
      <c r="M111" s="21">
        <f>1-AVERAGE(N111:R111)</f>
        <v>0.82170306815057614</v>
      </c>
      <c r="N111" s="20">
        <f>ABS($D$2-F111)/F111</f>
        <v>0.26086956521739141</v>
      </c>
      <c r="O111" s="20">
        <f>ABS($E$2-G111)/G111</f>
        <v>7.407407407407407E-2</v>
      </c>
      <c r="P111" s="20">
        <f>ABS($F$2-H111)/H111</f>
        <v>0.40909090909090901</v>
      </c>
      <c r="Q111" s="20">
        <f>ABS($H$2-J111)/J111</f>
        <v>6.8181818181818177E-2</v>
      </c>
      <c r="R111" s="20">
        <f>ABS($J$2-L111)/L111</f>
        <v>7.926829268292683E-2</v>
      </c>
    </row>
    <row r="112" spans="1:18" ht="12.75" customHeight="1" x14ac:dyDescent="0.2">
      <c r="A112">
        <v>580</v>
      </c>
      <c r="B112" s="1" t="s">
        <v>480</v>
      </c>
      <c r="C112" s="1"/>
      <c r="D112" s="2"/>
      <c r="E112" s="1" t="s">
        <v>463</v>
      </c>
      <c r="F112" s="1">
        <f>(0.41+0.45)/2</f>
        <v>0.43</v>
      </c>
      <c r="G112" s="4">
        <f>(20+26)/2</f>
        <v>23</v>
      </c>
      <c r="H112" s="4">
        <f>(7.7+8.8)/2</f>
        <v>8.25</v>
      </c>
      <c r="I112" s="4"/>
      <c r="J112" s="4">
        <f>(18+24)/2</f>
        <v>21</v>
      </c>
      <c r="K112" s="4"/>
      <c r="L112" s="4">
        <f>(72+77)/2</f>
        <v>74.5</v>
      </c>
      <c r="M112" s="21">
        <f>1-AVERAGE(N112:R112)</f>
        <v>0.82091520687879282</v>
      </c>
      <c r="N112" s="20">
        <f>ABS($D$2-F112)/F112</f>
        <v>0.34883720930232576</v>
      </c>
      <c r="O112" s="20">
        <f>ABS($E$2-G112)/G112</f>
        <v>0.2608695652173913</v>
      </c>
      <c r="P112" s="20">
        <f>ABS($F$2-H112)/H112</f>
        <v>0.24848484848484848</v>
      </c>
      <c r="Q112" s="20">
        <f>ABS($H$2-J112)/J112</f>
        <v>2.3809523809523808E-2</v>
      </c>
      <c r="R112" s="20">
        <f>ABS($J$2-L112)/L112</f>
        <v>1.3422818791946308E-2</v>
      </c>
    </row>
    <row r="113" spans="1:18" ht="12.75" customHeight="1" x14ac:dyDescent="0.2">
      <c r="A113">
        <v>668</v>
      </c>
      <c r="B113" s="1" t="s">
        <v>534</v>
      </c>
      <c r="C113" s="1"/>
      <c r="D113" s="2"/>
      <c r="E113" s="6" t="s">
        <v>482</v>
      </c>
      <c r="F113" s="1">
        <v>0.85</v>
      </c>
      <c r="G113" s="4">
        <v>28</v>
      </c>
      <c r="H113" s="4">
        <v>6.2</v>
      </c>
      <c r="I113" s="4"/>
      <c r="J113" s="4">
        <v>15</v>
      </c>
      <c r="K113" s="4"/>
      <c r="L113" s="4"/>
      <c r="M113" s="21">
        <f>1-AVERAGE(N113:R113)</f>
        <v>0.81999299719887953</v>
      </c>
      <c r="N113" s="20">
        <f>ABS($D$2-F113)/F113</f>
        <v>0.31764705882352934</v>
      </c>
      <c r="O113" s="20">
        <f>ABS($E$2-G113)/G113</f>
        <v>3.5714285714285712E-2</v>
      </c>
      <c r="P113" s="20">
        <f>ABS($F$2-H113)/H113</f>
        <v>0</v>
      </c>
      <c r="Q113" s="20">
        <f>ABS($H$2-J113)/J113</f>
        <v>0.36666666666666664</v>
      </c>
      <c r="R113" s="20"/>
    </row>
    <row r="114" spans="1:18" ht="12.75" customHeight="1" x14ac:dyDescent="0.2">
      <c r="A114">
        <v>680</v>
      </c>
      <c r="B114" s="1" t="s">
        <v>545</v>
      </c>
      <c r="C114" s="1" t="s">
        <v>546</v>
      </c>
      <c r="D114" s="2"/>
      <c r="E114" s="6" t="s">
        <v>482</v>
      </c>
      <c r="F114" s="1">
        <v>0.6</v>
      </c>
      <c r="G114" s="4">
        <v>26</v>
      </c>
      <c r="H114" s="4">
        <v>4.8</v>
      </c>
      <c r="I114" s="4"/>
      <c r="J114" s="4">
        <v>16</v>
      </c>
      <c r="K114" s="4"/>
      <c r="L114" s="4"/>
      <c r="M114" s="21">
        <f>1-AVERAGE(N114:R114)</f>
        <v>0.81959134615384621</v>
      </c>
      <c r="N114" s="20">
        <f>ABS($D$2-F114)/F114</f>
        <v>3.333333333333318E-2</v>
      </c>
      <c r="O114" s="20">
        <f>ABS($E$2-G114)/G114</f>
        <v>0.11538461538461539</v>
      </c>
      <c r="P114" s="20">
        <f>ABS($F$2-H114)/H114</f>
        <v>0.29166666666666674</v>
      </c>
      <c r="Q114" s="20">
        <f>ABS($H$2-J114)/J114</f>
        <v>0.28125</v>
      </c>
      <c r="R114" s="20"/>
    </row>
    <row r="115" spans="1:18" ht="12.75" customHeight="1" x14ac:dyDescent="0.2">
      <c r="A115">
        <v>742</v>
      </c>
      <c r="B115" s="1" t="s">
        <v>592</v>
      </c>
      <c r="C115" s="1"/>
      <c r="D115" s="2"/>
      <c r="E115" s="6" t="s">
        <v>495</v>
      </c>
      <c r="F115" s="1">
        <v>0.8</v>
      </c>
      <c r="G115" s="4">
        <v>26</v>
      </c>
      <c r="H115" s="4">
        <v>6.7</v>
      </c>
      <c r="I115" s="4"/>
      <c r="J115" s="4">
        <v>15</v>
      </c>
      <c r="K115" s="4"/>
      <c r="L115" s="4">
        <v>70</v>
      </c>
      <c r="M115" s="21">
        <f>1-AVERAGE(N115:R115)</f>
        <v>0.81795008474112951</v>
      </c>
      <c r="N115" s="20">
        <f>ABS($D$2-F115)/F115</f>
        <v>0.27499999999999997</v>
      </c>
      <c r="O115" s="20">
        <f>ABS($E$2-G115)/G115</f>
        <v>0.11538461538461539</v>
      </c>
      <c r="P115" s="20">
        <f>ABS($F$2-H115)/H115</f>
        <v>7.4626865671641784E-2</v>
      </c>
      <c r="Q115" s="20">
        <f>ABS($H$2-J115)/J115</f>
        <v>0.36666666666666664</v>
      </c>
      <c r="R115" s="20">
        <f>ABS($J$2-L115)/L115</f>
        <v>7.857142857142857E-2</v>
      </c>
    </row>
    <row r="116" spans="1:18" ht="12.75" customHeight="1" x14ac:dyDescent="0.2">
      <c r="A116">
        <v>537</v>
      </c>
      <c r="B116" s="9" t="s">
        <v>467</v>
      </c>
      <c r="C116" s="9"/>
      <c r="D116" s="11"/>
      <c r="E116" s="9" t="s">
        <v>466</v>
      </c>
      <c r="F116" s="1">
        <v>0.41</v>
      </c>
      <c r="G116" s="4">
        <v>22</v>
      </c>
      <c r="H116" s="4">
        <v>5.7</v>
      </c>
      <c r="I116" s="4"/>
      <c r="J116" s="4">
        <v>22</v>
      </c>
      <c r="K116" s="4"/>
      <c r="L116" s="4">
        <v>79</v>
      </c>
      <c r="M116" s="21">
        <f>1-AVERAGE(N116:R116)</f>
        <v>0.81339582431618629</v>
      </c>
      <c r="N116" s="20">
        <f>ABS($D$2-F116)/F116</f>
        <v>0.41463414634146367</v>
      </c>
      <c r="O116" s="20">
        <f>ABS($E$2-G116)/G116</f>
        <v>0.31818181818181818</v>
      </c>
      <c r="P116" s="20">
        <f>ABS($F$2-H116)/H116</f>
        <v>8.771929824561403E-2</v>
      </c>
      <c r="Q116" s="20">
        <f>ABS($H$2-J116)/J116</f>
        <v>6.8181818181818177E-2</v>
      </c>
      <c r="R116" s="20">
        <f>ABS($J$2-L116)/L116</f>
        <v>4.4303797468354431E-2</v>
      </c>
    </row>
    <row r="117" spans="1:18" ht="12.75" customHeight="1" x14ac:dyDescent="0.2">
      <c r="A117">
        <v>669</v>
      </c>
      <c r="B117" s="1" t="s">
        <v>535</v>
      </c>
      <c r="C117" s="1" t="s">
        <v>536</v>
      </c>
      <c r="D117" s="2"/>
      <c r="E117" s="6" t="s">
        <v>495</v>
      </c>
      <c r="F117" s="1">
        <v>0.75</v>
      </c>
      <c r="G117" s="4">
        <v>35</v>
      </c>
      <c r="H117" s="4">
        <v>5.5</v>
      </c>
      <c r="I117" s="4"/>
      <c r="J117" s="4">
        <v>23</v>
      </c>
      <c r="K117" s="4"/>
      <c r="L117" s="4">
        <v>58</v>
      </c>
      <c r="M117" s="21">
        <f>1-AVERAGE(N117:R117)</f>
        <v>0.81284244890541746</v>
      </c>
      <c r="N117" s="20">
        <f>ABS($D$2-F117)/F117</f>
        <v>0.22666666666666657</v>
      </c>
      <c r="O117" s="20">
        <f>ABS($E$2-G117)/G117</f>
        <v>0.17142857142857143</v>
      </c>
      <c r="P117" s="20">
        <f>ABS($F$2-H117)/H117</f>
        <v>0.12727272727272732</v>
      </c>
      <c r="Q117" s="20">
        <f>ABS($H$2-J117)/J117</f>
        <v>0.10869565217391304</v>
      </c>
      <c r="R117" s="20">
        <f>ABS($J$2-L117)/L117</f>
        <v>0.30172413793103448</v>
      </c>
    </row>
    <row r="118" spans="1:18" ht="12.75" customHeight="1" x14ac:dyDescent="0.2">
      <c r="A118">
        <v>670</v>
      </c>
      <c r="B118" s="1" t="s">
        <v>537</v>
      </c>
      <c r="C118" s="1" t="s">
        <v>538</v>
      </c>
      <c r="D118" s="2"/>
      <c r="E118" s="6" t="s">
        <v>495</v>
      </c>
      <c r="F118" s="1">
        <v>0.8</v>
      </c>
      <c r="G118" s="4">
        <v>35</v>
      </c>
      <c r="H118" s="4">
        <v>5.4</v>
      </c>
      <c r="I118" s="4"/>
      <c r="J118" s="4">
        <v>20</v>
      </c>
      <c r="K118" s="4"/>
      <c r="L118" s="4">
        <v>57</v>
      </c>
      <c r="M118" s="21">
        <f>1-AVERAGE(N118:R118)</f>
        <v>0.81117237538290166</v>
      </c>
      <c r="N118" s="20">
        <f>ABS($D$2-F118)/F118</f>
        <v>0.27499999999999997</v>
      </c>
      <c r="O118" s="20">
        <f>ABS($E$2-G118)/G118</f>
        <v>0.17142857142857143</v>
      </c>
      <c r="P118" s="20">
        <f>ABS($F$2-H118)/H118</f>
        <v>0.14814814814814811</v>
      </c>
      <c r="Q118" s="20">
        <f>ABS($H$2-J118)/J118</f>
        <v>2.5000000000000001E-2</v>
      </c>
      <c r="R118" s="20">
        <f>ABS($J$2-L118)/L118</f>
        <v>0.32456140350877194</v>
      </c>
    </row>
    <row r="119" spans="1:18" ht="12.75" customHeight="1" x14ac:dyDescent="0.2">
      <c r="A119">
        <v>204</v>
      </c>
      <c r="B119" s="1" t="s">
        <v>171</v>
      </c>
      <c r="C119" s="1" t="s">
        <v>172</v>
      </c>
      <c r="D119" s="2"/>
      <c r="E119" s="6" t="s">
        <v>41</v>
      </c>
      <c r="F119" s="3">
        <f>(0.62+0.7)/2</f>
        <v>0.65999999999999992</v>
      </c>
      <c r="G119" s="3">
        <f>(21+25)/2</f>
        <v>23</v>
      </c>
      <c r="H119" s="3">
        <f>(7.3+9.6)/2</f>
        <v>8.4499999999999993</v>
      </c>
      <c r="I119" s="3"/>
      <c r="J119" s="3">
        <f>(21+25)/2</f>
        <v>23</v>
      </c>
      <c r="K119" s="3"/>
      <c r="L119" s="3"/>
      <c r="M119" s="21">
        <f>1-AVERAGE(N119:R119)</f>
        <v>0.8107376180118655</v>
      </c>
      <c r="N119" s="20">
        <f>ABS($D$2-F119)/F119</f>
        <v>0.12121212121212099</v>
      </c>
      <c r="O119" s="20">
        <f>ABS($E$2-G119)/G119</f>
        <v>0.2608695652173913</v>
      </c>
      <c r="P119" s="20">
        <f>ABS($F$2-H119)/H119</f>
        <v>0.26627218934911234</v>
      </c>
      <c r="Q119" s="20">
        <f>ABS($H$2-J119)/J119</f>
        <v>0.10869565217391304</v>
      </c>
      <c r="R119" s="20"/>
    </row>
    <row r="120" spans="1:18" ht="12.75" customHeight="1" x14ac:dyDescent="0.2">
      <c r="A120">
        <v>702</v>
      </c>
      <c r="B120" s="1" t="s">
        <v>562</v>
      </c>
      <c r="C120" s="1"/>
      <c r="D120" s="2"/>
      <c r="E120" s="6" t="s">
        <v>495</v>
      </c>
      <c r="F120" s="1">
        <v>0.4</v>
      </c>
      <c r="G120" s="4">
        <v>25</v>
      </c>
      <c r="H120" s="1">
        <v>8</v>
      </c>
      <c r="I120" s="4"/>
      <c r="J120" s="4">
        <v>22</v>
      </c>
      <c r="K120" s="4"/>
      <c r="L120" s="4">
        <v>79</v>
      </c>
      <c r="M120" s="21">
        <f>1-AVERAGE(N120:R120)</f>
        <v>0.81050287686996547</v>
      </c>
      <c r="N120" s="20">
        <f>ABS($D$2-F120)/F120</f>
        <v>0.45000000000000012</v>
      </c>
      <c r="O120" s="20">
        <f>ABS($E$2-G120)/G120</f>
        <v>0.16</v>
      </c>
      <c r="P120" s="20">
        <f>ABS($F$2-H120)/H120</f>
        <v>0.22499999999999998</v>
      </c>
      <c r="Q120" s="20">
        <f>ABS($H$2-J120)/J120</f>
        <v>6.8181818181818177E-2</v>
      </c>
      <c r="R120" s="20">
        <f>ABS($J$2-L120)/L120</f>
        <v>4.4303797468354431E-2</v>
      </c>
    </row>
    <row r="121" spans="1:18" ht="12.75" customHeight="1" x14ac:dyDescent="0.2">
      <c r="A121">
        <v>671</v>
      </c>
      <c r="B121" s="1" t="s">
        <v>537</v>
      </c>
      <c r="C121" s="1" t="s">
        <v>538</v>
      </c>
      <c r="D121" s="2"/>
      <c r="E121" s="6" t="s">
        <v>482</v>
      </c>
      <c r="F121" s="1">
        <v>0.6</v>
      </c>
      <c r="G121" s="4">
        <v>35</v>
      </c>
      <c r="H121" s="4">
        <v>4.5999999999999996</v>
      </c>
      <c r="I121" s="4"/>
      <c r="J121" s="4">
        <v>17</v>
      </c>
      <c r="K121" s="4"/>
      <c r="L121" s="4"/>
      <c r="M121" s="21">
        <f>1-AVERAGE(N121:R121)</f>
        <v>0.81038241383509924</v>
      </c>
      <c r="N121" s="20">
        <f>ABS($D$2-F121)/F121</f>
        <v>3.333333333333318E-2</v>
      </c>
      <c r="O121" s="20">
        <f>ABS($E$2-G121)/G121</f>
        <v>0.17142857142857143</v>
      </c>
      <c r="P121" s="20">
        <f>ABS($F$2-H121)/H121</f>
        <v>0.3478260869565219</v>
      </c>
      <c r="Q121" s="20">
        <f>ABS($H$2-J121)/J121</f>
        <v>0.20588235294117646</v>
      </c>
      <c r="R121" s="20"/>
    </row>
    <row r="122" spans="1:18" ht="12.75" customHeight="1" x14ac:dyDescent="0.2">
      <c r="A122">
        <v>554</v>
      </c>
      <c r="B122" s="9" t="s">
        <v>473</v>
      </c>
      <c r="C122" s="9"/>
      <c r="D122" s="11"/>
      <c r="E122" s="9" t="s">
        <v>474</v>
      </c>
      <c r="F122" s="1">
        <f>(0.39+0.75)/2</f>
        <v>0.57000000000000006</v>
      </c>
      <c r="G122" s="1">
        <f>(15+29)/2</f>
        <v>22</v>
      </c>
      <c r="H122" s="4">
        <f>(5+10)/2</f>
        <v>7.5</v>
      </c>
      <c r="I122" s="4"/>
      <c r="J122" s="4">
        <f>(3+28)/2</f>
        <v>15.5</v>
      </c>
      <c r="K122" s="4"/>
      <c r="L122" s="4">
        <f>(82+89)/2</f>
        <v>85.5</v>
      </c>
      <c r="M122" s="21">
        <f>1-AVERAGE(N122:R122)</f>
        <v>0.81028025586939001</v>
      </c>
      <c r="N122" s="20">
        <f>ABS($D$2-F122)/F122</f>
        <v>1.754385964912282E-2</v>
      </c>
      <c r="O122" s="20">
        <f>ABS($E$2-G122)/G122</f>
        <v>0.31818181818181818</v>
      </c>
      <c r="P122" s="20">
        <f>ABS($F$2-H122)/H122</f>
        <v>0.17333333333333331</v>
      </c>
      <c r="Q122" s="20">
        <f>ABS($H$2-J122)/J122</f>
        <v>0.32258064516129031</v>
      </c>
      <c r="R122" s="20">
        <f>ABS($J$2-L122)/L122</f>
        <v>0.11695906432748537</v>
      </c>
    </row>
    <row r="123" spans="1:18" ht="12.75" customHeight="1" x14ac:dyDescent="0.2">
      <c r="A123">
        <v>116</v>
      </c>
      <c r="B123" s="1" t="s">
        <v>109</v>
      </c>
      <c r="C123" s="1"/>
      <c r="D123" s="2"/>
      <c r="E123" s="6" t="s">
        <v>41</v>
      </c>
      <c r="F123" s="3">
        <f>(0.54+0.67)/2</f>
        <v>0.60499999999999998</v>
      </c>
      <c r="G123" s="3">
        <f>(22+33)/2</f>
        <v>27.5</v>
      </c>
      <c r="H123" s="3">
        <f>(7.1+9.6)/2</f>
        <v>8.35</v>
      </c>
      <c r="I123" s="3"/>
      <c r="J123" s="3">
        <f>(12.7+16.3)/2</f>
        <v>14.5</v>
      </c>
      <c r="K123" s="3"/>
      <c r="L123" s="3"/>
      <c r="M123" s="21">
        <f>1-AVERAGE(N123:R123)</f>
        <v>0.80821352450414086</v>
      </c>
      <c r="N123" s="20">
        <f>ABS($D$2-F123)/F123</f>
        <v>4.1322314049586632E-2</v>
      </c>
      <c r="O123" s="20">
        <f>ABS($E$2-G123)/G123</f>
        <v>5.4545454545454543E-2</v>
      </c>
      <c r="P123" s="20">
        <f>ABS($F$2-H123)/H123</f>
        <v>0.25748502994011968</v>
      </c>
      <c r="Q123" s="20">
        <f>ABS($H$2-J123)/J123</f>
        <v>0.41379310344827586</v>
      </c>
      <c r="R123" s="20"/>
    </row>
    <row r="124" spans="1:18" ht="12.75" customHeight="1" x14ac:dyDescent="0.2">
      <c r="A124">
        <v>540</v>
      </c>
      <c r="B124" s="9" t="s">
        <v>467</v>
      </c>
      <c r="C124" s="9"/>
      <c r="D124" s="11">
        <v>10</v>
      </c>
      <c r="E124" s="6" t="s">
        <v>464</v>
      </c>
      <c r="F124" s="1">
        <v>0.36</v>
      </c>
      <c r="G124" s="4">
        <v>24</v>
      </c>
      <c r="H124" s="4">
        <v>5.8</v>
      </c>
      <c r="I124" s="4"/>
      <c r="J124" s="4">
        <v>21</v>
      </c>
      <c r="K124" s="4">
        <f>(1.8+2.3)/2</f>
        <v>2.0499999999999998</v>
      </c>
      <c r="L124" s="4">
        <v>80</v>
      </c>
      <c r="M124" s="21">
        <f>1-AVERAGE(N124:R124)</f>
        <v>0.80630610290093041</v>
      </c>
      <c r="N124" s="20">
        <f>ABS($D$2-F124)/F124</f>
        <v>0.61111111111111138</v>
      </c>
      <c r="O124" s="20">
        <f>ABS($E$2-G124)/G124</f>
        <v>0.20833333333333334</v>
      </c>
      <c r="P124" s="20">
        <f>ABS($F$2-H124)/H124</f>
        <v>6.8965517241379379E-2</v>
      </c>
      <c r="Q124" s="20">
        <f>ABS($H$2-J124)/J124</f>
        <v>2.3809523809523808E-2</v>
      </c>
      <c r="R124" s="20">
        <f>ABS($J$2-L124)/L124</f>
        <v>5.6250000000000001E-2</v>
      </c>
    </row>
    <row r="125" spans="1:18" ht="12.75" customHeight="1" x14ac:dyDescent="0.2">
      <c r="A125">
        <v>687</v>
      </c>
      <c r="B125" s="6" t="s">
        <v>550</v>
      </c>
      <c r="C125" s="1"/>
      <c r="D125" s="2"/>
      <c r="E125" s="6" t="s">
        <v>482</v>
      </c>
      <c r="F125" s="1">
        <v>0.8</v>
      </c>
      <c r="G125" s="1">
        <v>30</v>
      </c>
      <c r="H125" s="1">
        <v>5.6</v>
      </c>
      <c r="I125" s="1"/>
      <c r="J125" s="1">
        <v>32</v>
      </c>
      <c r="K125" s="1"/>
      <c r="L125" s="1"/>
      <c r="M125" s="21">
        <f>1-AVERAGE(N125:R125)</f>
        <v>0.80628720238095242</v>
      </c>
      <c r="N125" s="20">
        <f>ABS($D$2-F125)/F125</f>
        <v>0.27499999999999997</v>
      </c>
      <c r="O125" s="20">
        <f>ABS($E$2-G125)/G125</f>
        <v>3.3333333333333333E-2</v>
      </c>
      <c r="P125" s="20">
        <f>ABS($F$2-H125)/H125</f>
        <v>0.10714285714285725</v>
      </c>
      <c r="Q125" s="20">
        <f>ABS($H$2-J125)/J125</f>
        <v>0.359375</v>
      </c>
      <c r="R125" s="20"/>
    </row>
    <row r="126" spans="1:18" ht="12.75" customHeight="1" x14ac:dyDescent="0.2">
      <c r="A126">
        <v>62</v>
      </c>
      <c r="B126" s="1" t="s">
        <v>76</v>
      </c>
      <c r="C126" s="1"/>
      <c r="D126" s="2"/>
      <c r="E126" s="6" t="s">
        <v>41</v>
      </c>
      <c r="F126" s="3">
        <v>0.8</v>
      </c>
      <c r="G126" s="3">
        <v>28</v>
      </c>
      <c r="H126" s="3">
        <v>5.4</v>
      </c>
      <c r="I126" s="3"/>
      <c r="J126" s="3">
        <v>30</v>
      </c>
      <c r="K126" s="3"/>
      <c r="L126" s="3"/>
      <c r="M126" s="21">
        <f>1-AVERAGE(N126:R126)</f>
        <v>0.80611772486772493</v>
      </c>
      <c r="N126" s="20">
        <f>ABS($D$2-F126)/F126</f>
        <v>0.27499999999999997</v>
      </c>
      <c r="O126" s="20">
        <f>ABS($E$2-G126)/G126</f>
        <v>3.5714285714285712E-2</v>
      </c>
      <c r="P126" s="20">
        <f>ABS($F$2-H126)/H126</f>
        <v>0.14814814814814811</v>
      </c>
      <c r="Q126" s="20">
        <f>ABS($H$2-J126)/J126</f>
        <v>0.31666666666666665</v>
      </c>
      <c r="R126" s="20"/>
    </row>
    <row r="127" spans="1:18" ht="12.75" customHeight="1" x14ac:dyDescent="0.2">
      <c r="A127">
        <v>746</v>
      </c>
      <c r="B127" s="1" t="s">
        <v>594</v>
      </c>
      <c r="C127" s="1"/>
      <c r="D127" s="2"/>
      <c r="E127" s="6" t="s">
        <v>482</v>
      </c>
      <c r="F127" s="1">
        <v>0.72</v>
      </c>
      <c r="G127" s="4">
        <v>31</v>
      </c>
      <c r="H127" s="4">
        <v>8.1999999999999993</v>
      </c>
      <c r="I127" s="4"/>
      <c r="J127" s="4">
        <v>16</v>
      </c>
      <c r="K127" s="4"/>
      <c r="L127" s="4"/>
      <c r="M127" s="21">
        <f>1-AVERAGE(N127:R127)</f>
        <v>0.80397174687472683</v>
      </c>
      <c r="N127" s="20">
        <f>ABS($D$2-F127)/F127</f>
        <v>0.19444444444444431</v>
      </c>
      <c r="O127" s="20">
        <f>ABS($E$2-G127)/G127</f>
        <v>6.4516129032258063E-2</v>
      </c>
      <c r="P127" s="20">
        <f>ABS($F$2-H127)/H127</f>
        <v>0.24390243902439016</v>
      </c>
      <c r="Q127" s="20">
        <f>ABS($H$2-J127)/J127</f>
        <v>0.28125</v>
      </c>
      <c r="R127" s="20"/>
    </row>
    <row r="128" spans="1:18" ht="12.75" customHeight="1" x14ac:dyDescent="0.2">
      <c r="A128">
        <v>54</v>
      </c>
      <c r="B128" s="1" t="s">
        <v>71</v>
      </c>
      <c r="C128" s="1"/>
      <c r="D128" s="2"/>
      <c r="E128" s="6" t="s">
        <v>40</v>
      </c>
      <c r="F128" s="3">
        <f>(0.57+0.91)/2</f>
        <v>0.74</v>
      </c>
      <c r="G128" s="3">
        <f>(19+32)/2</f>
        <v>25.5</v>
      </c>
      <c r="H128" s="3">
        <f>(3.3+6.4)/2</f>
        <v>4.8499999999999996</v>
      </c>
      <c r="I128" s="3"/>
      <c r="J128" s="3">
        <f>(13+18)/2</f>
        <v>15.5</v>
      </c>
      <c r="K128" s="3"/>
      <c r="L128" s="3">
        <f>(76+80)/2</f>
        <v>78</v>
      </c>
      <c r="M128" s="21">
        <f>1-AVERAGE(N128:R128)</f>
        <v>0.80270928782930184</v>
      </c>
      <c r="N128" s="20">
        <f>ABS($D$2-F128)/F128</f>
        <v>0.21621621621621612</v>
      </c>
      <c r="O128" s="20">
        <f>ABS($E$2-G128)/G128</f>
        <v>0.13725490196078433</v>
      </c>
      <c r="P128" s="20">
        <f>ABS($F$2-H128)/H128</f>
        <v>0.27835051546391765</v>
      </c>
      <c r="Q128" s="20">
        <f>ABS($H$2-J128)/J128</f>
        <v>0.32258064516129031</v>
      </c>
      <c r="R128" s="20">
        <f>ABS($J$2-L128)/L128</f>
        <v>3.2051282051282048E-2</v>
      </c>
    </row>
    <row r="129" spans="1:18" ht="12.75" customHeight="1" x14ac:dyDescent="0.2">
      <c r="A129">
        <v>545</v>
      </c>
      <c r="B129" s="9" t="s">
        <v>469</v>
      </c>
      <c r="C129" s="9"/>
      <c r="D129" s="11">
        <v>6</v>
      </c>
      <c r="E129" s="9" t="s">
        <v>463</v>
      </c>
      <c r="F129" s="1">
        <v>0.36</v>
      </c>
      <c r="G129" s="4">
        <v>30</v>
      </c>
      <c r="H129" s="4">
        <v>5.5</v>
      </c>
      <c r="I129" s="4">
        <v>2.9</v>
      </c>
      <c r="J129" s="4">
        <v>18</v>
      </c>
      <c r="K129" s="4">
        <v>2.8</v>
      </c>
      <c r="L129" s="4">
        <v>82</v>
      </c>
      <c r="M129" s="21">
        <f>1-AVERAGE(N129:R129)</f>
        <v>0.80202512934220249</v>
      </c>
      <c r="N129" s="20">
        <f>ABS($D$2-F129)/F129</f>
        <v>0.61111111111111138</v>
      </c>
      <c r="O129" s="20">
        <f>ABS($E$2-G129)/G129</f>
        <v>3.3333333333333333E-2</v>
      </c>
      <c r="P129" s="20">
        <f>ABS($F$2-H129)/H129</f>
        <v>0.12727272727272732</v>
      </c>
      <c r="Q129" s="20">
        <f>ABS($H$2-J129)/J129</f>
        <v>0.1388888888888889</v>
      </c>
      <c r="R129" s="20">
        <f>ABS($J$2-L129)/L129</f>
        <v>7.926829268292683E-2</v>
      </c>
    </row>
    <row r="130" spans="1:18" ht="12.75" customHeight="1" x14ac:dyDescent="0.2">
      <c r="A130">
        <v>550</v>
      </c>
      <c r="B130" s="9" t="s">
        <v>471</v>
      </c>
      <c r="C130" s="9"/>
      <c r="D130" s="11">
        <v>11</v>
      </c>
      <c r="E130" s="6" t="s">
        <v>464</v>
      </c>
      <c r="F130" s="1">
        <v>0.42</v>
      </c>
      <c r="G130" s="4">
        <v>28</v>
      </c>
      <c r="H130" s="4">
        <v>5</v>
      </c>
      <c r="I130" s="4">
        <v>3.9</v>
      </c>
      <c r="J130" s="4">
        <v>18</v>
      </c>
      <c r="K130" s="4"/>
      <c r="L130" s="4"/>
      <c r="M130" s="21">
        <f>1-AVERAGE(N130:R130)</f>
        <v>0.80111111111111111</v>
      </c>
      <c r="N130" s="20">
        <f>ABS($D$2-F130)/F130</f>
        <v>0.38095238095238115</v>
      </c>
      <c r="O130" s="20">
        <f>ABS($E$2-G130)/G130</f>
        <v>3.5714285714285712E-2</v>
      </c>
      <c r="P130" s="20">
        <f>ABS($F$2-H130)/H130</f>
        <v>0.24000000000000005</v>
      </c>
      <c r="Q130" s="20">
        <f>ABS($H$2-J130)/J130</f>
        <v>0.1388888888888889</v>
      </c>
      <c r="R130" s="20"/>
    </row>
    <row r="131" spans="1:18" ht="12.75" customHeight="1" x14ac:dyDescent="0.2">
      <c r="A131">
        <v>541</v>
      </c>
      <c r="B131" s="9" t="s">
        <v>467</v>
      </c>
      <c r="C131" s="9"/>
      <c r="D131" s="11">
        <v>6</v>
      </c>
      <c r="E131" s="9" t="s">
        <v>463</v>
      </c>
      <c r="F131" s="1">
        <v>0.36</v>
      </c>
      <c r="G131" s="4">
        <v>28</v>
      </c>
      <c r="H131" s="4">
        <v>5.5</v>
      </c>
      <c r="I131" s="4"/>
      <c r="J131" s="4">
        <v>21</v>
      </c>
      <c r="K131" s="4">
        <f>(2+2.5)/2</f>
        <v>2.25</v>
      </c>
      <c r="L131" s="4"/>
      <c r="M131" s="21">
        <f>1-AVERAGE(N131:R131)</f>
        <v>0.80052308802308791</v>
      </c>
      <c r="N131" s="20">
        <f>ABS($D$2-F131)/F131</f>
        <v>0.61111111111111138</v>
      </c>
      <c r="O131" s="20">
        <f>ABS($E$2-G131)/G131</f>
        <v>3.5714285714285712E-2</v>
      </c>
      <c r="P131" s="20">
        <f>ABS($F$2-H131)/H131</f>
        <v>0.12727272727272732</v>
      </c>
      <c r="Q131" s="20">
        <f>ABS($H$2-J131)/J131</f>
        <v>2.3809523809523808E-2</v>
      </c>
      <c r="R131" s="20"/>
    </row>
    <row r="132" spans="1:18" ht="12.75" customHeight="1" x14ac:dyDescent="0.2">
      <c r="A132">
        <v>704</v>
      </c>
      <c r="B132" s="1" t="s">
        <v>564</v>
      </c>
      <c r="C132" s="1"/>
      <c r="D132" s="2"/>
      <c r="E132" s="6" t="s">
        <v>495</v>
      </c>
      <c r="F132" s="1">
        <v>0.5</v>
      </c>
      <c r="G132" s="1">
        <v>18</v>
      </c>
      <c r="H132" s="1">
        <v>5.4</v>
      </c>
      <c r="I132" s="1"/>
      <c r="J132" s="1">
        <v>20</v>
      </c>
      <c r="K132" s="1"/>
      <c r="L132" s="1">
        <v>80</v>
      </c>
      <c r="M132" s="21">
        <f>1-AVERAGE(N132:R132)</f>
        <v>0.79989814814814808</v>
      </c>
      <c r="N132" s="20">
        <f>ABS($D$2-F132)/F132</f>
        <v>0.16000000000000014</v>
      </c>
      <c r="O132" s="20">
        <f>ABS($E$2-G132)/G132</f>
        <v>0.61111111111111116</v>
      </c>
      <c r="P132" s="20">
        <f>ABS($F$2-H132)/H132</f>
        <v>0.14814814814814811</v>
      </c>
      <c r="Q132" s="20">
        <f>ABS($H$2-J132)/J132</f>
        <v>2.5000000000000001E-2</v>
      </c>
      <c r="R132" s="20">
        <f>ABS($J$2-L132)/L132</f>
        <v>5.6250000000000001E-2</v>
      </c>
    </row>
    <row r="133" spans="1:18" ht="12.75" customHeight="1" x14ac:dyDescent="0.2">
      <c r="A133">
        <v>741</v>
      </c>
      <c r="B133" s="1" t="s">
        <v>591</v>
      </c>
      <c r="C133" s="1"/>
      <c r="D133" s="2"/>
      <c r="E133" s="6" t="s">
        <v>495</v>
      </c>
      <c r="F133" s="1">
        <v>0.9</v>
      </c>
      <c r="G133" s="4">
        <v>25</v>
      </c>
      <c r="H133" s="4">
        <v>5.7</v>
      </c>
      <c r="I133" s="4"/>
      <c r="J133" s="4">
        <v>34</v>
      </c>
      <c r="K133" s="4"/>
      <c r="L133" s="4">
        <v>76</v>
      </c>
      <c r="M133" s="21">
        <f>1-AVERAGE(N133:R133)</f>
        <v>0.79861747506019953</v>
      </c>
      <c r="N133" s="20">
        <f>ABS($D$2-F133)/F133</f>
        <v>0.35555555555555551</v>
      </c>
      <c r="O133" s="20">
        <f>ABS($E$2-G133)/G133</f>
        <v>0.16</v>
      </c>
      <c r="P133" s="20">
        <f>ABS($F$2-H133)/H133</f>
        <v>8.771929824561403E-2</v>
      </c>
      <c r="Q133" s="20">
        <f>ABS($H$2-J133)/J133</f>
        <v>0.39705882352941174</v>
      </c>
      <c r="R133" s="20">
        <f>ABS($J$2-L133)/L133</f>
        <v>6.5789473684210523E-3</v>
      </c>
    </row>
    <row r="134" spans="1:18" ht="12.75" customHeight="1" x14ac:dyDescent="0.2">
      <c r="A134">
        <v>693</v>
      </c>
      <c r="B134" s="6" t="s">
        <v>556</v>
      </c>
      <c r="C134" s="1"/>
      <c r="D134" s="2"/>
      <c r="E134" s="6" t="s">
        <v>495</v>
      </c>
      <c r="F134" s="1">
        <v>0.65</v>
      </c>
      <c r="G134" s="4">
        <v>30</v>
      </c>
      <c r="H134" s="4">
        <v>5.3</v>
      </c>
      <c r="I134" s="4"/>
      <c r="J134" s="4">
        <v>38</v>
      </c>
      <c r="K134" s="4"/>
      <c r="L134" s="9">
        <v>61</v>
      </c>
      <c r="M134" s="21">
        <f>1-AVERAGE(N134:R134)</f>
        <v>0.79818636087947625</v>
      </c>
      <c r="N134" s="20">
        <f>ABS($D$2-F134)/F134</f>
        <v>0.10769230769230762</v>
      </c>
      <c r="O134" s="20">
        <f>ABS($E$2-G134)/G134</f>
        <v>3.3333333333333333E-2</v>
      </c>
      <c r="P134" s="20">
        <f>ABS($F$2-H134)/H134</f>
        <v>0.16981132075471705</v>
      </c>
      <c r="Q134" s="20">
        <f>ABS($H$2-J134)/J134</f>
        <v>0.46052631578947367</v>
      </c>
      <c r="R134" s="20">
        <f>ABS($J$2-L134)/L134</f>
        <v>0.23770491803278687</v>
      </c>
    </row>
    <row r="135" spans="1:18" ht="12.75" customHeight="1" x14ac:dyDescent="0.2">
      <c r="A135">
        <v>538</v>
      </c>
      <c r="B135" s="9" t="s">
        <v>467</v>
      </c>
      <c r="C135" s="9"/>
      <c r="D135" s="11">
        <v>10</v>
      </c>
      <c r="E135" s="6" t="s">
        <v>463</v>
      </c>
      <c r="F135" s="1">
        <v>0.38</v>
      </c>
      <c r="G135" s="4">
        <v>23</v>
      </c>
      <c r="H135" s="4">
        <v>5.4</v>
      </c>
      <c r="I135" s="4"/>
      <c r="J135" s="4">
        <v>20</v>
      </c>
      <c r="K135" s="4"/>
      <c r="L135" s="4">
        <v>80</v>
      </c>
      <c r="M135" s="21">
        <f>1-AVERAGE(N135:R135)</f>
        <v>0.79668329943215521</v>
      </c>
      <c r="N135" s="20">
        <f>ABS($D$2-F135)/F135</f>
        <v>0.5263157894736844</v>
      </c>
      <c r="O135" s="20">
        <f>ABS($E$2-G135)/G135</f>
        <v>0.2608695652173913</v>
      </c>
      <c r="P135" s="20">
        <f>ABS($F$2-H135)/H135</f>
        <v>0.14814814814814811</v>
      </c>
      <c r="Q135" s="20">
        <f>ABS($H$2-J135)/J135</f>
        <v>2.5000000000000001E-2</v>
      </c>
      <c r="R135" s="20">
        <f>ABS($J$2-L135)/L135</f>
        <v>5.6250000000000001E-2</v>
      </c>
    </row>
    <row r="136" spans="1:18" ht="12.75" customHeight="1" x14ac:dyDescent="0.2">
      <c r="A136">
        <v>559</v>
      </c>
      <c r="B136" s="9" t="s">
        <v>476</v>
      </c>
      <c r="C136" s="9"/>
      <c r="D136" s="11">
        <v>10</v>
      </c>
      <c r="E136" s="9" t="s">
        <v>464</v>
      </c>
      <c r="F136" s="1">
        <v>0.66</v>
      </c>
      <c r="G136" s="4">
        <v>30</v>
      </c>
      <c r="H136" s="4">
        <v>7.8</v>
      </c>
      <c r="I136" s="4"/>
      <c r="J136" s="4">
        <v>14.1</v>
      </c>
      <c r="K136" s="4"/>
      <c r="L136" s="4"/>
      <c r="M136" s="21">
        <f>1-AVERAGE(N136:R136)</f>
        <v>0.79660640777662062</v>
      </c>
      <c r="N136" s="20">
        <f>ABS($D$2-F136)/F136</f>
        <v>0.12121212121212115</v>
      </c>
      <c r="O136" s="20">
        <f>ABS($E$2-G136)/G136</f>
        <v>3.3333333333333333E-2</v>
      </c>
      <c r="P136" s="20">
        <f>ABS($F$2-H136)/H136</f>
        <v>0.20512820512820509</v>
      </c>
      <c r="Q136" s="20">
        <f>ABS($H$2-J136)/J136</f>
        <v>0.4539007092198582</v>
      </c>
      <c r="R136" s="20"/>
    </row>
    <row r="137" spans="1:18" ht="12.75" customHeight="1" x14ac:dyDescent="0.2">
      <c r="A137">
        <v>743</v>
      </c>
      <c r="B137" s="1" t="s">
        <v>592</v>
      </c>
      <c r="C137" s="1"/>
      <c r="D137" s="2"/>
      <c r="E137" s="6" t="s">
        <v>482</v>
      </c>
      <c r="F137" s="1">
        <v>0.7</v>
      </c>
      <c r="G137" s="4">
        <v>31</v>
      </c>
      <c r="H137" s="4">
        <v>7</v>
      </c>
      <c r="I137" s="4"/>
      <c r="J137" s="4">
        <v>14</v>
      </c>
      <c r="K137" s="4"/>
      <c r="L137" s="4"/>
      <c r="M137" s="21">
        <f>1-AVERAGE(N137:R137)</f>
        <v>0.7963709677419355</v>
      </c>
      <c r="N137" s="20">
        <f>ABS($D$2-F137)/F137</f>
        <v>0.17142857142857126</v>
      </c>
      <c r="O137" s="20">
        <f>ABS($E$2-G137)/G137</f>
        <v>6.4516129032258063E-2</v>
      </c>
      <c r="P137" s="20">
        <f>ABS($F$2-H137)/H137</f>
        <v>0.11428571428571425</v>
      </c>
      <c r="Q137" s="20">
        <f>ABS($H$2-J137)/J137</f>
        <v>0.4642857142857143</v>
      </c>
      <c r="R137" s="20"/>
    </row>
    <row r="138" spans="1:18" ht="12.75" customHeight="1" x14ac:dyDescent="0.2">
      <c r="A138">
        <v>676</v>
      </c>
      <c r="B138" s="1" t="s">
        <v>541</v>
      </c>
      <c r="C138" s="1" t="s">
        <v>542</v>
      </c>
      <c r="D138" s="2"/>
      <c r="E138" s="6" t="s">
        <v>495</v>
      </c>
      <c r="F138" s="1">
        <v>0.9</v>
      </c>
      <c r="G138" s="4">
        <v>29</v>
      </c>
      <c r="H138" s="4">
        <v>5.7</v>
      </c>
      <c r="I138" s="4"/>
      <c r="J138" s="4">
        <v>17</v>
      </c>
      <c r="K138" s="4"/>
      <c r="L138" s="4">
        <v>55</v>
      </c>
      <c r="M138" s="21">
        <f>1-AVERAGE(N138:R138)</f>
        <v>0.79562310410607628</v>
      </c>
      <c r="N138" s="20">
        <f>ABS($D$2-F138)/F138</f>
        <v>0.35555555555555551</v>
      </c>
      <c r="O138" s="20">
        <f>ABS($E$2-G138)/G138</f>
        <v>0</v>
      </c>
      <c r="P138" s="20">
        <f>ABS($F$2-H138)/H138</f>
        <v>8.771929824561403E-2</v>
      </c>
      <c r="Q138" s="20">
        <f>ABS($H$2-J138)/J138</f>
        <v>0.20588235294117646</v>
      </c>
      <c r="R138" s="20">
        <f>ABS($J$2-L138)/L138</f>
        <v>0.37272727272727274</v>
      </c>
    </row>
    <row r="139" spans="1:18" ht="12.75" customHeight="1" x14ac:dyDescent="0.2">
      <c r="A139">
        <v>600</v>
      </c>
      <c r="B139" s="1" t="s">
        <v>488</v>
      </c>
      <c r="C139" s="1"/>
      <c r="D139" s="2"/>
      <c r="E139" s="1" t="s">
        <v>466</v>
      </c>
      <c r="F139" s="1">
        <v>0.39</v>
      </c>
      <c r="G139" s="4">
        <v>28</v>
      </c>
      <c r="H139" s="4">
        <v>4.8</v>
      </c>
      <c r="I139" s="4">
        <v>3.4</v>
      </c>
      <c r="J139" s="4">
        <v>17</v>
      </c>
      <c r="K139" s="4">
        <v>2.6</v>
      </c>
      <c r="L139" s="4">
        <v>75</v>
      </c>
      <c r="M139" s="21">
        <f>1-AVERAGE(N139:R139)</f>
        <v>0.79457810816634344</v>
      </c>
      <c r="N139" s="20">
        <f>ABS($D$2-F139)/F139</f>
        <v>0.48717948717948734</v>
      </c>
      <c r="O139" s="20">
        <f>ABS($E$2-G139)/G139</f>
        <v>3.5714285714285712E-2</v>
      </c>
      <c r="P139" s="20">
        <f>ABS($F$2-H139)/H139</f>
        <v>0.29166666666666674</v>
      </c>
      <c r="Q139" s="20">
        <f>ABS($H$2-J139)/J139</f>
        <v>0.20588235294117646</v>
      </c>
      <c r="R139" s="20">
        <f>ABS($J$2-L139)/L139</f>
        <v>6.6666666666666671E-3</v>
      </c>
    </row>
    <row r="140" spans="1:18" ht="12.75" customHeight="1" x14ac:dyDescent="0.2">
      <c r="A140">
        <v>105</v>
      </c>
      <c r="B140" s="1" t="s">
        <v>104</v>
      </c>
      <c r="C140" s="1"/>
      <c r="D140" s="2"/>
      <c r="E140" s="6" t="s">
        <v>41</v>
      </c>
      <c r="F140" s="3">
        <f>(0.55+0.65)/2</f>
        <v>0.60000000000000009</v>
      </c>
      <c r="G140" s="3">
        <f>(36+37)/2</f>
        <v>36.5</v>
      </c>
      <c r="H140" s="3">
        <f>(4+5)/2</f>
        <v>4.5</v>
      </c>
      <c r="I140" s="3"/>
      <c r="J140" s="3">
        <f>(16+18)/2</f>
        <v>17</v>
      </c>
      <c r="K140" s="3"/>
      <c r="L140" s="3"/>
      <c r="M140" s="21">
        <f>1-AVERAGE(N140:R140)</f>
        <v>0.79438177097322948</v>
      </c>
      <c r="N140" s="20">
        <f>ABS($D$2-F140)/F140</f>
        <v>3.3333333333333361E-2</v>
      </c>
      <c r="O140" s="20">
        <f>ABS($E$2-G140)/G140</f>
        <v>0.20547945205479451</v>
      </c>
      <c r="P140" s="20">
        <f>ABS($F$2-H140)/H140</f>
        <v>0.37777777777777782</v>
      </c>
      <c r="Q140" s="20">
        <f>ABS($H$2-J140)/J140</f>
        <v>0.20588235294117646</v>
      </c>
      <c r="R140" s="20"/>
    </row>
    <row r="141" spans="1:18" ht="12.75" customHeight="1" x14ac:dyDescent="0.2">
      <c r="A141">
        <v>42</v>
      </c>
      <c r="B141" s="1" t="s">
        <v>65</v>
      </c>
      <c r="C141" s="1"/>
      <c r="D141" s="2"/>
      <c r="E141" s="6" t="s">
        <v>40</v>
      </c>
      <c r="F141" s="3">
        <f>(0.46+0.68)/2</f>
        <v>0.57000000000000006</v>
      </c>
      <c r="G141" s="3">
        <f>(24+29)/2</f>
        <v>26.5</v>
      </c>
      <c r="H141" s="3">
        <f>(4.5+6)/2</f>
        <v>5.25</v>
      </c>
      <c r="I141" s="3"/>
      <c r="J141" s="3">
        <f>(48+63)/2</f>
        <v>55.5</v>
      </c>
      <c r="K141" s="3"/>
      <c r="L141" s="3">
        <f>(64+72)/2</f>
        <v>68</v>
      </c>
      <c r="M141" s="21">
        <f>1-AVERAGE(N141:R141)</f>
        <v>0.79324787769585947</v>
      </c>
      <c r="N141" s="20">
        <f>ABS($D$2-F141)/F141</f>
        <v>1.754385964912282E-2</v>
      </c>
      <c r="O141" s="20">
        <f>ABS($E$2-G141)/G141</f>
        <v>9.4339622641509441E-2</v>
      </c>
      <c r="P141" s="20">
        <f>ABS($F$2-H141)/H141</f>
        <v>0.18095238095238098</v>
      </c>
      <c r="Q141" s="20">
        <f>ABS($H$2-J141)/J141</f>
        <v>0.63063063063063063</v>
      </c>
      <c r="R141" s="20">
        <f>ABS($J$2-L141)/L141</f>
        <v>0.11029411764705882</v>
      </c>
    </row>
    <row r="142" spans="1:18" ht="12.75" customHeight="1" x14ac:dyDescent="0.2">
      <c r="A142">
        <v>12</v>
      </c>
      <c r="B142" s="6" t="s">
        <v>47</v>
      </c>
      <c r="C142" s="6"/>
      <c r="D142" s="7"/>
      <c r="E142" s="6" t="s">
        <v>41</v>
      </c>
      <c r="F142" s="3">
        <f>(0.98+1.02)/2</f>
        <v>1</v>
      </c>
      <c r="G142" s="3">
        <f>(36+41)/2</f>
        <v>38.5</v>
      </c>
      <c r="H142" s="3">
        <f>(6.3+6.8)/2</f>
        <v>6.55</v>
      </c>
      <c r="I142" s="3"/>
      <c r="J142" s="3">
        <f>(22+24)/2</f>
        <v>23</v>
      </c>
      <c r="K142" s="3"/>
      <c r="L142" s="3"/>
      <c r="M142" s="21">
        <f>1-AVERAGE(N142:R142)</f>
        <v>0.79277899664225582</v>
      </c>
      <c r="N142" s="20">
        <f>ABS($D$2-F142)/F142</f>
        <v>0.41999999999999993</v>
      </c>
      <c r="O142" s="20">
        <f>ABS($E$2-G142)/G142</f>
        <v>0.24675324675324675</v>
      </c>
      <c r="P142" s="20">
        <f>ABS($F$2-H142)/H142</f>
        <v>5.3435114503816744E-2</v>
      </c>
      <c r="Q142" s="20">
        <f>ABS($H$2-J142)/J142</f>
        <v>0.10869565217391304</v>
      </c>
      <c r="R142" s="20"/>
    </row>
    <row r="143" spans="1:18" ht="12.75" customHeight="1" x14ac:dyDescent="0.2">
      <c r="A143">
        <v>285</v>
      </c>
      <c r="B143" s="9" t="s">
        <v>229</v>
      </c>
      <c r="E143" s="6" t="s">
        <v>40</v>
      </c>
      <c r="F143" s="3">
        <v>0.67</v>
      </c>
      <c r="G143" s="3">
        <v>27</v>
      </c>
      <c r="H143" s="3">
        <v>4.9000000000000004</v>
      </c>
      <c r="I143" s="3"/>
      <c r="J143" s="3">
        <v>16</v>
      </c>
      <c r="K143" s="3"/>
      <c r="L143" s="3">
        <v>58</v>
      </c>
      <c r="M143" s="21">
        <f>1-AVERAGE(N143:R143)</f>
        <v>0.7886634614673913</v>
      </c>
      <c r="N143" s="20">
        <f>ABS($D$2-F143)/F143</f>
        <v>0.13432835820895517</v>
      </c>
      <c r="O143" s="20">
        <f>ABS($E$2-G143)/G143</f>
        <v>7.407407407407407E-2</v>
      </c>
      <c r="P143" s="20">
        <f>ABS($F$2-H143)/H143</f>
        <v>0.26530612244897955</v>
      </c>
      <c r="Q143" s="20">
        <f>ABS($H$2-J143)/J143</f>
        <v>0.28125</v>
      </c>
      <c r="R143" s="20">
        <f>ABS($J$2-L143)/L143</f>
        <v>0.30172413793103448</v>
      </c>
    </row>
    <row r="144" spans="1:18" ht="12.75" customHeight="1" x14ac:dyDescent="0.2">
      <c r="A144">
        <v>645</v>
      </c>
      <c r="B144" s="6" t="s">
        <v>517</v>
      </c>
      <c r="C144" s="6"/>
      <c r="D144" s="7"/>
      <c r="E144" s="6" t="s">
        <v>495</v>
      </c>
      <c r="F144" s="6">
        <v>0.7</v>
      </c>
      <c r="G144" s="4">
        <v>27</v>
      </c>
      <c r="H144" s="4">
        <v>5.3</v>
      </c>
      <c r="I144" s="4"/>
      <c r="J144" s="4">
        <v>12.8</v>
      </c>
      <c r="K144" s="4"/>
      <c r="L144" s="4">
        <v>79</v>
      </c>
      <c r="M144" s="21">
        <f>1-AVERAGE(N144:R144)</f>
        <v>0.78776394725485666</v>
      </c>
      <c r="N144" s="20">
        <f>ABS($D$2-F144)/F144</f>
        <v>0.17142857142857126</v>
      </c>
      <c r="O144" s="20">
        <f>ABS($E$2-G144)/G144</f>
        <v>7.407407407407407E-2</v>
      </c>
      <c r="P144" s="20">
        <f>ABS($F$2-H144)/H144</f>
        <v>0.16981132075471705</v>
      </c>
      <c r="Q144" s="20">
        <f>ABS($H$2-J144)/J144</f>
        <v>0.60156249999999989</v>
      </c>
      <c r="R144" s="20">
        <f>ABS($J$2-L144)/L144</f>
        <v>4.4303797468354431E-2</v>
      </c>
    </row>
    <row r="145" spans="1:18" ht="12.75" customHeight="1" x14ac:dyDescent="0.2">
      <c r="A145">
        <v>619</v>
      </c>
      <c r="B145" s="1" t="s">
        <v>492</v>
      </c>
      <c r="C145" s="1"/>
      <c r="D145" s="2">
        <v>30</v>
      </c>
      <c r="E145" s="1" t="s">
        <v>463</v>
      </c>
      <c r="F145" s="9">
        <v>0.48</v>
      </c>
      <c r="G145" s="4">
        <v>20</v>
      </c>
      <c r="H145" s="4">
        <v>6.5</v>
      </c>
      <c r="I145" s="4"/>
      <c r="J145" s="4">
        <v>15.5</v>
      </c>
      <c r="K145" s="4">
        <v>2.4</v>
      </c>
      <c r="L145" s="4">
        <v>73</v>
      </c>
      <c r="M145" s="21">
        <f>1-AVERAGE(N145:R145)</f>
        <v>0.78773712000181284</v>
      </c>
      <c r="N145" s="20">
        <f>ABS($D$2-F145)/F145</f>
        <v>0.20833333333333354</v>
      </c>
      <c r="O145" s="20">
        <f>ABS($E$2-G145)/G145</f>
        <v>0.45</v>
      </c>
      <c r="P145" s="20">
        <f>ABS($F$2-H145)/H145</f>
        <v>4.6153846153846129E-2</v>
      </c>
      <c r="Q145" s="20">
        <f>ABS($H$2-J145)/J145</f>
        <v>0.32258064516129031</v>
      </c>
      <c r="R145" s="20">
        <f>ABS($J$2-L145)/L145</f>
        <v>3.4246575342465752E-2</v>
      </c>
    </row>
    <row r="146" spans="1:18" ht="12.75" customHeight="1" x14ac:dyDescent="0.2">
      <c r="A146">
        <v>236</v>
      </c>
      <c r="B146" s="9" t="s">
        <v>198</v>
      </c>
      <c r="C146" s="9" t="s">
        <v>199</v>
      </c>
      <c r="E146" s="6" t="s">
        <v>41</v>
      </c>
      <c r="F146" s="3">
        <f>(0.51+0.6)/2</f>
        <v>0.55499999999999994</v>
      </c>
      <c r="G146" s="3">
        <f>(21+25)/2</f>
        <v>23</v>
      </c>
      <c r="H146" s="3">
        <f>(3.8+4.6)/2</f>
        <v>4.1999999999999993</v>
      </c>
      <c r="I146" s="3"/>
      <c r="J146" s="3">
        <f>(20+24)/2</f>
        <v>22</v>
      </c>
      <c r="K146" s="3"/>
      <c r="L146" s="3"/>
      <c r="M146" s="21">
        <f>1-AVERAGE(N146:R146)</f>
        <v>0.78742827384131719</v>
      </c>
      <c r="N146" s="20">
        <f>ABS($D$2-F146)/F146</f>
        <v>4.5045045045045293E-2</v>
      </c>
      <c r="O146" s="20">
        <f>ABS($E$2-G146)/G146</f>
        <v>0.2608695652173913</v>
      </c>
      <c r="P146" s="20">
        <f>ABS($F$2-H146)/H146</f>
        <v>0.4761904761904765</v>
      </c>
      <c r="Q146" s="20">
        <f>ABS($H$2-J146)/J146</f>
        <v>6.8181818181818177E-2</v>
      </c>
      <c r="R146" s="20"/>
    </row>
    <row r="147" spans="1:18" ht="12.75" customHeight="1" x14ac:dyDescent="0.2">
      <c r="A147">
        <v>524</v>
      </c>
      <c r="B147" s="6" t="s">
        <v>70</v>
      </c>
      <c r="C147" s="6"/>
      <c r="D147" s="11">
        <v>1</v>
      </c>
      <c r="E147" s="6" t="s">
        <v>462</v>
      </c>
      <c r="F147" s="1">
        <v>0.46</v>
      </c>
      <c r="G147" s="4">
        <v>28</v>
      </c>
      <c r="H147" s="4">
        <v>3.6</v>
      </c>
      <c r="I147" s="4"/>
      <c r="J147" s="4">
        <v>20</v>
      </c>
      <c r="K147" s="4"/>
      <c r="L147" s="4">
        <v>77</v>
      </c>
      <c r="M147" s="21">
        <f>1-AVERAGE(N147:R147)</f>
        <v>0.78734268147311626</v>
      </c>
      <c r="N147" s="20">
        <f>ABS($D$2-F147)/F147</f>
        <v>0.26086956521739141</v>
      </c>
      <c r="O147" s="20">
        <f>ABS($E$2-G147)/G147</f>
        <v>3.5714285714285712E-2</v>
      </c>
      <c r="P147" s="20">
        <f>ABS($F$2-H147)/H147</f>
        <v>0.72222222222222221</v>
      </c>
      <c r="Q147" s="20">
        <f>ABS($H$2-J147)/J147</f>
        <v>2.5000000000000001E-2</v>
      </c>
      <c r="R147" s="20">
        <f>ABS($J$2-L147)/L147</f>
        <v>1.948051948051948E-2</v>
      </c>
    </row>
    <row r="148" spans="1:18" ht="12.75" customHeight="1" x14ac:dyDescent="0.2">
      <c r="A148">
        <v>55</v>
      </c>
      <c r="B148" s="1" t="s">
        <v>71</v>
      </c>
      <c r="C148" s="1"/>
      <c r="D148" s="2"/>
      <c r="E148" s="6" t="s">
        <v>41</v>
      </c>
      <c r="F148" s="3">
        <f>(0.64+0.74)/2</f>
        <v>0.69</v>
      </c>
      <c r="G148" s="3">
        <f>(26+33)/2</f>
        <v>29.5</v>
      </c>
      <c r="H148" s="3">
        <f>(4.5+6.2)/2</f>
        <v>5.35</v>
      </c>
      <c r="I148" s="3"/>
      <c r="J148" s="3">
        <f>(12+15)/2</f>
        <v>13.5</v>
      </c>
      <c r="K148" s="3"/>
      <c r="L148" s="3"/>
      <c r="M148" s="21">
        <f>1-AVERAGE(N148:R148)</f>
        <v>0.78655838360278474</v>
      </c>
      <c r="N148" s="20">
        <f>ABS($D$2-F148)/F148</f>
        <v>0.15942028985507228</v>
      </c>
      <c r="O148" s="20">
        <f>ABS($E$2-G148)/G148</f>
        <v>1.6949152542372881E-2</v>
      </c>
      <c r="P148" s="20">
        <f>ABS($F$2-H148)/H148</f>
        <v>0.1588785046728973</v>
      </c>
      <c r="Q148" s="20">
        <f>ABS($H$2-J148)/J148</f>
        <v>0.51851851851851849</v>
      </c>
      <c r="R148" s="20"/>
    </row>
    <row r="149" spans="1:18" ht="12.75" customHeight="1" x14ac:dyDescent="0.2">
      <c r="A149">
        <v>745</v>
      </c>
      <c r="B149" s="1" t="s">
        <v>594</v>
      </c>
      <c r="C149" s="1"/>
      <c r="D149" s="2"/>
      <c r="E149" s="6" t="s">
        <v>495</v>
      </c>
      <c r="F149" s="1">
        <v>0.9</v>
      </c>
      <c r="G149" s="1">
        <v>33</v>
      </c>
      <c r="H149" s="4">
        <v>9.1999999999999993</v>
      </c>
      <c r="J149" s="4">
        <v>22</v>
      </c>
      <c r="K149" s="4"/>
      <c r="L149" s="4">
        <v>63</v>
      </c>
      <c r="M149" s="21">
        <f>1-AVERAGE(N149:R149)</f>
        <v>0.78611017002321359</v>
      </c>
      <c r="N149" s="20">
        <f>ABS($D$2-F149)/F149</f>
        <v>0.35555555555555551</v>
      </c>
      <c r="O149" s="20">
        <f>ABS($E$2-G149)/G149</f>
        <v>0.12121212121212122</v>
      </c>
      <c r="P149" s="20">
        <f>ABS($F$2-H149)/H149</f>
        <v>0.32608695652173908</v>
      </c>
      <c r="Q149" s="20">
        <f>ABS($H$2-J149)/J149</f>
        <v>6.8181818181818177E-2</v>
      </c>
      <c r="R149" s="20">
        <f>ABS($J$2-L149)/L149</f>
        <v>0.1984126984126984</v>
      </c>
    </row>
    <row r="150" spans="1:18" ht="12.75" customHeight="1" x14ac:dyDescent="0.2">
      <c r="A150">
        <v>681</v>
      </c>
      <c r="B150" s="1" t="s">
        <v>547</v>
      </c>
      <c r="C150" s="1" t="s">
        <v>548</v>
      </c>
      <c r="D150" s="2"/>
      <c r="E150" s="6" t="s">
        <v>495</v>
      </c>
      <c r="F150" s="1">
        <v>0.9</v>
      </c>
      <c r="G150" s="4">
        <v>31</v>
      </c>
      <c r="H150" s="4">
        <v>5.8</v>
      </c>
      <c r="I150" s="4"/>
      <c r="J150" s="4">
        <v>15</v>
      </c>
      <c r="K150" s="4"/>
      <c r="L150" s="4">
        <v>62</v>
      </c>
      <c r="M150" s="21">
        <f>1-AVERAGE(N150:R150)</f>
        <v>0.78531083920405387</v>
      </c>
      <c r="N150" s="20">
        <f>ABS($D$2-F150)/F150</f>
        <v>0.35555555555555551</v>
      </c>
      <c r="O150" s="20">
        <f>ABS($E$2-G150)/G150</f>
        <v>6.4516129032258063E-2</v>
      </c>
      <c r="P150" s="20">
        <f>ABS($F$2-H150)/H150</f>
        <v>6.8965517241379379E-2</v>
      </c>
      <c r="Q150" s="20">
        <f>ABS($H$2-J150)/J150</f>
        <v>0.36666666666666664</v>
      </c>
      <c r="R150" s="20">
        <f>ABS($J$2-L150)/L150</f>
        <v>0.21774193548387097</v>
      </c>
    </row>
    <row r="151" spans="1:18" ht="12.75" customHeight="1" x14ac:dyDescent="0.2">
      <c r="A151">
        <v>137</v>
      </c>
      <c r="B151" s="1" t="s">
        <v>122</v>
      </c>
      <c r="C151" s="1"/>
      <c r="D151" s="2"/>
      <c r="E151" s="6" t="s">
        <v>41</v>
      </c>
      <c r="F151" s="3">
        <f>(0.57+0.77)/2</f>
        <v>0.66999999999999993</v>
      </c>
      <c r="G151" s="3">
        <f>(30+32)/2</f>
        <v>31</v>
      </c>
      <c r="H151" s="3">
        <f>(9+11)/2</f>
        <v>10</v>
      </c>
      <c r="I151" s="3"/>
      <c r="J151" s="3">
        <f>(27+30)/2</f>
        <v>28.5</v>
      </c>
      <c r="K151" s="3"/>
      <c r="L151" s="3"/>
      <c r="M151" s="21">
        <f>1-AVERAGE(N151:R151)</f>
        <v>0.78511343959320556</v>
      </c>
      <c r="N151" s="20">
        <f>ABS($D$2-F151)/F151</f>
        <v>0.13432835820895503</v>
      </c>
      <c r="O151" s="20">
        <f>ABS($E$2-G151)/G151</f>
        <v>6.4516129032258063E-2</v>
      </c>
      <c r="P151" s="20">
        <f>ABS($F$2-H151)/H151</f>
        <v>0.38</v>
      </c>
      <c r="Q151" s="20">
        <f>ABS($H$2-J151)/J151</f>
        <v>0.2807017543859649</v>
      </c>
      <c r="R151" s="20"/>
    </row>
    <row r="152" spans="1:18" ht="12.75" customHeight="1" x14ac:dyDescent="0.2">
      <c r="A152">
        <v>690</v>
      </c>
      <c r="B152" s="6" t="s">
        <v>553</v>
      </c>
      <c r="C152" s="1"/>
      <c r="D152" s="2"/>
      <c r="E152" s="6" t="s">
        <v>495</v>
      </c>
      <c r="F152" s="1">
        <v>0.8</v>
      </c>
      <c r="G152" s="4">
        <v>28</v>
      </c>
      <c r="H152" s="4">
        <v>6.4</v>
      </c>
      <c r="I152" s="4"/>
      <c r="J152" s="4">
        <v>39</v>
      </c>
      <c r="K152" s="4"/>
      <c r="L152" s="4">
        <v>60</v>
      </c>
      <c r="M152" s="21">
        <f>1-AVERAGE(N152:R152)</f>
        <v>0.78506868131868135</v>
      </c>
      <c r="N152" s="20">
        <f>ABS($D$2-F152)/F152</f>
        <v>0.27499999999999997</v>
      </c>
      <c r="O152" s="20">
        <f>ABS($E$2-G152)/G152</f>
        <v>3.5714285714285712E-2</v>
      </c>
      <c r="P152" s="20">
        <f>ABS($F$2-H152)/H152</f>
        <v>3.1250000000000028E-2</v>
      </c>
      <c r="Q152" s="20">
        <f>ABS($H$2-J152)/J152</f>
        <v>0.47435897435897434</v>
      </c>
      <c r="R152" s="20">
        <f>ABS($J$2-L152)/L152</f>
        <v>0.25833333333333336</v>
      </c>
    </row>
    <row r="153" spans="1:18" ht="12.75" customHeight="1" x14ac:dyDescent="0.2">
      <c r="A153">
        <v>758</v>
      </c>
      <c r="B153" s="1" t="s">
        <v>47</v>
      </c>
      <c r="C153" s="1"/>
      <c r="D153" s="2"/>
      <c r="E153" s="6" t="s">
        <v>482</v>
      </c>
      <c r="F153" s="1">
        <v>0.7</v>
      </c>
      <c r="G153" s="4">
        <v>35</v>
      </c>
      <c r="H153" s="4">
        <v>5.6</v>
      </c>
      <c r="I153" s="4"/>
      <c r="J153" s="4">
        <v>35</v>
      </c>
      <c r="K153" s="4"/>
      <c r="L153" s="4"/>
      <c r="M153" s="21">
        <f>1-AVERAGE(N153:R153)</f>
        <v>0.78392857142857142</v>
      </c>
      <c r="N153" s="20">
        <f>ABS($D$2-F153)/F153</f>
        <v>0.17142857142857126</v>
      </c>
      <c r="O153" s="20">
        <f>ABS($E$2-G153)/G153</f>
        <v>0.17142857142857143</v>
      </c>
      <c r="P153" s="20">
        <f>ABS($F$2-H153)/H153</f>
        <v>0.10714285714285725</v>
      </c>
      <c r="Q153" s="20">
        <f>ABS($H$2-J153)/J153</f>
        <v>0.41428571428571431</v>
      </c>
      <c r="R153" s="20"/>
    </row>
    <row r="154" spans="1:18" ht="12.75" customHeight="1" x14ac:dyDescent="0.2">
      <c r="A154">
        <v>677</v>
      </c>
      <c r="B154" s="1" t="s">
        <v>543</v>
      </c>
      <c r="C154" s="1" t="s">
        <v>544</v>
      </c>
      <c r="D154" s="2"/>
      <c r="E154" s="6" t="s">
        <v>495</v>
      </c>
      <c r="F154" s="1">
        <v>0.7</v>
      </c>
      <c r="G154" s="4">
        <v>26</v>
      </c>
      <c r="H154" s="4">
        <v>5.0999999999999996</v>
      </c>
      <c r="I154" s="4"/>
      <c r="J154" s="4">
        <v>17</v>
      </c>
      <c r="K154" s="4"/>
      <c r="L154" s="4">
        <v>55</v>
      </c>
      <c r="M154" s="21">
        <f>1-AVERAGE(N154:R154)</f>
        <v>0.78377818260171206</v>
      </c>
      <c r="N154" s="20">
        <f>ABS($D$2-F154)/F154</f>
        <v>0.17142857142857126</v>
      </c>
      <c r="O154" s="20">
        <f>ABS($E$2-G154)/G154</f>
        <v>0.11538461538461539</v>
      </c>
      <c r="P154" s="20">
        <f>ABS($F$2-H154)/H154</f>
        <v>0.21568627450980404</v>
      </c>
      <c r="Q154" s="20">
        <f>ABS($H$2-J154)/J154</f>
        <v>0.20588235294117646</v>
      </c>
      <c r="R154" s="20">
        <f>ABS($J$2-L154)/L154</f>
        <v>0.37272727272727274</v>
      </c>
    </row>
    <row r="155" spans="1:18" ht="12.75" customHeight="1" x14ac:dyDescent="0.2">
      <c r="A155">
        <v>18</v>
      </c>
      <c r="B155" s="6" t="s">
        <v>50</v>
      </c>
      <c r="C155" s="6" t="s">
        <v>51</v>
      </c>
      <c r="D155" s="7"/>
      <c r="E155" s="6" t="s">
        <v>41</v>
      </c>
      <c r="F155" s="3">
        <f>(0.87+1.02)/2</f>
        <v>0.94500000000000006</v>
      </c>
      <c r="G155" s="3">
        <f>(31+33)/2</f>
        <v>32</v>
      </c>
      <c r="H155" s="3">
        <f>(5.3+6.3)/2</f>
        <v>5.8</v>
      </c>
      <c r="I155" s="3"/>
      <c r="J155" s="3">
        <f>(29+31)/2</f>
        <v>30</v>
      </c>
      <c r="K155" s="3"/>
      <c r="L155" s="3"/>
      <c r="M155" s="21">
        <f>1-AVERAGE(N155:R155)</f>
        <v>0.78359360746214191</v>
      </c>
      <c r="N155" s="20">
        <f>ABS($D$2-F155)/F155</f>
        <v>0.38624338624338622</v>
      </c>
      <c r="O155" s="20">
        <f>ABS($E$2-G155)/G155</f>
        <v>9.375E-2</v>
      </c>
      <c r="P155" s="20">
        <f>ABS($F$2-H155)/H155</f>
        <v>6.8965517241379379E-2</v>
      </c>
      <c r="Q155" s="20">
        <f>ABS($H$2-J155)/J155</f>
        <v>0.31666666666666665</v>
      </c>
      <c r="R155" s="20"/>
    </row>
    <row r="156" spans="1:18" ht="12.75" customHeight="1" x14ac:dyDescent="0.2">
      <c r="A156">
        <v>188</v>
      </c>
      <c r="B156" s="1" t="s">
        <v>158</v>
      </c>
      <c r="C156" s="1"/>
      <c r="D156" s="2"/>
      <c r="E156" s="6" t="s">
        <v>41</v>
      </c>
      <c r="F156" s="3">
        <f>(0.86+0.96)/2</f>
        <v>0.90999999999999992</v>
      </c>
      <c r="G156" s="3">
        <f>(19+27)/2</f>
        <v>23</v>
      </c>
      <c r="H156" s="3">
        <f>(6.7+6.8)/2</f>
        <v>6.75</v>
      </c>
      <c r="I156" s="3"/>
      <c r="J156" s="3">
        <f>(22+27)/2</f>
        <v>24.5</v>
      </c>
      <c r="K156" s="3"/>
      <c r="L156" s="3"/>
      <c r="M156" s="21">
        <f>1-AVERAGE(N156:R156)</f>
        <v>0.78293657113532888</v>
      </c>
      <c r="N156" s="20">
        <f>ABS($D$2-F156)/F156</f>
        <v>0.36263736263736251</v>
      </c>
      <c r="O156" s="20">
        <f>ABS($E$2-G156)/G156</f>
        <v>0.2608695652173913</v>
      </c>
      <c r="P156" s="20">
        <f>ABS($F$2-H156)/H156</f>
        <v>8.148148148148146E-2</v>
      </c>
      <c r="Q156" s="20">
        <f>ABS($H$2-J156)/J156</f>
        <v>0.16326530612244897</v>
      </c>
      <c r="R156" s="20"/>
    </row>
    <row r="157" spans="1:18" ht="12.75" customHeight="1" x14ac:dyDescent="0.2">
      <c r="A157">
        <v>615</v>
      </c>
      <c r="B157" s="1" t="s">
        <v>491</v>
      </c>
      <c r="C157" s="1"/>
      <c r="D157" s="2">
        <v>8</v>
      </c>
      <c r="E157" s="1" t="s">
        <v>463</v>
      </c>
      <c r="F157" s="1">
        <v>0.53</v>
      </c>
      <c r="G157" s="4">
        <v>29</v>
      </c>
      <c r="H157" s="4">
        <v>3.5</v>
      </c>
      <c r="I157" s="4"/>
      <c r="J157" s="4">
        <v>17</v>
      </c>
      <c r="K157" s="4">
        <f>(2.5+3)/2</f>
        <v>2.75</v>
      </c>
      <c r="L157" s="4">
        <v>77</v>
      </c>
      <c r="M157" s="21">
        <f>1-AVERAGE(N157:R157)</f>
        <v>0.78177378670164466</v>
      </c>
      <c r="N157" s="20">
        <f>ABS($D$2-F157)/F157</f>
        <v>9.433962264150951E-2</v>
      </c>
      <c r="O157" s="20">
        <f>ABS($E$2-G157)/G157</f>
        <v>0</v>
      </c>
      <c r="P157" s="20">
        <f>ABS($F$2-H157)/H157</f>
        <v>0.77142857142857146</v>
      </c>
      <c r="Q157" s="20">
        <f>ABS($H$2-J157)/J157</f>
        <v>0.20588235294117646</v>
      </c>
      <c r="R157" s="20">
        <f>ABS($J$2-L157)/L157</f>
        <v>1.948051948051948E-2</v>
      </c>
    </row>
    <row r="158" spans="1:18" ht="12.75" customHeight="1" x14ac:dyDescent="0.2">
      <c r="A158">
        <v>675</v>
      </c>
      <c r="B158" s="1" t="s">
        <v>540</v>
      </c>
      <c r="C158" s="1"/>
      <c r="D158" s="2"/>
      <c r="E158" s="6" t="s">
        <v>482</v>
      </c>
      <c r="F158" s="1">
        <v>0.86</v>
      </c>
      <c r="G158" s="4">
        <v>33</v>
      </c>
      <c r="H158" s="4">
        <v>6.1</v>
      </c>
      <c r="I158" s="4"/>
      <c r="J158" s="4">
        <v>14.5</v>
      </c>
      <c r="K158" s="4"/>
      <c r="L158" s="4"/>
      <c r="M158" s="21">
        <f>1-AVERAGE(N158:R158)</f>
        <v>0.78075498434195367</v>
      </c>
      <c r="N158" s="20">
        <f>ABS($D$2-F158)/F158</f>
        <v>0.32558139534883712</v>
      </c>
      <c r="O158" s="20">
        <f>ABS($E$2-G158)/G158</f>
        <v>0.12121212121212122</v>
      </c>
      <c r="P158" s="20">
        <f>ABS($F$2-H158)/H158</f>
        <v>1.6393442622950907E-2</v>
      </c>
      <c r="Q158" s="20">
        <f>ABS($H$2-J158)/J158</f>
        <v>0.41379310344827586</v>
      </c>
      <c r="R158" s="20"/>
    </row>
    <row r="159" spans="1:18" ht="12.75" customHeight="1" x14ac:dyDescent="0.2">
      <c r="A159">
        <v>539</v>
      </c>
      <c r="B159" s="9" t="s">
        <v>467</v>
      </c>
      <c r="C159" s="9"/>
      <c r="D159" s="11">
        <v>10</v>
      </c>
      <c r="E159" s="6" t="s">
        <v>464</v>
      </c>
      <c r="F159" s="1">
        <v>0.37</v>
      </c>
      <c r="G159" s="4">
        <v>26</v>
      </c>
      <c r="H159" s="4">
        <v>5.3</v>
      </c>
      <c r="I159" s="4"/>
      <c r="J159" s="4">
        <v>20</v>
      </c>
      <c r="K159" s="4"/>
      <c r="L159" s="4"/>
      <c r="M159" s="21">
        <f>1-AVERAGE(N159:R159)</f>
        <v>0.78055912407327499</v>
      </c>
      <c r="N159" s="20">
        <f>ABS($D$2-F159)/F159</f>
        <v>0.56756756756756777</v>
      </c>
      <c r="O159" s="20">
        <f>ABS($E$2-G159)/G159</f>
        <v>0.11538461538461539</v>
      </c>
      <c r="P159" s="20">
        <f>ABS($F$2-H159)/H159</f>
        <v>0.16981132075471705</v>
      </c>
      <c r="Q159" s="20">
        <f>ABS($H$2-J159)/J159</f>
        <v>2.5000000000000001E-2</v>
      </c>
      <c r="R159" s="20"/>
    </row>
    <row r="160" spans="1:18" ht="12.75" customHeight="1" x14ac:dyDescent="0.2">
      <c r="A160">
        <v>696</v>
      </c>
      <c r="B160" s="1" t="s">
        <v>558</v>
      </c>
      <c r="C160" s="1"/>
      <c r="D160" s="2"/>
      <c r="E160" s="6" t="s">
        <v>495</v>
      </c>
      <c r="F160" s="1">
        <v>0.7</v>
      </c>
      <c r="G160" s="1">
        <v>26</v>
      </c>
      <c r="H160" s="1">
        <v>6.6</v>
      </c>
      <c r="I160" s="1"/>
      <c r="J160" s="1">
        <v>44</v>
      </c>
      <c r="K160" s="1"/>
      <c r="L160" s="4">
        <v>62</v>
      </c>
      <c r="M160" s="21">
        <f>1-AVERAGE(N160:R160)</f>
        <v>0.78014958160119452</v>
      </c>
      <c r="N160" s="20">
        <f>ABS($D$2-F160)/F160</f>
        <v>0.17142857142857126</v>
      </c>
      <c r="O160" s="20">
        <f>ABS($E$2-G160)/G160</f>
        <v>0.11538461538461539</v>
      </c>
      <c r="P160" s="20">
        <f>ABS($F$2-H160)/H160</f>
        <v>6.0606060606060531E-2</v>
      </c>
      <c r="Q160" s="20">
        <f>ABS($H$2-J160)/J160</f>
        <v>0.53409090909090906</v>
      </c>
      <c r="R160" s="20">
        <f>ABS($J$2-L160)/L160</f>
        <v>0.21774193548387097</v>
      </c>
    </row>
    <row r="161" spans="1:18" ht="12.75" customHeight="1" x14ac:dyDescent="0.2">
      <c r="A161">
        <v>589</v>
      </c>
      <c r="B161" s="9" t="s">
        <v>485</v>
      </c>
      <c r="C161" s="1"/>
      <c r="D161" s="2">
        <v>13</v>
      </c>
      <c r="E161" s="1" t="s">
        <v>463</v>
      </c>
      <c r="F161" s="1">
        <f>(0.39+0.47)/2</f>
        <v>0.43</v>
      </c>
      <c r="G161" s="4">
        <f>(20.4+25.8)/2</f>
        <v>23.1</v>
      </c>
      <c r="H161" s="4">
        <f>(3.7+4.8)/2</f>
        <v>4.25</v>
      </c>
      <c r="J161" s="4">
        <f>(18+22.3)/2</f>
        <v>20.149999999999999</v>
      </c>
      <c r="K161" s="4"/>
      <c r="L161" s="4">
        <f>(73+81)/2</f>
        <v>77</v>
      </c>
      <c r="M161" s="21">
        <f>1-AVERAGE(N161:R161)</f>
        <v>0.78001555186939764</v>
      </c>
      <c r="N161" s="20">
        <f>ABS($D$2-F161)/F161</f>
        <v>0.34883720930232576</v>
      </c>
      <c r="O161" s="20">
        <f>ABS($E$2-G161)/G161</f>
        <v>0.25541125541125531</v>
      </c>
      <c r="P161" s="20">
        <f>ABS($F$2-H161)/H161</f>
        <v>0.45882352941176474</v>
      </c>
      <c r="Q161" s="20">
        <f>ABS($H$2-J161)/J161</f>
        <v>1.7369727047146472E-2</v>
      </c>
      <c r="R161" s="20">
        <f>ABS($J$2-L161)/L161</f>
        <v>1.948051948051948E-2</v>
      </c>
    </row>
    <row r="162" spans="1:18" ht="12.75" customHeight="1" x14ac:dyDescent="0.2">
      <c r="A162">
        <v>202</v>
      </c>
      <c r="B162" s="1" t="s">
        <v>169</v>
      </c>
      <c r="C162" s="1" t="s">
        <v>170</v>
      </c>
      <c r="D162" s="2"/>
      <c r="E162" s="6" t="s">
        <v>41</v>
      </c>
      <c r="F162" s="3">
        <f>(0.62+0.7)/2</f>
        <v>0.65999999999999992</v>
      </c>
      <c r="G162" s="3">
        <f>(27+32)/2</f>
        <v>29.5</v>
      </c>
      <c r="H162" s="3">
        <f>(4.5+4.8)/2</f>
        <v>4.6500000000000004</v>
      </c>
      <c r="I162" s="3"/>
      <c r="J162" s="3">
        <f>(14.3+14.7)/2</f>
        <v>14.5</v>
      </c>
      <c r="K162" s="3"/>
      <c r="L162" s="3"/>
      <c r="M162" s="21">
        <f>1-AVERAGE(N162:R162)</f>
        <v>0.77867807236597431</v>
      </c>
      <c r="N162" s="20">
        <f>ABS($D$2-F162)/F162</f>
        <v>0.12121212121212099</v>
      </c>
      <c r="O162" s="20">
        <f>ABS($E$2-G162)/G162</f>
        <v>1.6949152542372881E-2</v>
      </c>
      <c r="P162" s="20">
        <f>ABS($F$2-H162)/H162</f>
        <v>0.33333333333333326</v>
      </c>
      <c r="Q162" s="20">
        <f>ABS($H$2-J162)/J162</f>
        <v>0.41379310344827586</v>
      </c>
      <c r="R162" s="20"/>
    </row>
    <row r="163" spans="1:18" ht="12.75" customHeight="1" x14ac:dyDescent="0.2">
      <c r="A163">
        <v>695</v>
      </c>
      <c r="B163" s="1" t="s">
        <v>557</v>
      </c>
      <c r="C163" s="1"/>
      <c r="D163" s="2"/>
      <c r="E163" s="6" t="s">
        <v>482</v>
      </c>
      <c r="F163" s="1">
        <v>0.64</v>
      </c>
      <c r="G163" s="4">
        <v>33</v>
      </c>
      <c r="H163" s="4">
        <v>4.5</v>
      </c>
      <c r="I163" s="4"/>
      <c r="J163" s="4">
        <v>29</v>
      </c>
      <c r="K163" s="4"/>
      <c r="L163" s="4"/>
      <c r="M163" s="21">
        <f>1-AVERAGE(N163:R163)</f>
        <v>0.77853916318355976</v>
      </c>
      <c r="N163" s="20">
        <f>ABS($D$2-F163)/F163</f>
        <v>9.3749999999999903E-2</v>
      </c>
      <c r="O163" s="20">
        <f>ABS($E$2-G163)/G163</f>
        <v>0.12121212121212122</v>
      </c>
      <c r="P163" s="20">
        <f>ABS($F$2-H163)/H163</f>
        <v>0.37777777777777782</v>
      </c>
      <c r="Q163" s="20">
        <f>ABS($H$2-J163)/J163</f>
        <v>0.29310344827586204</v>
      </c>
      <c r="R163" s="20"/>
    </row>
    <row r="164" spans="1:18" ht="12.75" customHeight="1" x14ac:dyDescent="0.2">
      <c r="A164">
        <v>132</v>
      </c>
      <c r="B164" s="1" t="s">
        <v>119</v>
      </c>
      <c r="C164" s="1"/>
      <c r="D164" s="2"/>
      <c r="E164" s="6" t="s">
        <v>40</v>
      </c>
      <c r="F164" s="3">
        <f>(0.55+0.7)/2</f>
        <v>0.625</v>
      </c>
      <c r="G164" s="3">
        <f>(25+27)/2</f>
        <v>26</v>
      </c>
      <c r="H164" s="3">
        <f>(10.3+11.7)/2</f>
        <v>11</v>
      </c>
      <c r="I164" s="3"/>
      <c r="J164" s="3">
        <f>(12.5+15.6)/2</f>
        <v>14.05</v>
      </c>
      <c r="K164" s="3"/>
      <c r="L164" s="3">
        <f>(77+78.2)/2</f>
        <v>77.599999999999994</v>
      </c>
      <c r="M164" s="21">
        <f>1-AVERAGE(N164:R164)</f>
        <v>0.77802303189711197</v>
      </c>
      <c r="N164" s="20">
        <f>ABS($D$2-F164)/F164</f>
        <v>7.1999999999999884E-2</v>
      </c>
      <c r="O164" s="20">
        <f>ABS($E$2-G164)/G164</f>
        <v>0.11538461538461539</v>
      </c>
      <c r="P164" s="20">
        <f>ABS($F$2-H164)/H164</f>
        <v>0.43636363636363634</v>
      </c>
      <c r="Q164" s="20">
        <f>ABS($H$2-J164)/J164</f>
        <v>0.45907473309608532</v>
      </c>
      <c r="R164" s="20">
        <f>ABS($J$2-L164)/L164</f>
        <v>2.7061855670103021E-2</v>
      </c>
    </row>
    <row r="165" spans="1:18" ht="12.75" customHeight="1" x14ac:dyDescent="0.2">
      <c r="A165">
        <v>685</v>
      </c>
      <c r="B165" s="1" t="s">
        <v>62</v>
      </c>
      <c r="C165" s="1"/>
      <c r="D165" s="2"/>
      <c r="E165" s="6" t="s">
        <v>482</v>
      </c>
      <c r="F165" s="1">
        <f>(0.9+1.3)/2</f>
        <v>1.1000000000000001</v>
      </c>
      <c r="G165" s="4">
        <f>(27+30)/2</f>
        <v>28.5</v>
      </c>
      <c r="H165" s="4">
        <f>(6.5+7)/2</f>
        <v>6.75</v>
      </c>
      <c r="I165" s="4"/>
      <c r="J165" s="4">
        <f>(28+32)/2</f>
        <v>30</v>
      </c>
      <c r="K165" s="4"/>
      <c r="L165" s="4"/>
      <c r="M165" s="21">
        <f>1-AVERAGE(N165:R165)</f>
        <v>0.77789517986886403</v>
      </c>
      <c r="N165" s="20">
        <f>ABS($D$2-F165)/F165</f>
        <v>0.47272727272727272</v>
      </c>
      <c r="O165" s="20">
        <f>ABS($E$2-G165)/G165</f>
        <v>1.7543859649122806E-2</v>
      </c>
      <c r="P165" s="20">
        <f>ABS($F$2-H165)/H165</f>
        <v>8.148148148148146E-2</v>
      </c>
      <c r="Q165" s="20">
        <f>ABS($H$2-J165)/J165</f>
        <v>0.31666666666666665</v>
      </c>
      <c r="R165" s="20"/>
    </row>
    <row r="166" spans="1:18" ht="12.75" customHeight="1" x14ac:dyDescent="0.2">
      <c r="A166">
        <v>39</v>
      </c>
      <c r="B166" s="1" t="s">
        <v>63</v>
      </c>
      <c r="C166" s="1"/>
      <c r="D166" s="2"/>
      <c r="E166" s="6" t="s">
        <v>41</v>
      </c>
      <c r="F166" s="3">
        <f>(0.85+0.85)/2</f>
        <v>0.85</v>
      </c>
      <c r="G166" s="3">
        <f>(28+30)/2</f>
        <v>29</v>
      </c>
      <c r="H166" s="3">
        <f>(4.4+5.2)/2</f>
        <v>4.8000000000000007</v>
      </c>
      <c r="I166" s="3"/>
      <c r="J166" s="3">
        <f>(27+30)/2</f>
        <v>28.5</v>
      </c>
      <c r="K166" s="3"/>
      <c r="L166" s="3"/>
      <c r="M166" s="21">
        <f>1-AVERAGE(N166:R166)</f>
        <v>0.77749613003095974</v>
      </c>
      <c r="N166" s="20">
        <f>ABS($D$2-F166)/F166</f>
        <v>0.31764705882352934</v>
      </c>
      <c r="O166" s="20">
        <f>ABS($E$2-G166)/G166</f>
        <v>0</v>
      </c>
      <c r="P166" s="20">
        <f>ABS($F$2-H166)/H166</f>
        <v>0.29166666666666652</v>
      </c>
      <c r="Q166" s="20">
        <f>ABS($H$2-J166)/J166</f>
        <v>0.2807017543859649</v>
      </c>
      <c r="R166" s="20"/>
    </row>
    <row r="167" spans="1:18" ht="12.75" customHeight="1" x14ac:dyDescent="0.2">
      <c r="A167">
        <v>295</v>
      </c>
      <c r="B167" s="9" t="s">
        <v>234</v>
      </c>
      <c r="E167" s="6" t="s">
        <v>41</v>
      </c>
      <c r="F167" s="3">
        <v>0.75</v>
      </c>
      <c r="G167" s="3">
        <v>26</v>
      </c>
      <c r="H167" s="3">
        <v>4.5999999999999996</v>
      </c>
      <c r="I167" s="3"/>
      <c r="J167" s="3">
        <v>17</v>
      </c>
      <c r="K167" s="3"/>
      <c r="L167" s="3"/>
      <c r="M167" s="21">
        <f>1-AVERAGE(N167:R167)</f>
        <v>0.77606006951275486</v>
      </c>
      <c r="N167" s="20">
        <f>ABS($D$2-F167)/F167</f>
        <v>0.22666666666666657</v>
      </c>
      <c r="O167" s="20">
        <f>ABS($E$2-G167)/G167</f>
        <v>0.11538461538461539</v>
      </c>
      <c r="P167" s="20">
        <f>ABS($F$2-H167)/H167</f>
        <v>0.3478260869565219</v>
      </c>
      <c r="Q167" s="20">
        <f>ABS($H$2-J167)/J167</f>
        <v>0.20588235294117646</v>
      </c>
      <c r="R167" s="20"/>
    </row>
    <row r="168" spans="1:18" ht="12.75" customHeight="1" x14ac:dyDescent="0.2">
      <c r="A168">
        <v>678</v>
      </c>
      <c r="B168" s="1" t="s">
        <v>543</v>
      </c>
      <c r="C168" s="1" t="s">
        <v>544</v>
      </c>
      <c r="D168" s="2"/>
      <c r="E168" s="6" t="s">
        <v>482</v>
      </c>
      <c r="F168" s="1">
        <v>0.72</v>
      </c>
      <c r="G168" s="4">
        <v>26</v>
      </c>
      <c r="H168" s="4">
        <v>5.5</v>
      </c>
      <c r="I168" s="4"/>
      <c r="J168" s="4">
        <v>14</v>
      </c>
      <c r="K168" s="4"/>
      <c r="L168" s="4"/>
      <c r="M168" s="21">
        <f>1-AVERAGE(N168:R168)</f>
        <v>0.77465312465312464</v>
      </c>
      <c r="N168" s="20">
        <f>ABS($D$2-F168)/F168</f>
        <v>0.19444444444444431</v>
      </c>
      <c r="O168" s="20">
        <f>ABS($E$2-G168)/G168</f>
        <v>0.11538461538461539</v>
      </c>
      <c r="P168" s="20">
        <f>ABS($F$2-H168)/H168</f>
        <v>0.12727272727272732</v>
      </c>
      <c r="Q168" s="20">
        <f>ABS($H$2-J168)/J168</f>
        <v>0.4642857142857143</v>
      </c>
      <c r="R168" s="20"/>
    </row>
    <row r="169" spans="1:18" ht="12.75" customHeight="1" x14ac:dyDescent="0.2">
      <c r="A169">
        <v>747</v>
      </c>
      <c r="B169" s="1" t="s">
        <v>595</v>
      </c>
      <c r="C169" s="1"/>
      <c r="D169" s="2"/>
      <c r="E169" s="6" t="s">
        <v>495</v>
      </c>
      <c r="F169" s="1">
        <v>0.8</v>
      </c>
      <c r="G169" s="4">
        <v>28</v>
      </c>
      <c r="H169" s="4">
        <v>9</v>
      </c>
      <c r="I169" s="4"/>
      <c r="J169" s="4">
        <v>14.5</v>
      </c>
      <c r="K169" s="4"/>
      <c r="L169" s="4">
        <v>69</v>
      </c>
      <c r="M169" s="21">
        <f>1-AVERAGE(N169:R169)</f>
        <v>0.77403572023512057</v>
      </c>
      <c r="N169" s="20">
        <f>ABS($D$2-F169)/F169</f>
        <v>0.27499999999999997</v>
      </c>
      <c r="O169" s="20">
        <f>ABS($E$2-G169)/G169</f>
        <v>3.5714285714285712E-2</v>
      </c>
      <c r="P169" s="20">
        <f>ABS($F$2-H169)/H169</f>
        <v>0.31111111111111112</v>
      </c>
      <c r="Q169" s="20">
        <f>ABS($H$2-J169)/J169</f>
        <v>0.41379310344827586</v>
      </c>
      <c r="R169" s="20">
        <f>ABS($J$2-L169)/L169</f>
        <v>9.420289855072464E-2</v>
      </c>
    </row>
    <row r="170" spans="1:18" ht="12.75" customHeight="1" x14ac:dyDescent="0.2">
      <c r="A170">
        <v>642</v>
      </c>
      <c r="B170" s="6" t="s">
        <v>515</v>
      </c>
      <c r="C170" s="6"/>
      <c r="D170" s="7"/>
      <c r="E170" s="6" t="s">
        <v>482</v>
      </c>
      <c r="F170" s="1">
        <v>0.6</v>
      </c>
      <c r="G170" s="4">
        <v>38</v>
      </c>
      <c r="H170" s="4">
        <v>5.3</v>
      </c>
      <c r="I170" s="4"/>
      <c r="J170" s="4">
        <v>14</v>
      </c>
      <c r="K170" s="4"/>
      <c r="L170" s="4"/>
      <c r="M170" s="21">
        <f>1-AVERAGE(N170:R170)</f>
        <v>0.77393188159076942</v>
      </c>
      <c r="N170" s="20">
        <f>ABS($D$2-F170)/F170</f>
        <v>3.333333333333318E-2</v>
      </c>
      <c r="O170" s="20">
        <f>ABS($E$2-G170)/G170</f>
        <v>0.23684210526315788</v>
      </c>
      <c r="P170" s="20">
        <f>ABS($F$2-H170)/H170</f>
        <v>0.16981132075471705</v>
      </c>
      <c r="Q170" s="20">
        <f>ABS($H$2-J170)/J170</f>
        <v>0.4642857142857143</v>
      </c>
      <c r="R170" s="20"/>
    </row>
    <row r="171" spans="1:18" ht="12.75" customHeight="1" x14ac:dyDescent="0.2">
      <c r="A171">
        <v>679</v>
      </c>
      <c r="B171" s="1" t="s">
        <v>545</v>
      </c>
      <c r="C171" s="1" t="s">
        <v>546</v>
      </c>
      <c r="D171" s="2"/>
      <c r="E171" s="6" t="s">
        <v>495</v>
      </c>
      <c r="F171" s="1">
        <v>0.63</v>
      </c>
      <c r="G171" s="4">
        <v>24</v>
      </c>
      <c r="H171" s="4">
        <v>5</v>
      </c>
      <c r="I171" s="4"/>
      <c r="J171" s="4">
        <v>16</v>
      </c>
      <c r="K171" s="4"/>
      <c r="L171" s="4">
        <v>57</v>
      </c>
      <c r="M171" s="21">
        <f>1-AVERAGE(N171:R171)</f>
        <v>0.77329803675856312</v>
      </c>
      <c r="N171" s="20">
        <f>ABS($D$2-F171)/F171</f>
        <v>7.9365079365079264E-2</v>
      </c>
      <c r="O171" s="20">
        <f>ABS($E$2-G171)/G171</f>
        <v>0.20833333333333334</v>
      </c>
      <c r="P171" s="20">
        <f>ABS($F$2-H171)/H171</f>
        <v>0.24000000000000005</v>
      </c>
      <c r="Q171" s="20">
        <f>ABS($H$2-J171)/J171</f>
        <v>0.28125</v>
      </c>
      <c r="R171" s="20">
        <f>ABS($J$2-L171)/L171</f>
        <v>0.32456140350877194</v>
      </c>
    </row>
    <row r="172" spans="1:18" ht="12.75" customHeight="1" x14ac:dyDescent="0.2">
      <c r="A172">
        <v>712</v>
      </c>
      <c r="B172" s="1" t="s">
        <v>569</v>
      </c>
      <c r="C172" s="1"/>
      <c r="D172" s="2"/>
      <c r="E172" s="6" t="s">
        <v>495</v>
      </c>
      <c r="F172" s="1">
        <f>(1+1.3)/2</f>
        <v>1.1499999999999999</v>
      </c>
      <c r="G172" s="4">
        <f>(28+35)/2</f>
        <v>31.5</v>
      </c>
      <c r="H172" s="4">
        <f>(6+6.6)/2</f>
        <v>6.3</v>
      </c>
      <c r="I172" s="4"/>
      <c r="J172" s="4">
        <v>14</v>
      </c>
      <c r="K172" s="4"/>
      <c r="L172" s="4">
        <v>82</v>
      </c>
      <c r="M172" s="21">
        <f>1-AVERAGE(N172:R172)</f>
        <v>0.77311114477604403</v>
      </c>
      <c r="N172" s="20">
        <f>ABS($D$2-F172)/F172</f>
        <v>0.49565217391304339</v>
      </c>
      <c r="O172" s="20">
        <f>ABS($E$2-G172)/G172</f>
        <v>7.9365079365079361E-2</v>
      </c>
      <c r="P172" s="20">
        <f>ABS($F$2-H172)/H172</f>
        <v>1.5873015873015817E-2</v>
      </c>
      <c r="Q172" s="20">
        <f>ABS($H$2-J172)/J172</f>
        <v>0.4642857142857143</v>
      </c>
      <c r="R172" s="20">
        <f>ABS($J$2-L172)/L172</f>
        <v>7.926829268292683E-2</v>
      </c>
    </row>
    <row r="173" spans="1:18" ht="12.75" customHeight="1" x14ac:dyDescent="0.2">
      <c r="A173">
        <v>926</v>
      </c>
      <c r="B173" s="1" t="s">
        <v>733</v>
      </c>
      <c r="C173" s="1" t="s">
        <v>734</v>
      </c>
      <c r="D173" s="2"/>
      <c r="E173" s="6" t="s">
        <v>482</v>
      </c>
      <c r="F173" s="1">
        <v>1.4</v>
      </c>
      <c r="G173" s="4">
        <v>38</v>
      </c>
      <c r="H173" s="4">
        <v>5.8</v>
      </c>
      <c r="I173" s="4"/>
      <c r="J173" s="4">
        <v>21</v>
      </c>
      <c r="K173" s="4"/>
      <c r="L173" s="4"/>
      <c r="M173" s="21">
        <f>1-AVERAGE(N173:R173)</f>
        <v>0.77116714199291336</v>
      </c>
      <c r="N173" s="20">
        <f>ABS($D$2-F173)/F173</f>
        <v>0.58571428571428563</v>
      </c>
      <c r="O173" s="20">
        <f>ABS($E$2-G173)/G173</f>
        <v>0.23684210526315788</v>
      </c>
      <c r="P173" s="20">
        <f>ABS($F$2-H173)/H173</f>
        <v>6.8965517241379379E-2</v>
      </c>
      <c r="Q173" s="20">
        <f>ABS($H$2-J173)/J173</f>
        <v>2.3809523809523808E-2</v>
      </c>
      <c r="R173" s="20"/>
    </row>
    <row r="174" spans="1:18" ht="12.75" customHeight="1" x14ac:dyDescent="0.2">
      <c r="A174">
        <v>740</v>
      </c>
      <c r="B174" s="1" t="s">
        <v>107</v>
      </c>
      <c r="C174" s="1"/>
      <c r="D174" s="2"/>
      <c r="E174" s="6" t="s">
        <v>495</v>
      </c>
      <c r="F174" s="1">
        <f>(0.7+1)/2</f>
        <v>0.85</v>
      </c>
      <c r="G174" s="4">
        <v>24</v>
      </c>
      <c r="H174" s="4">
        <v>5.0999999999999996</v>
      </c>
      <c r="I174" s="4"/>
      <c r="J174" s="4">
        <v>34</v>
      </c>
      <c r="K174" s="4"/>
      <c r="L174" s="4">
        <v>76</v>
      </c>
      <c r="M174" s="21">
        <f>1-AVERAGE(N174:R174)</f>
        <v>0.77093911248710012</v>
      </c>
      <c r="N174" s="20">
        <f>ABS($D$2-F174)/F174</f>
        <v>0.31764705882352934</v>
      </c>
      <c r="O174" s="20">
        <f>ABS($E$2-G174)/G174</f>
        <v>0.20833333333333334</v>
      </c>
      <c r="P174" s="20">
        <f>ABS($F$2-H174)/H174</f>
        <v>0.21568627450980404</v>
      </c>
      <c r="Q174" s="20">
        <f>ABS($H$2-J174)/J174</f>
        <v>0.39705882352941174</v>
      </c>
      <c r="R174" s="20">
        <f>ABS($J$2-L174)/L174</f>
        <v>6.5789473684210523E-3</v>
      </c>
    </row>
    <row r="175" spans="1:18" ht="12.75" customHeight="1" x14ac:dyDescent="0.2">
      <c r="A175">
        <v>618</v>
      </c>
      <c r="B175" s="1" t="s">
        <v>492</v>
      </c>
      <c r="C175" s="1"/>
      <c r="D175" s="2"/>
      <c r="E175" s="1" t="s">
        <v>466</v>
      </c>
      <c r="F175" s="1">
        <v>0.51</v>
      </c>
      <c r="G175" s="4">
        <v>17.899999999999999</v>
      </c>
      <c r="H175" s="4">
        <v>6.6</v>
      </c>
      <c r="I175" s="4"/>
      <c r="J175" s="4">
        <v>16</v>
      </c>
      <c r="K175" s="4">
        <v>2.1</v>
      </c>
      <c r="L175" s="4">
        <v>72</v>
      </c>
      <c r="M175" s="21">
        <f>1-AVERAGE(N175:R175)</f>
        <v>0.7704332388956936</v>
      </c>
      <c r="N175" s="20">
        <f>ABS($D$2-F175)/F175</f>
        <v>0.13725490196078444</v>
      </c>
      <c r="O175" s="20">
        <f>ABS($E$2-G175)/G175</f>
        <v>0.6201117318435756</v>
      </c>
      <c r="P175" s="20">
        <f>ABS($F$2-H175)/H175</f>
        <v>6.0606060606060531E-2</v>
      </c>
      <c r="Q175" s="20">
        <f>ABS($H$2-J175)/J175</f>
        <v>0.28125</v>
      </c>
      <c r="R175" s="20">
        <f>ABS($J$2-L175)/L175</f>
        <v>4.8611111111111112E-2</v>
      </c>
    </row>
    <row r="176" spans="1:18" ht="12.75" customHeight="1" x14ac:dyDescent="0.2">
      <c r="A176">
        <v>603</v>
      </c>
      <c r="B176" s="1" t="s">
        <v>489</v>
      </c>
      <c r="C176" s="1"/>
      <c r="D176" s="2"/>
      <c r="E176" s="1" t="s">
        <v>466</v>
      </c>
      <c r="F176" s="1">
        <v>0.44</v>
      </c>
      <c r="G176" s="4">
        <v>20</v>
      </c>
      <c r="H176" s="4">
        <v>5.6</v>
      </c>
      <c r="I176" s="4">
        <v>4.0999999999999996</v>
      </c>
      <c r="J176" s="4">
        <v>17</v>
      </c>
      <c r="K176" s="4">
        <v>1</v>
      </c>
      <c r="L176" s="4">
        <v>82</v>
      </c>
      <c r="M176" s="21">
        <f>1-AVERAGE(N176:R176)</f>
        <v>0.76790493581024422</v>
      </c>
      <c r="N176" s="20">
        <f>ABS($D$2-F176)/F176</f>
        <v>0.31818181818181834</v>
      </c>
      <c r="O176" s="20">
        <f>ABS($E$2-G176)/G176</f>
        <v>0.45</v>
      </c>
      <c r="P176" s="20">
        <f>ABS($F$2-H176)/H176</f>
        <v>0.10714285714285725</v>
      </c>
      <c r="Q176" s="20">
        <f>ABS($H$2-J176)/J176</f>
        <v>0.20588235294117646</v>
      </c>
      <c r="R176" s="20">
        <f>ABS($J$2-L176)/L176</f>
        <v>7.926829268292683E-2</v>
      </c>
    </row>
    <row r="177" spans="1:18" ht="12.75" customHeight="1" x14ac:dyDescent="0.2">
      <c r="A177">
        <v>269</v>
      </c>
      <c r="B177" s="9" t="s">
        <v>219</v>
      </c>
      <c r="E177" s="6" t="s">
        <v>41</v>
      </c>
      <c r="F177" s="3">
        <v>0.9</v>
      </c>
      <c r="G177" s="3">
        <v>28</v>
      </c>
      <c r="H177" s="3">
        <v>4.0999999999999996</v>
      </c>
      <c r="I177" s="3"/>
      <c r="J177" s="3">
        <v>20</v>
      </c>
      <c r="K177" s="3"/>
      <c r="L177" s="3"/>
      <c r="M177" s="21">
        <f>1-AVERAGE(N177:R177)</f>
        <v>0.76788375919473473</v>
      </c>
      <c r="N177" s="20">
        <f>ABS($D$2-F177)/F177</f>
        <v>0.35555555555555551</v>
      </c>
      <c r="O177" s="20">
        <f>ABS($E$2-G177)/G177</f>
        <v>3.5714285714285712E-2</v>
      </c>
      <c r="P177" s="20">
        <f>ABS($F$2-H177)/H177</f>
        <v>0.51219512195121963</v>
      </c>
      <c r="Q177" s="20">
        <f>ABS($H$2-J177)/J177</f>
        <v>2.5000000000000001E-2</v>
      </c>
      <c r="R177" s="20"/>
    </row>
    <row r="178" spans="1:18" ht="12.75" customHeight="1" x14ac:dyDescent="0.2">
      <c r="A178">
        <v>688</v>
      </c>
      <c r="B178" s="6" t="s">
        <v>551</v>
      </c>
      <c r="C178" s="1"/>
      <c r="D178" s="2"/>
      <c r="E178" s="6" t="s">
        <v>495</v>
      </c>
      <c r="F178" s="1">
        <v>0.93</v>
      </c>
      <c r="G178" s="4">
        <v>27</v>
      </c>
      <c r="H178" s="4">
        <v>7.2</v>
      </c>
      <c r="I178" s="4"/>
      <c r="J178" s="4"/>
      <c r="K178" s="4"/>
      <c r="L178" s="4">
        <v>56</v>
      </c>
      <c r="M178" s="21">
        <f>1-AVERAGE(N178:R178)</f>
        <v>0.76561966632531153</v>
      </c>
      <c r="N178" s="20">
        <f>ABS($D$2-F178)/F178</f>
        <v>0.37634408602150532</v>
      </c>
      <c r="O178" s="20">
        <f>ABS($E$2-G178)/G178</f>
        <v>7.407407407407407E-2</v>
      </c>
      <c r="P178" s="20">
        <f>ABS($F$2-H178)/H178</f>
        <v>0.1388888888888889</v>
      </c>
      <c r="Q178" s="20"/>
      <c r="R178" s="20">
        <f>ABS($J$2-L178)/L178</f>
        <v>0.3482142857142857</v>
      </c>
    </row>
    <row r="179" spans="1:18" ht="12.75" customHeight="1" x14ac:dyDescent="0.2">
      <c r="A179">
        <v>544</v>
      </c>
      <c r="B179" s="9" t="s">
        <v>469</v>
      </c>
      <c r="C179" s="9"/>
      <c r="D179" s="11"/>
      <c r="E179" s="9" t="s">
        <v>466</v>
      </c>
      <c r="F179" s="1">
        <v>0.35</v>
      </c>
      <c r="G179" s="4">
        <v>30</v>
      </c>
      <c r="H179" s="4">
        <v>5.3</v>
      </c>
      <c r="I179" s="4">
        <v>3.2</v>
      </c>
      <c r="J179" s="4">
        <v>16.600000000000001</v>
      </c>
      <c r="K179" s="4">
        <v>2.9</v>
      </c>
      <c r="L179" s="4">
        <v>82</v>
      </c>
      <c r="M179" s="21">
        <f>1-AVERAGE(N179:R179)</f>
        <v>0.76510088741000415</v>
      </c>
      <c r="N179" s="20">
        <f>ABS($D$2-F179)/F179</f>
        <v>0.65714285714285747</v>
      </c>
      <c r="O179" s="20">
        <f>ABS($E$2-G179)/G179</f>
        <v>3.3333333333333333E-2</v>
      </c>
      <c r="P179" s="20">
        <f>ABS($F$2-H179)/H179</f>
        <v>0.16981132075471705</v>
      </c>
      <c r="Q179" s="20">
        <f>ABS($H$2-J179)/J179</f>
        <v>0.23493975903614447</v>
      </c>
      <c r="R179" s="20">
        <f>ABS($J$2-L179)/L179</f>
        <v>7.926829268292683E-2</v>
      </c>
    </row>
    <row r="180" spans="1:18" ht="12.75" customHeight="1" x14ac:dyDescent="0.2">
      <c r="A180">
        <v>546</v>
      </c>
      <c r="B180" s="9" t="s">
        <v>470</v>
      </c>
      <c r="C180" s="9"/>
      <c r="D180" s="11"/>
      <c r="E180" s="9" t="s">
        <v>466</v>
      </c>
      <c r="F180" s="1">
        <v>0.42</v>
      </c>
      <c r="G180" s="4">
        <v>24.8</v>
      </c>
      <c r="H180" s="4">
        <v>4</v>
      </c>
      <c r="I180" s="4"/>
      <c r="J180" s="4">
        <v>20.6</v>
      </c>
      <c r="K180" s="4">
        <v>2</v>
      </c>
      <c r="L180" s="4">
        <v>81.5</v>
      </c>
      <c r="M180" s="21">
        <f>1-AVERAGE(N180:R180)</f>
        <v>0.76424375590081239</v>
      </c>
      <c r="N180" s="20">
        <f>ABS($D$2-F180)/F180</f>
        <v>0.38095238095238115</v>
      </c>
      <c r="O180" s="20">
        <f>ABS($E$2-G180)/G180</f>
        <v>0.16935483870967738</v>
      </c>
      <c r="P180" s="20">
        <f>ABS($F$2-H180)/H180</f>
        <v>0.55000000000000004</v>
      </c>
      <c r="Q180" s="20">
        <f>ABS($H$2-J180)/J180</f>
        <v>4.8543689320389039E-3</v>
      </c>
      <c r="R180" s="20">
        <f>ABS($J$2-L180)/L180</f>
        <v>7.3619631901840496E-2</v>
      </c>
    </row>
    <row r="181" spans="1:18" ht="12.75" customHeight="1" x14ac:dyDescent="0.2">
      <c r="A181">
        <v>82</v>
      </c>
      <c r="B181" s="1" t="s">
        <v>91</v>
      </c>
      <c r="C181" s="1"/>
      <c r="D181" s="2"/>
      <c r="E181" s="6" t="s">
        <v>41</v>
      </c>
      <c r="F181" s="3">
        <v>0.74</v>
      </c>
      <c r="G181" s="3">
        <v>39</v>
      </c>
      <c r="H181" s="3">
        <v>11.2</v>
      </c>
      <c r="I181" s="3"/>
      <c r="J181" s="3">
        <v>20</v>
      </c>
      <c r="K181" s="3"/>
      <c r="L181" s="3"/>
      <c r="M181" s="21">
        <f>1-AVERAGE(N181:R181)</f>
        <v>0.76398623898623907</v>
      </c>
      <c r="N181" s="20">
        <f>ABS($D$2-F181)/F181</f>
        <v>0.21621621621621612</v>
      </c>
      <c r="O181" s="20">
        <f>ABS($E$2-G181)/G181</f>
        <v>0.25641025641025639</v>
      </c>
      <c r="P181" s="20">
        <f>ABS($F$2-H181)/H181</f>
        <v>0.4464285714285714</v>
      </c>
      <c r="Q181" s="20">
        <f>ABS($H$2-J181)/J181</f>
        <v>2.5000000000000001E-2</v>
      </c>
      <c r="R181" s="20"/>
    </row>
    <row r="182" spans="1:18" ht="12.75" customHeight="1" x14ac:dyDescent="0.2">
      <c r="A182">
        <v>641</v>
      </c>
      <c r="B182" s="6" t="s">
        <v>515</v>
      </c>
      <c r="C182" s="6"/>
      <c r="D182" s="7"/>
      <c r="E182" s="6" t="s">
        <v>495</v>
      </c>
      <c r="F182" s="1">
        <v>0.7</v>
      </c>
      <c r="G182" s="4">
        <v>33</v>
      </c>
      <c r="H182" s="4">
        <v>4.3</v>
      </c>
      <c r="I182" s="4"/>
      <c r="J182" s="4">
        <v>15</v>
      </c>
      <c r="K182" s="4"/>
      <c r="L182" s="4">
        <v>82</v>
      </c>
      <c r="M182" s="21">
        <f>1-AVERAGE(N182:R182)</f>
        <v>0.76391277657868695</v>
      </c>
      <c r="N182" s="20">
        <f>ABS($D$2-F182)/F182</f>
        <v>0.17142857142857126</v>
      </c>
      <c r="O182" s="20">
        <f>ABS($E$2-G182)/G182</f>
        <v>0.12121212121212122</v>
      </c>
      <c r="P182" s="20">
        <f>ABS($F$2-H182)/H182</f>
        <v>0.44186046511627919</v>
      </c>
      <c r="Q182" s="20">
        <f>ABS($H$2-J182)/J182</f>
        <v>0.36666666666666664</v>
      </c>
      <c r="R182" s="20">
        <f>ABS($J$2-L182)/L182</f>
        <v>7.926829268292683E-2</v>
      </c>
    </row>
    <row r="183" spans="1:18" ht="12.75" customHeight="1" x14ac:dyDescent="0.2">
      <c r="A183">
        <v>17</v>
      </c>
      <c r="B183" s="6" t="s">
        <v>50</v>
      </c>
      <c r="C183" s="6" t="s">
        <v>51</v>
      </c>
      <c r="D183" s="7"/>
      <c r="E183" s="6" t="s">
        <v>40</v>
      </c>
      <c r="F183" s="3">
        <f>(0.92+1.1)/2</f>
        <v>1.01</v>
      </c>
      <c r="G183" s="3">
        <f>(23+26)/2</f>
        <v>24.5</v>
      </c>
      <c r="H183" s="3">
        <f>(5.4+5.6)/2</f>
        <v>5.5</v>
      </c>
      <c r="I183" s="3"/>
      <c r="J183" s="3">
        <f>(28+29)/2</f>
        <v>28.5</v>
      </c>
      <c r="K183" s="3"/>
      <c r="L183" s="3">
        <f>(90.1+90.9)/2</f>
        <v>90.5</v>
      </c>
      <c r="M183" s="21">
        <f>1-AVERAGE(N183:R183)</f>
        <v>0.76337272366850717</v>
      </c>
      <c r="N183" s="20">
        <f>ABS($D$2-F183)/F183</f>
        <v>0.42574257425742568</v>
      </c>
      <c r="O183" s="20">
        <f>ABS($E$2-G183)/G183</f>
        <v>0.18367346938775511</v>
      </c>
      <c r="P183" s="20">
        <f>ABS($F$2-H183)/H183</f>
        <v>0.12727272727272732</v>
      </c>
      <c r="Q183" s="20">
        <f>ABS($H$2-J183)/J183</f>
        <v>0.2807017543859649</v>
      </c>
      <c r="R183" s="20">
        <f>ABS($J$2-L183)/L183</f>
        <v>0.16574585635359115</v>
      </c>
    </row>
    <row r="184" spans="1:18" ht="12.75" customHeight="1" x14ac:dyDescent="0.2">
      <c r="A184">
        <v>694</v>
      </c>
      <c r="B184" s="1" t="s">
        <v>557</v>
      </c>
      <c r="C184" s="1"/>
      <c r="D184" s="2"/>
      <c r="E184" s="6" t="s">
        <v>495</v>
      </c>
      <c r="F184" s="6">
        <v>0.7</v>
      </c>
      <c r="G184" s="4">
        <v>25</v>
      </c>
      <c r="H184" s="4">
        <v>5.0999999999999996</v>
      </c>
      <c r="I184" s="4"/>
      <c r="J184" s="4">
        <v>33</v>
      </c>
      <c r="K184" s="4"/>
      <c r="L184" s="4">
        <v>60</v>
      </c>
      <c r="M184" s="21">
        <f>1-AVERAGE(N184:R184)</f>
        <v>0.76315278838808254</v>
      </c>
      <c r="N184" s="20">
        <f>ABS($D$2-F184)/F184</f>
        <v>0.17142857142857126</v>
      </c>
      <c r="O184" s="20">
        <f>ABS($E$2-G184)/G184</f>
        <v>0.16</v>
      </c>
      <c r="P184" s="20">
        <f>ABS($F$2-H184)/H184</f>
        <v>0.21568627450980404</v>
      </c>
      <c r="Q184" s="20">
        <f>ABS($H$2-J184)/J184</f>
        <v>0.37878787878787878</v>
      </c>
      <c r="R184" s="20">
        <f>ABS($J$2-L184)/L184</f>
        <v>0.25833333333333336</v>
      </c>
    </row>
    <row r="185" spans="1:18" ht="12.75" customHeight="1" x14ac:dyDescent="0.2">
      <c r="A185">
        <v>535</v>
      </c>
      <c r="B185" s="9" t="s">
        <v>465</v>
      </c>
      <c r="C185" s="9"/>
      <c r="D185" s="11"/>
      <c r="E185" s="9" t="s">
        <v>466</v>
      </c>
      <c r="F185" s="1">
        <v>0.47</v>
      </c>
      <c r="G185" s="4">
        <v>29</v>
      </c>
      <c r="H185" s="4">
        <v>4.3</v>
      </c>
      <c r="I185" s="4"/>
      <c r="J185" s="4">
        <v>14</v>
      </c>
      <c r="K185" s="4"/>
      <c r="L185" s="4">
        <v>79</v>
      </c>
      <c r="M185" s="21">
        <f>1-AVERAGE(N185:R185)</f>
        <v>0.7631014939876325</v>
      </c>
      <c r="N185" s="20">
        <f>ABS($D$2-F185)/F185</f>
        <v>0.23404255319148959</v>
      </c>
      <c r="O185" s="20">
        <f>ABS($E$2-G185)/G185</f>
        <v>0</v>
      </c>
      <c r="P185" s="20">
        <f>ABS($F$2-H185)/H185</f>
        <v>0.44186046511627919</v>
      </c>
      <c r="Q185" s="20">
        <f>ABS($H$2-J185)/J185</f>
        <v>0.4642857142857143</v>
      </c>
      <c r="R185" s="20">
        <f>ABS($J$2-L185)/L185</f>
        <v>4.4303797468354431E-2</v>
      </c>
    </row>
    <row r="186" spans="1:18" ht="12.75" customHeight="1" x14ac:dyDescent="0.2">
      <c r="A186">
        <v>8</v>
      </c>
      <c r="B186" s="6" t="s">
        <v>45</v>
      </c>
      <c r="C186" s="6"/>
      <c r="D186" s="7"/>
      <c r="E186" s="6" t="s">
        <v>41</v>
      </c>
      <c r="F186" s="3">
        <f>(0.6+0.9)/2</f>
        <v>0.75</v>
      </c>
      <c r="G186" s="3">
        <f>(26+33)/2</f>
        <v>29.5</v>
      </c>
      <c r="H186" s="3">
        <f>(4.7+6.9)/2</f>
        <v>5.8000000000000007</v>
      </c>
      <c r="I186" s="3"/>
      <c r="J186" s="3">
        <f>(10+15)/2</f>
        <v>12.5</v>
      </c>
      <c r="K186" s="3"/>
      <c r="L186" s="3"/>
      <c r="M186" s="21">
        <f>1-AVERAGE(N186:R186)</f>
        <v>0.76185466588739525</v>
      </c>
      <c r="N186" s="20">
        <f>ABS($D$2-F186)/F186</f>
        <v>0.22666666666666657</v>
      </c>
      <c r="O186" s="20">
        <f>ABS($E$2-G186)/G186</f>
        <v>1.6949152542372881E-2</v>
      </c>
      <c r="P186" s="20">
        <f>ABS($F$2-H186)/H186</f>
        <v>6.8965517241379212E-2</v>
      </c>
      <c r="Q186" s="20">
        <f>ABS($H$2-J186)/J186</f>
        <v>0.64</v>
      </c>
      <c r="R186" s="20"/>
    </row>
    <row r="187" spans="1:18" ht="12.75" customHeight="1" x14ac:dyDescent="0.2">
      <c r="A187">
        <v>24</v>
      </c>
      <c r="B187" s="6" t="s">
        <v>56</v>
      </c>
      <c r="C187" s="6"/>
      <c r="D187" s="7"/>
      <c r="E187" s="6" t="s">
        <v>40</v>
      </c>
      <c r="F187" s="3">
        <v>1.78</v>
      </c>
      <c r="G187" s="3">
        <f>(30+36)/2</f>
        <v>33</v>
      </c>
      <c r="H187" s="3">
        <v>7.5</v>
      </c>
      <c r="I187" s="3"/>
      <c r="J187" s="3">
        <f>(22+28)/2</f>
        <v>25</v>
      </c>
      <c r="K187" s="3"/>
      <c r="L187" s="3">
        <f>(78+80)/2</f>
        <v>79</v>
      </c>
      <c r="M187" s="21">
        <f>1-AVERAGE(N187:R187)</f>
        <v>0.76139868892308094</v>
      </c>
      <c r="N187" s="20">
        <f>ABS($D$2-F187)/F187</f>
        <v>0.6741573033707865</v>
      </c>
      <c r="O187" s="20">
        <f>ABS($E$2-G187)/G187</f>
        <v>0.12121212121212122</v>
      </c>
      <c r="P187" s="20">
        <f>ABS($F$2-H187)/H187</f>
        <v>0.17333333333333331</v>
      </c>
      <c r="Q187" s="20">
        <f>ABS($H$2-J187)/J187</f>
        <v>0.18</v>
      </c>
      <c r="R187" s="20">
        <f>ABS($J$2-L187)/L187</f>
        <v>4.4303797468354431E-2</v>
      </c>
    </row>
    <row r="188" spans="1:18" ht="12.75" customHeight="1" x14ac:dyDescent="0.2">
      <c r="A188">
        <v>691</v>
      </c>
      <c r="B188" s="6" t="s">
        <v>554</v>
      </c>
      <c r="C188" s="1"/>
      <c r="D188" s="2"/>
      <c r="E188" s="6" t="s">
        <v>495</v>
      </c>
      <c r="F188" s="1">
        <v>0.7</v>
      </c>
      <c r="G188" s="4">
        <v>35</v>
      </c>
      <c r="H188" s="4">
        <v>5.9</v>
      </c>
      <c r="I188" s="4"/>
      <c r="J188" s="4">
        <v>35</v>
      </c>
      <c r="K188" s="4"/>
      <c r="L188" s="4">
        <v>54</v>
      </c>
      <c r="M188" s="21">
        <f>1-AVERAGE(N188:R188)</f>
        <v>0.75877230741637525</v>
      </c>
      <c r="N188" s="20">
        <f>ABS($D$2-F188)/F188</f>
        <v>0.17142857142857126</v>
      </c>
      <c r="O188" s="20">
        <f>ABS($E$2-G188)/G188</f>
        <v>0.17142857142857143</v>
      </c>
      <c r="P188" s="20">
        <f>ABS($F$2-H188)/H188</f>
        <v>5.0847457627118613E-2</v>
      </c>
      <c r="Q188" s="20">
        <f>ABS($H$2-J188)/J188</f>
        <v>0.41428571428571431</v>
      </c>
      <c r="R188" s="20">
        <f>ABS($J$2-L188)/L188</f>
        <v>0.39814814814814814</v>
      </c>
    </row>
    <row r="189" spans="1:18" ht="12.75" customHeight="1" x14ac:dyDescent="0.2">
      <c r="A189">
        <v>700</v>
      </c>
      <c r="B189" s="1" t="s">
        <v>560</v>
      </c>
      <c r="C189" s="1"/>
      <c r="D189" s="2"/>
      <c r="E189" s="6" t="s">
        <v>482</v>
      </c>
      <c r="F189" s="1">
        <v>0.7</v>
      </c>
      <c r="G189" s="4">
        <v>26</v>
      </c>
      <c r="H189" s="4">
        <v>5.5</v>
      </c>
      <c r="I189" s="4"/>
      <c r="J189" s="4">
        <v>46</v>
      </c>
      <c r="K189" s="4"/>
      <c r="L189" s="4"/>
      <c r="M189" s="21">
        <f>1-AVERAGE(N189:R189)</f>
        <v>0.75789156495678234</v>
      </c>
      <c r="N189" s="20">
        <f>ABS($D$2-F189)/F189</f>
        <v>0.17142857142857126</v>
      </c>
      <c r="O189" s="20">
        <f>ABS($E$2-G189)/G189</f>
        <v>0.11538461538461539</v>
      </c>
      <c r="P189" s="20">
        <f>ABS($F$2-H189)/H189</f>
        <v>0.12727272727272732</v>
      </c>
      <c r="Q189" s="20">
        <f>ABS($H$2-J189)/J189</f>
        <v>0.55434782608695654</v>
      </c>
      <c r="R189" s="20"/>
    </row>
    <row r="190" spans="1:18" ht="12.75" customHeight="1" x14ac:dyDescent="0.2">
      <c r="A190">
        <v>100</v>
      </c>
      <c r="B190" s="1" t="s">
        <v>102</v>
      </c>
      <c r="C190" s="1"/>
      <c r="D190" s="2"/>
      <c r="E190" s="6" t="s">
        <v>40</v>
      </c>
      <c r="F190" s="3">
        <v>0.8</v>
      </c>
      <c r="G190" s="3">
        <v>22</v>
      </c>
      <c r="H190" s="3">
        <v>5.0999999999999996</v>
      </c>
      <c r="I190" s="3"/>
      <c r="J190" s="3">
        <v>27</v>
      </c>
      <c r="K190" s="3"/>
      <c r="L190" s="3">
        <v>90</v>
      </c>
      <c r="M190" s="21">
        <f>1-AVERAGE(N190:R190)</f>
        <v>0.75785601109130518</v>
      </c>
      <c r="N190" s="20">
        <f>ABS($D$2-F190)/F190</f>
        <v>0.27499999999999997</v>
      </c>
      <c r="O190" s="20">
        <f>ABS($E$2-G190)/G190</f>
        <v>0.31818181818181818</v>
      </c>
      <c r="P190" s="20">
        <f>ABS($F$2-H190)/H190</f>
        <v>0.21568627450980404</v>
      </c>
      <c r="Q190" s="20">
        <f>ABS($H$2-J190)/J190</f>
        <v>0.24074074074074073</v>
      </c>
      <c r="R190" s="20">
        <f>ABS($J$2-L190)/L190</f>
        <v>0.16111111111111112</v>
      </c>
    </row>
    <row r="191" spans="1:18" ht="12.75" customHeight="1" x14ac:dyDescent="0.2">
      <c r="A191">
        <v>579</v>
      </c>
      <c r="B191" s="1" t="s">
        <v>480</v>
      </c>
      <c r="C191" s="1"/>
      <c r="D191" s="2"/>
      <c r="E191" s="1" t="s">
        <v>466</v>
      </c>
      <c r="F191" s="1">
        <v>0.43</v>
      </c>
      <c r="G191" s="4">
        <v>20.3</v>
      </c>
      <c r="H191" s="4">
        <v>8.8000000000000007</v>
      </c>
      <c r="I191" s="4"/>
      <c r="J191" s="4">
        <v>18.5</v>
      </c>
      <c r="K191" s="4"/>
      <c r="L191" s="4">
        <v>73</v>
      </c>
      <c r="M191" s="21">
        <f>1-AVERAGE(N191:R191)</f>
        <v>0.75695642664422524</v>
      </c>
      <c r="N191" s="20">
        <f>ABS($D$2-F191)/F191</f>
        <v>0.34883720930232576</v>
      </c>
      <c r="O191" s="20">
        <f>ABS($E$2-G191)/G191</f>
        <v>0.42857142857142855</v>
      </c>
      <c r="P191" s="20">
        <f>ABS($F$2-H191)/H191</f>
        <v>0.29545454545454547</v>
      </c>
      <c r="Q191" s="20">
        <f>ABS($H$2-J191)/J191</f>
        <v>0.10810810810810811</v>
      </c>
      <c r="R191" s="20">
        <f>ABS($J$2-L191)/L191</f>
        <v>3.4246575342465752E-2</v>
      </c>
    </row>
    <row r="192" spans="1:18" ht="12.75" customHeight="1" x14ac:dyDescent="0.2">
      <c r="A192">
        <v>593</v>
      </c>
      <c r="B192" s="9" t="s">
        <v>485</v>
      </c>
      <c r="C192" s="1"/>
      <c r="D192" s="2">
        <v>13</v>
      </c>
      <c r="E192" s="1" t="s">
        <v>463</v>
      </c>
      <c r="F192" s="1">
        <v>0.4</v>
      </c>
      <c r="G192" s="4">
        <v>27.2</v>
      </c>
      <c r="H192" s="4">
        <v>4</v>
      </c>
      <c r="I192" s="4"/>
      <c r="J192" s="4">
        <v>18.100000000000001</v>
      </c>
      <c r="K192" s="4">
        <v>2.5</v>
      </c>
      <c r="L192" s="4">
        <v>77</v>
      </c>
      <c r="M192" s="21">
        <f>1-AVERAGE(N192:R192)</f>
        <v>0.75634926496967447</v>
      </c>
      <c r="N192" s="20">
        <f>ABS($D$2-F192)/F192</f>
        <v>0.45000000000000012</v>
      </c>
      <c r="O192" s="20">
        <f>ABS($E$2-G192)/G192</f>
        <v>6.6176470588235323E-2</v>
      </c>
      <c r="P192" s="20">
        <f>ABS($F$2-H192)/H192</f>
        <v>0.55000000000000004</v>
      </c>
      <c r="Q192" s="20">
        <f>ABS($H$2-J192)/J192</f>
        <v>0.13259668508287284</v>
      </c>
      <c r="R192" s="20">
        <f>ABS($J$2-L192)/L192</f>
        <v>1.948051948051948E-2</v>
      </c>
    </row>
    <row r="193" spans="1:47" ht="12.75" customHeight="1" x14ac:dyDescent="0.2">
      <c r="A193">
        <v>38</v>
      </c>
      <c r="B193" s="1" t="s">
        <v>63</v>
      </c>
      <c r="C193" s="1"/>
      <c r="D193" s="2"/>
      <c r="E193" s="6" t="s">
        <v>40</v>
      </c>
      <c r="F193" s="3">
        <f>(0.85+1)/2</f>
        <v>0.92500000000000004</v>
      </c>
      <c r="G193" s="3">
        <f>(26+29)/2</f>
        <v>27.5</v>
      </c>
      <c r="H193" s="3">
        <f>(7.1+7.7)/2</f>
        <v>7.4</v>
      </c>
      <c r="I193" s="3"/>
      <c r="J193" s="3">
        <f>(26+33)/2</f>
        <v>29.5</v>
      </c>
      <c r="K193" s="3"/>
      <c r="L193" s="3">
        <f>(56+58)/2</f>
        <v>57</v>
      </c>
      <c r="M193" s="21">
        <f>1-AVERAGE(N193:R193)</f>
        <v>0.75613465220958531</v>
      </c>
      <c r="N193" s="20">
        <f>ABS($D$2-F193)/F193</f>
        <v>0.37297297297297294</v>
      </c>
      <c r="O193" s="20">
        <f>ABS($E$2-G193)/G193</f>
        <v>5.4545454545454543E-2</v>
      </c>
      <c r="P193" s="20">
        <f>ABS($F$2-H193)/H193</f>
        <v>0.16216216216216217</v>
      </c>
      <c r="Q193" s="20">
        <f>ABS($H$2-J193)/J193</f>
        <v>0.30508474576271188</v>
      </c>
      <c r="R193" s="20">
        <f>ABS($J$2-L193)/L193</f>
        <v>0.32456140350877194</v>
      </c>
    </row>
    <row r="194" spans="1:47" ht="12.75" customHeight="1" x14ac:dyDescent="0.2">
      <c r="A194">
        <v>10</v>
      </c>
      <c r="B194" s="6" t="s">
        <v>46</v>
      </c>
      <c r="C194" s="6"/>
      <c r="D194" s="7"/>
      <c r="E194" s="6" t="s">
        <v>41</v>
      </c>
      <c r="F194" s="3">
        <f>(0.7+0.84)/2</f>
        <v>0.77</v>
      </c>
      <c r="G194" s="3">
        <f>(40+47)/2</f>
        <v>43.5</v>
      </c>
      <c r="H194" s="3">
        <f>(6+7)/2</f>
        <v>6.5</v>
      </c>
      <c r="I194" s="3"/>
      <c r="J194" s="3">
        <f>(14+16)/2</f>
        <v>15</v>
      </c>
      <c r="K194" s="3"/>
      <c r="L194" s="3"/>
      <c r="M194" s="21">
        <f>1-AVERAGE(N194:R194)</f>
        <v>0.75177322677322689</v>
      </c>
      <c r="N194" s="20">
        <f>ABS($D$2-F194)/F194</f>
        <v>0.24675324675324667</v>
      </c>
      <c r="O194" s="20">
        <f>ABS($E$2-G194)/G194</f>
        <v>0.33333333333333331</v>
      </c>
      <c r="P194" s="20">
        <f>ABS($F$2-H194)/H194</f>
        <v>4.6153846153846129E-2</v>
      </c>
      <c r="Q194" s="20">
        <f>ABS($H$2-J194)/J194</f>
        <v>0.36666666666666664</v>
      </c>
      <c r="R194" s="20"/>
    </row>
    <row r="195" spans="1:47" ht="12.75" customHeight="1" x14ac:dyDescent="0.2">
      <c r="A195">
        <v>43</v>
      </c>
      <c r="B195" s="1" t="s">
        <v>65</v>
      </c>
      <c r="C195" s="1"/>
      <c r="D195" s="2"/>
      <c r="E195" s="6" t="s">
        <v>41</v>
      </c>
      <c r="F195" s="3">
        <f>(0.44+0.56)/2</f>
        <v>0.5</v>
      </c>
      <c r="G195" s="3">
        <f>(27+33)/2</f>
        <v>30</v>
      </c>
      <c r="H195" s="3">
        <f>(3.8+4.8)/2</f>
        <v>4.3</v>
      </c>
      <c r="I195" s="3"/>
      <c r="J195" s="3">
        <f>(28+36)/2</f>
        <v>32</v>
      </c>
      <c r="K195" s="3"/>
      <c r="L195" s="3"/>
      <c r="M195" s="21">
        <f>1-AVERAGE(N195:R195)</f>
        <v>0.75135780038759681</v>
      </c>
      <c r="N195" s="20">
        <f>ABS($D$2-F195)/F195</f>
        <v>0.16000000000000014</v>
      </c>
      <c r="O195" s="20">
        <f>ABS($E$2-G195)/G195</f>
        <v>3.3333333333333333E-2</v>
      </c>
      <c r="P195" s="20">
        <f>ABS($F$2-H195)/H195</f>
        <v>0.44186046511627919</v>
      </c>
      <c r="Q195" s="20">
        <f>ABS($H$2-J195)/J195</f>
        <v>0.359375</v>
      </c>
      <c r="R195" s="20"/>
    </row>
    <row r="196" spans="1:47" ht="12.75" customHeight="1" x14ac:dyDescent="0.2">
      <c r="A196">
        <v>666</v>
      </c>
      <c r="B196" s="1" t="s">
        <v>533</v>
      </c>
      <c r="C196" s="1"/>
      <c r="D196" s="2"/>
      <c r="E196" s="6" t="s">
        <v>495</v>
      </c>
      <c r="F196" s="1">
        <v>1</v>
      </c>
      <c r="G196" s="4">
        <v>28</v>
      </c>
      <c r="H196" s="4">
        <v>8.3000000000000007</v>
      </c>
      <c r="I196" s="4"/>
      <c r="J196" s="4">
        <v>20</v>
      </c>
      <c r="K196" s="4"/>
      <c r="L196" s="4">
        <v>50</v>
      </c>
      <c r="M196" s="21">
        <f>1-AVERAGE(N196:R196)</f>
        <v>0.7512547332185886</v>
      </c>
      <c r="N196" s="20">
        <f>ABS($D$2-F196)/F196</f>
        <v>0.41999999999999993</v>
      </c>
      <c r="O196" s="20">
        <f>ABS($E$2-G196)/G196</f>
        <v>3.5714285714285712E-2</v>
      </c>
      <c r="P196" s="20">
        <f>ABS($F$2-H196)/H196</f>
        <v>0.25301204819277112</v>
      </c>
      <c r="Q196" s="20">
        <f>ABS($H$2-J196)/J196</f>
        <v>2.5000000000000001E-2</v>
      </c>
      <c r="R196" s="20">
        <f>ABS($J$2-L196)/L196</f>
        <v>0.51</v>
      </c>
    </row>
    <row r="197" spans="1:47" ht="12.75" customHeight="1" x14ac:dyDescent="0.2">
      <c r="A197">
        <v>124</v>
      </c>
      <c r="B197" s="1" t="s">
        <v>115</v>
      </c>
      <c r="C197" s="1"/>
      <c r="D197" s="2"/>
      <c r="E197" s="6" t="s">
        <v>40</v>
      </c>
      <c r="F197" s="3">
        <f>(0.78+1.13)/2</f>
        <v>0.95499999999999996</v>
      </c>
      <c r="G197" s="3">
        <f>(32+36)/2</f>
        <v>34</v>
      </c>
      <c r="H197" s="3">
        <f>(11.7+12.4)/2</f>
        <v>12.05</v>
      </c>
      <c r="I197" s="3"/>
      <c r="J197" s="3">
        <f>(25+27)/2</f>
        <v>26</v>
      </c>
      <c r="K197" s="3"/>
      <c r="L197" s="3">
        <f>(75.9+76.4)/2</f>
        <v>76.150000000000006</v>
      </c>
      <c r="M197" s="21">
        <f>1-AVERAGE(N197:R197)</f>
        <v>0.75094391896104795</v>
      </c>
      <c r="N197" s="20">
        <f>ABS($D$2-F197)/F197</f>
        <v>0.39267015706806274</v>
      </c>
      <c r="O197" s="20">
        <f>ABS($E$2-G197)/G197</f>
        <v>0.14705882352941177</v>
      </c>
      <c r="P197" s="20">
        <f>ABS($F$2-H197)/H197</f>
        <v>0.48547717842323651</v>
      </c>
      <c r="Q197" s="20">
        <f>ABS($H$2-J197)/J197</f>
        <v>0.21153846153846154</v>
      </c>
      <c r="R197" s="20">
        <f>ABS($J$2-L197)/L197</f>
        <v>8.5357846355877294E-3</v>
      </c>
    </row>
    <row r="198" spans="1:47" ht="12.75" customHeight="1" x14ac:dyDescent="0.2">
      <c r="A198">
        <v>238</v>
      </c>
      <c r="B198" s="9" t="s">
        <v>200</v>
      </c>
      <c r="E198" s="6" t="s">
        <v>41</v>
      </c>
      <c r="F198" s="3">
        <f>(0.41+0.58)/2</f>
        <v>0.495</v>
      </c>
      <c r="G198" s="3">
        <f>(18+23)/2</f>
        <v>20.5</v>
      </c>
      <c r="H198" s="3">
        <f>(4+5.1)/2</f>
        <v>4.55</v>
      </c>
      <c r="I198" s="3"/>
      <c r="J198" s="3">
        <f>(18+21)/2</f>
        <v>19.5</v>
      </c>
      <c r="K198" s="3"/>
      <c r="L198" s="3"/>
      <c r="M198" s="21">
        <f>1-AVERAGE(N198:R198)</f>
        <v>0.74993231700548768</v>
      </c>
      <c r="N198" s="20">
        <f>ABS($D$2-F198)/F198</f>
        <v>0.17171717171717188</v>
      </c>
      <c r="O198" s="20">
        <f>ABS($E$2-G198)/G198</f>
        <v>0.41463414634146339</v>
      </c>
      <c r="P198" s="20">
        <f>ABS($F$2-H198)/H198</f>
        <v>0.36263736263736274</v>
      </c>
      <c r="Q198" s="20">
        <f>ABS($H$2-J198)/J198</f>
        <v>5.128205128205128E-2</v>
      </c>
      <c r="R198" s="20"/>
    </row>
    <row r="199" spans="1:47" ht="12.75" customHeight="1" x14ac:dyDescent="0.2">
      <c r="A199" s="23">
        <v>11</v>
      </c>
      <c r="B199" s="24" t="s">
        <v>47</v>
      </c>
      <c r="C199" s="24"/>
      <c r="D199" s="25"/>
      <c r="E199" s="24" t="s">
        <v>40</v>
      </c>
      <c r="F199" s="26">
        <f>(1.02+1.07)/2</f>
        <v>1.0449999999999999</v>
      </c>
      <c r="G199" s="26">
        <f>(35+36)/2</f>
        <v>35.5</v>
      </c>
      <c r="H199" s="26">
        <f>(6.1+6.5)/2</f>
        <v>6.3</v>
      </c>
      <c r="I199" s="26"/>
      <c r="J199" s="26">
        <f>(27+29)/2</f>
        <v>28</v>
      </c>
      <c r="K199" s="26"/>
      <c r="L199" s="26">
        <f>(54+58)/2</f>
        <v>56</v>
      </c>
      <c r="M199" s="21">
        <f>1-AVERAGE(N199:R199)</f>
        <v>0.74799617749024727</v>
      </c>
      <c r="N199" s="20">
        <f>ABS($D$2-F199)/F199</f>
        <v>0.4449760765550238</v>
      </c>
      <c r="O199" s="20">
        <f>ABS($E$2-G199)/G199</f>
        <v>0.18309859154929578</v>
      </c>
      <c r="P199" s="20">
        <f>ABS($F$2-H199)/H199</f>
        <v>1.5873015873015817E-2</v>
      </c>
      <c r="Q199" s="20">
        <f>ABS($H$2-J199)/J199</f>
        <v>0.26785714285714285</v>
      </c>
      <c r="R199" s="20">
        <f>ABS($J$2-L199)/L199</f>
        <v>0.3482142857142857</v>
      </c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2.75" customHeight="1" x14ac:dyDescent="0.2">
      <c r="A200">
        <v>715</v>
      </c>
      <c r="B200" s="1" t="s">
        <v>570</v>
      </c>
      <c r="C200" s="1"/>
      <c r="D200" s="2"/>
      <c r="E200" s="6" t="s">
        <v>482</v>
      </c>
      <c r="F200" s="1">
        <v>0.64</v>
      </c>
      <c r="G200" s="4">
        <v>38</v>
      </c>
      <c r="H200" s="4">
        <v>5.0999999999999996</v>
      </c>
      <c r="I200" s="4"/>
      <c r="J200" s="4">
        <v>14</v>
      </c>
      <c r="K200" s="4"/>
      <c r="L200" s="4"/>
      <c r="M200" s="21">
        <f>1-AVERAGE(N200:R200)</f>
        <v>0.74735897648533101</v>
      </c>
      <c r="N200" s="20">
        <f>ABS($D$2-F200)/F200</f>
        <v>9.3749999999999903E-2</v>
      </c>
      <c r="O200" s="20">
        <f>ABS($E$2-G200)/G200</f>
        <v>0.23684210526315788</v>
      </c>
      <c r="P200" s="20">
        <f>ABS($F$2-H200)/H200</f>
        <v>0.21568627450980404</v>
      </c>
      <c r="Q200" s="20">
        <f>ABS($H$2-J200)/J200</f>
        <v>0.4642857142857143</v>
      </c>
      <c r="R200" s="20"/>
    </row>
    <row r="201" spans="1:47" ht="12.75" customHeight="1" x14ac:dyDescent="0.2">
      <c r="A201">
        <v>307</v>
      </c>
      <c r="B201" s="9" t="s">
        <v>241</v>
      </c>
      <c r="C201" s="9" t="s">
        <v>242</v>
      </c>
      <c r="E201" s="6" t="s">
        <v>40</v>
      </c>
      <c r="F201" s="3">
        <f>(0.96+1.1)/2</f>
        <v>1.03</v>
      </c>
      <c r="G201" s="3">
        <f>(28+34)/2</f>
        <v>31</v>
      </c>
      <c r="H201" s="3">
        <f>(4.8+5.4)/2</f>
        <v>5.0999999999999996</v>
      </c>
      <c r="I201" s="3"/>
      <c r="J201" s="3">
        <f>(20+22)/2</f>
        <v>21</v>
      </c>
      <c r="K201" s="3"/>
      <c r="L201" s="3">
        <f>(46+53)/2</f>
        <v>49.5</v>
      </c>
      <c r="M201" s="21">
        <f>1-AVERAGE(N201:R201)</f>
        <v>0.7467684687024787</v>
      </c>
      <c r="N201" s="20">
        <f>ABS($D$2-F201)/F201</f>
        <v>0.43689320388349512</v>
      </c>
      <c r="O201" s="20">
        <f>ABS($E$2-G201)/G201</f>
        <v>6.4516129032258063E-2</v>
      </c>
      <c r="P201" s="20">
        <f>ABS($F$2-H201)/H201</f>
        <v>0.21568627450980404</v>
      </c>
      <c r="Q201" s="20">
        <f>ABS($H$2-J201)/J201</f>
        <v>2.3809523809523808E-2</v>
      </c>
      <c r="R201" s="20">
        <f>ABS($J$2-L201)/L201</f>
        <v>0.5252525252525253</v>
      </c>
    </row>
    <row r="202" spans="1:47" ht="12.75" customHeight="1" x14ac:dyDescent="0.2">
      <c r="A202">
        <v>7</v>
      </c>
      <c r="B202" s="6" t="s">
        <v>45</v>
      </c>
      <c r="C202" s="6"/>
      <c r="D202" s="7"/>
      <c r="E202" s="6" t="s">
        <v>40</v>
      </c>
      <c r="F202" s="3">
        <f>(0.6+1.1)/2</f>
        <v>0.85000000000000009</v>
      </c>
      <c r="G202" s="3">
        <f>(27+30)/2</f>
        <v>28.5</v>
      </c>
      <c r="H202" s="3">
        <f>(5+7)/2</f>
        <v>6</v>
      </c>
      <c r="I202" s="3"/>
      <c r="J202" s="3">
        <f>(13+15)/2</f>
        <v>14</v>
      </c>
      <c r="K202" s="3"/>
      <c r="L202" s="3">
        <f>(50+55)/2</f>
        <v>52.5</v>
      </c>
      <c r="M202" s="21">
        <f>1-AVERAGE(N202:R202)</f>
        <v>0.74581895916261243</v>
      </c>
      <c r="N202" s="20">
        <f>ABS($D$2-F202)/F202</f>
        <v>0.31764705882352939</v>
      </c>
      <c r="O202" s="20">
        <f>ABS($E$2-G202)/G202</f>
        <v>1.7543859649122806E-2</v>
      </c>
      <c r="P202" s="20">
        <f>ABS($F$2-H202)/H202</f>
        <v>3.3333333333333361E-2</v>
      </c>
      <c r="Q202" s="20">
        <f>ABS($H$2-J202)/J202</f>
        <v>0.4642857142857143</v>
      </c>
      <c r="R202" s="20">
        <f>ABS($J$2-L202)/L202</f>
        <v>0.43809523809523809</v>
      </c>
    </row>
    <row r="203" spans="1:47" ht="12.75" customHeight="1" x14ac:dyDescent="0.2">
      <c r="A203">
        <v>556</v>
      </c>
      <c r="B203" s="9" t="s">
        <v>473</v>
      </c>
      <c r="C203" s="9"/>
      <c r="D203" s="11">
        <v>12</v>
      </c>
      <c r="E203" s="9" t="s">
        <v>474</v>
      </c>
      <c r="F203" s="1">
        <v>0.56000000000000005</v>
      </c>
      <c r="G203" s="4">
        <v>20</v>
      </c>
      <c r="H203" s="4">
        <v>3.9</v>
      </c>
      <c r="I203" s="4"/>
      <c r="J203" s="4">
        <v>19</v>
      </c>
      <c r="K203" s="4"/>
      <c r="L203" s="4">
        <v>86</v>
      </c>
      <c r="M203" s="21">
        <f>1-AVERAGE(N203:R203)</f>
        <v>0.74470034657305151</v>
      </c>
      <c r="N203" s="20">
        <f>ABS($D$2-F203)/F203</f>
        <v>3.571428571428574E-2</v>
      </c>
      <c r="O203" s="20">
        <f>ABS($E$2-G203)/G203</f>
        <v>0.45</v>
      </c>
      <c r="P203" s="20">
        <f>ABS($F$2-H203)/H203</f>
        <v>0.58974358974358987</v>
      </c>
      <c r="Q203" s="20">
        <f>ABS($H$2-J203)/J203</f>
        <v>7.8947368421052627E-2</v>
      </c>
      <c r="R203" s="20">
        <f>ABS($J$2-L203)/L203</f>
        <v>0.12209302325581395</v>
      </c>
    </row>
    <row r="204" spans="1:47" ht="12.75" customHeight="1" x14ac:dyDescent="0.2">
      <c r="A204">
        <v>293</v>
      </c>
      <c r="B204" s="9" t="s">
        <v>233</v>
      </c>
      <c r="E204" s="6" t="s">
        <v>41</v>
      </c>
      <c r="F204" s="3">
        <v>1</v>
      </c>
      <c r="G204" s="3">
        <v>28</v>
      </c>
      <c r="H204" s="3">
        <v>4</v>
      </c>
      <c r="I204" s="3"/>
      <c r="J204" s="3">
        <v>21</v>
      </c>
      <c r="K204" s="3"/>
      <c r="L204" s="3"/>
      <c r="M204" s="21">
        <f>1-AVERAGE(N204:R204)</f>
        <v>0.74261904761904762</v>
      </c>
      <c r="N204" s="20">
        <f>ABS($D$2-F204)/F204</f>
        <v>0.41999999999999993</v>
      </c>
      <c r="O204" s="20">
        <f>ABS($E$2-G204)/G204</f>
        <v>3.5714285714285712E-2</v>
      </c>
      <c r="P204" s="20">
        <f>ABS($F$2-H204)/H204</f>
        <v>0.55000000000000004</v>
      </c>
      <c r="Q204" s="20">
        <f>ABS($H$2-J204)/J204</f>
        <v>2.3809523809523808E-2</v>
      </c>
      <c r="R204" s="20"/>
    </row>
    <row r="205" spans="1:47" ht="12.75" customHeight="1" x14ac:dyDescent="0.2">
      <c r="A205">
        <v>268</v>
      </c>
      <c r="B205" s="9" t="s">
        <v>219</v>
      </c>
      <c r="E205" s="6" t="s">
        <v>40</v>
      </c>
      <c r="F205" s="3">
        <v>1</v>
      </c>
      <c r="G205" s="3">
        <v>20</v>
      </c>
      <c r="H205" s="3">
        <v>5.5</v>
      </c>
      <c r="I205" s="3"/>
      <c r="J205" s="3">
        <v>21</v>
      </c>
      <c r="K205" s="3"/>
      <c r="L205" s="3">
        <v>59</v>
      </c>
      <c r="M205" s="21">
        <f>1-AVERAGE(N205:R205)</f>
        <v>0.7398513463937193</v>
      </c>
      <c r="N205" s="20">
        <f>ABS($D$2-F205)/F205</f>
        <v>0.41999999999999993</v>
      </c>
      <c r="O205" s="20">
        <f>ABS($E$2-G205)/G205</f>
        <v>0.45</v>
      </c>
      <c r="P205" s="20">
        <f>ABS($F$2-H205)/H205</f>
        <v>0.12727272727272732</v>
      </c>
      <c r="Q205" s="20">
        <f>ABS($H$2-J205)/J205</f>
        <v>2.3809523809523808E-2</v>
      </c>
      <c r="R205" s="20">
        <f>ABS($J$2-L205)/L205</f>
        <v>0.27966101694915252</v>
      </c>
    </row>
    <row r="206" spans="1:47" ht="12.75" customHeight="1" x14ac:dyDescent="0.2">
      <c r="A206">
        <v>235</v>
      </c>
      <c r="B206" s="9" t="s">
        <v>198</v>
      </c>
      <c r="C206" s="9" t="s">
        <v>199</v>
      </c>
      <c r="E206" s="6" t="s">
        <v>40</v>
      </c>
      <c r="F206" s="3">
        <f>(0.56+0.63)/2</f>
        <v>0.59499999999999997</v>
      </c>
      <c r="G206" s="3">
        <f>(18+23)/2</f>
        <v>20.5</v>
      </c>
      <c r="H206" s="3">
        <f>(4+4.4)/2</f>
        <v>4.2</v>
      </c>
      <c r="I206" s="3"/>
      <c r="J206" s="3">
        <f>(19+21)/2</f>
        <v>20</v>
      </c>
      <c r="K206" s="3"/>
      <c r="L206" s="3">
        <f>(50+61)/2</f>
        <v>55.5</v>
      </c>
      <c r="M206" s="21">
        <f>1-AVERAGE(N206:R206)</f>
        <v>0.73972098661481733</v>
      </c>
      <c r="N206" s="20">
        <f>ABS($D$2-F206)/F206</f>
        <v>2.5210084033613283E-2</v>
      </c>
      <c r="O206" s="20">
        <f>ABS($E$2-G206)/G206</f>
        <v>0.41463414634146339</v>
      </c>
      <c r="P206" s="20">
        <f>ABS($F$2-H206)/H206</f>
        <v>0.47619047619047616</v>
      </c>
      <c r="Q206" s="20">
        <f>ABS($H$2-J206)/J206</f>
        <v>2.5000000000000001E-2</v>
      </c>
      <c r="R206" s="20">
        <f>ABS($J$2-L206)/L206</f>
        <v>0.36036036036036034</v>
      </c>
    </row>
    <row r="207" spans="1:47" ht="12.75" customHeight="1" x14ac:dyDescent="0.2">
      <c r="A207">
        <v>751</v>
      </c>
      <c r="B207" s="1" t="s">
        <v>597</v>
      </c>
      <c r="C207" s="1"/>
      <c r="D207" s="2"/>
      <c r="E207" s="6" t="s">
        <v>495</v>
      </c>
      <c r="F207" s="1">
        <v>1</v>
      </c>
      <c r="G207" s="4">
        <v>22</v>
      </c>
      <c r="H207" s="4">
        <v>9.5</v>
      </c>
      <c r="I207" s="4"/>
      <c r="J207" s="4">
        <v>18</v>
      </c>
      <c r="K207" s="4"/>
      <c r="L207" s="4">
        <v>70</v>
      </c>
      <c r="M207" s="21">
        <f>1-AVERAGE(N207:R207)</f>
        <v>0.73939788866104661</v>
      </c>
      <c r="N207" s="20">
        <f>ABS($D$2-F207)/F207</f>
        <v>0.41999999999999993</v>
      </c>
      <c r="O207" s="20">
        <f>ABS($E$2-G207)/G207</f>
        <v>0.31818181818181818</v>
      </c>
      <c r="P207" s="20">
        <f>ABS($F$2-H207)/H207</f>
        <v>0.34736842105263155</v>
      </c>
      <c r="Q207" s="20">
        <f>ABS($H$2-J207)/J207</f>
        <v>0.1388888888888889</v>
      </c>
      <c r="R207" s="20">
        <f>ABS($J$2-L207)/L207</f>
        <v>7.857142857142857E-2</v>
      </c>
    </row>
    <row r="208" spans="1:47" ht="12.75" customHeight="1" x14ac:dyDescent="0.2">
      <c r="A208">
        <v>392</v>
      </c>
      <c r="B208" s="9" t="s">
        <v>309</v>
      </c>
      <c r="C208" s="9" t="s">
        <v>310</v>
      </c>
      <c r="E208" s="6" t="s">
        <v>41</v>
      </c>
      <c r="F208" s="3">
        <v>2.4</v>
      </c>
      <c r="G208" s="3">
        <f>(35+40)/2</f>
        <v>37.5</v>
      </c>
      <c r="H208" s="3">
        <v>6</v>
      </c>
      <c r="I208" s="3"/>
      <c r="J208" s="3">
        <v>20</v>
      </c>
      <c r="K208" s="10"/>
      <c r="L208" s="10"/>
      <c r="M208" s="21">
        <f>1-AVERAGE(N208:R208)</f>
        <v>0.73916666666666675</v>
      </c>
      <c r="N208" s="20">
        <f>ABS($D$2-F208)/F208</f>
        <v>0.7583333333333333</v>
      </c>
      <c r="O208" s="20">
        <f>ABS($E$2-G208)/G208</f>
        <v>0.22666666666666666</v>
      </c>
      <c r="P208" s="20">
        <f>ABS($F$2-H208)/H208</f>
        <v>3.3333333333333361E-2</v>
      </c>
      <c r="Q208" s="20">
        <f>ABS($H$2-J208)/J208</f>
        <v>2.5000000000000001E-2</v>
      </c>
      <c r="R208" s="20"/>
    </row>
    <row r="209" spans="1:18" ht="12.75" customHeight="1" x14ac:dyDescent="0.2">
      <c r="A209">
        <v>151</v>
      </c>
      <c r="B209" s="1" t="s">
        <v>130</v>
      </c>
      <c r="C209" s="1" t="s">
        <v>131</v>
      </c>
      <c r="D209" s="2"/>
      <c r="E209" s="6" t="s">
        <v>41</v>
      </c>
      <c r="F209" s="3">
        <f>(0.9+1.07)/2</f>
        <v>0.9850000000000001</v>
      </c>
      <c r="G209" s="3">
        <f>(24+26)/2</f>
        <v>25</v>
      </c>
      <c r="H209" s="3">
        <f>(5.4+5.8)/2</f>
        <v>5.6</v>
      </c>
      <c r="I209" s="3"/>
      <c r="J209" s="3">
        <v>15</v>
      </c>
      <c r="K209" s="3"/>
      <c r="L209" s="3"/>
      <c r="M209" s="21">
        <f>1-AVERAGE(N209:R209)</f>
        <v>0.73875574087503026</v>
      </c>
      <c r="N209" s="20">
        <f>ABS($D$2-F209)/F209</f>
        <v>0.41116751269035534</v>
      </c>
      <c r="O209" s="20">
        <f>ABS($E$2-G209)/G209</f>
        <v>0.16</v>
      </c>
      <c r="P209" s="20">
        <f>ABS($F$2-H209)/H209</f>
        <v>0.10714285714285725</v>
      </c>
      <c r="Q209" s="20">
        <f>ABS($H$2-J209)/J209</f>
        <v>0.36666666666666664</v>
      </c>
      <c r="R209" s="20"/>
    </row>
    <row r="210" spans="1:18" ht="12.75" customHeight="1" x14ac:dyDescent="0.2">
      <c r="A210">
        <v>492</v>
      </c>
      <c r="B210" s="9" t="s">
        <v>387</v>
      </c>
      <c r="E210" s="6" t="s">
        <v>41</v>
      </c>
      <c r="F210" s="3">
        <v>0.71</v>
      </c>
      <c r="G210" s="3">
        <v>24</v>
      </c>
      <c r="H210" s="3">
        <v>5.9</v>
      </c>
      <c r="I210" s="3"/>
      <c r="J210" s="3">
        <v>52</v>
      </c>
      <c r="K210" s="10"/>
      <c r="L210" s="10"/>
      <c r="M210" s="21">
        <f>1-AVERAGE(N210:R210)</f>
        <v>0.73798784668025541</v>
      </c>
      <c r="N210" s="20">
        <f>ABS($D$2-F210)/F210</f>
        <v>0.18309859154929564</v>
      </c>
      <c r="O210" s="20">
        <f>ABS($E$2-G210)/G210</f>
        <v>0.20833333333333334</v>
      </c>
      <c r="P210" s="20">
        <f>ABS($F$2-H210)/H210</f>
        <v>5.0847457627118613E-2</v>
      </c>
      <c r="Q210" s="20">
        <f>ABS($H$2-J210)/J210</f>
        <v>0.60576923076923073</v>
      </c>
      <c r="R210" s="20"/>
    </row>
    <row r="211" spans="1:18" ht="12.75" customHeight="1" x14ac:dyDescent="0.2">
      <c r="A211">
        <v>716</v>
      </c>
      <c r="B211" s="1" t="s">
        <v>571</v>
      </c>
      <c r="C211" s="1"/>
      <c r="D211" s="2"/>
      <c r="E211" s="6" t="s">
        <v>495</v>
      </c>
      <c r="F211" s="6">
        <v>0.9</v>
      </c>
      <c r="G211" s="4">
        <v>24</v>
      </c>
      <c r="H211" s="4">
        <v>4.3</v>
      </c>
      <c r="I211" s="4"/>
      <c r="J211" s="4">
        <v>17</v>
      </c>
      <c r="K211" s="4"/>
      <c r="L211" s="4">
        <v>84</v>
      </c>
      <c r="M211" s="21">
        <f>1-AVERAGE(N211:R211)</f>
        <v>0.73743556337263583</v>
      </c>
      <c r="N211" s="20">
        <f>ABS($D$2-F211)/F211</f>
        <v>0.35555555555555551</v>
      </c>
      <c r="O211" s="20">
        <f>ABS($E$2-G211)/G211</f>
        <v>0.20833333333333334</v>
      </c>
      <c r="P211" s="20">
        <f>ABS($F$2-H211)/H211</f>
        <v>0.44186046511627919</v>
      </c>
      <c r="Q211" s="20">
        <f>ABS($H$2-J211)/J211</f>
        <v>0.20588235294117646</v>
      </c>
      <c r="R211" s="20">
        <f>ABS($J$2-L211)/L211</f>
        <v>0.10119047619047619</v>
      </c>
    </row>
    <row r="212" spans="1:18" ht="12.75" customHeight="1" x14ac:dyDescent="0.2">
      <c r="A212">
        <v>136</v>
      </c>
      <c r="B212" s="1" t="s">
        <v>122</v>
      </c>
      <c r="C212" s="1"/>
      <c r="D212" s="2"/>
      <c r="E212" s="6" t="s">
        <v>40</v>
      </c>
      <c r="F212" s="3">
        <f>(0.79+1.1)/2</f>
        <v>0.94500000000000006</v>
      </c>
      <c r="G212" s="3">
        <f>(30+32)/2</f>
        <v>31</v>
      </c>
      <c r="H212" s="3">
        <f>(12+15)/2</f>
        <v>13.5</v>
      </c>
      <c r="I212" s="3"/>
      <c r="J212" s="3">
        <f>(25+28)/2</f>
        <v>26.5</v>
      </c>
      <c r="K212" s="3"/>
      <c r="L212" s="3">
        <f>(83+84)/2</f>
        <v>83.5</v>
      </c>
      <c r="M212" s="21">
        <f>1-AVERAGE(N212:R212)</f>
        <v>0.73725525328209185</v>
      </c>
      <c r="N212" s="20">
        <f>ABS($D$2-F212)/F212</f>
        <v>0.38624338624338622</v>
      </c>
      <c r="O212" s="20">
        <f>ABS($E$2-G212)/G212</f>
        <v>6.4516129032258063E-2</v>
      </c>
      <c r="P212" s="20">
        <f>ABS($F$2-H212)/H212</f>
        <v>0.54074074074074074</v>
      </c>
      <c r="Q212" s="20">
        <f>ABS($H$2-J212)/J212</f>
        <v>0.22641509433962265</v>
      </c>
      <c r="R212" s="20">
        <f>ABS($J$2-L212)/L212</f>
        <v>9.580838323353294E-2</v>
      </c>
    </row>
    <row r="213" spans="1:18" ht="12.75" customHeight="1" x14ac:dyDescent="0.2">
      <c r="A213">
        <v>37</v>
      </c>
      <c r="B213" s="1" t="s">
        <v>62</v>
      </c>
      <c r="C213" s="1"/>
      <c r="D213" s="2"/>
      <c r="E213" s="6" t="s">
        <v>41</v>
      </c>
      <c r="F213" s="3">
        <f>(1.18+1.4)/2</f>
        <v>1.29</v>
      </c>
      <c r="G213" s="3">
        <f>(29+30)/2</f>
        <v>29.5</v>
      </c>
      <c r="H213" s="3">
        <f>(4.5+7)/2</f>
        <v>5.75</v>
      </c>
      <c r="I213" s="3"/>
      <c r="J213" s="3">
        <f>(32+37)/2</f>
        <v>34.5</v>
      </c>
      <c r="K213" s="3"/>
      <c r="L213" s="3"/>
      <c r="M213" s="21">
        <f>1-AVERAGE(N213:R213)</f>
        <v>0.73715131988597737</v>
      </c>
      <c r="N213" s="20">
        <f>ABS($D$2-F213)/F213</f>
        <v>0.55038759689922478</v>
      </c>
      <c r="O213" s="20">
        <f>ABS($E$2-G213)/G213</f>
        <v>1.6949152542372881E-2</v>
      </c>
      <c r="P213" s="20">
        <f>ABS($F$2-H213)/H213</f>
        <v>7.8260869565217425E-2</v>
      </c>
      <c r="Q213" s="20">
        <f>ABS($H$2-J213)/J213</f>
        <v>0.40579710144927539</v>
      </c>
      <c r="R213" s="20"/>
    </row>
    <row r="214" spans="1:18" ht="12.75" customHeight="1" x14ac:dyDescent="0.2">
      <c r="A214">
        <v>125</v>
      </c>
      <c r="B214" s="1" t="s">
        <v>115</v>
      </c>
      <c r="C214" s="1"/>
      <c r="D214" s="2"/>
      <c r="E214" s="6" t="s">
        <v>41</v>
      </c>
      <c r="F214" s="3">
        <f>(0.75+0.98)/2</f>
        <v>0.86499999999999999</v>
      </c>
      <c r="G214" s="3">
        <f>(36+40)/2</f>
        <v>38</v>
      </c>
      <c r="H214" s="3">
        <f>(10+11)/2</f>
        <v>10.5</v>
      </c>
      <c r="I214" s="3"/>
      <c r="J214" s="3">
        <f>(19.5+25.3)/2</f>
        <v>22.4</v>
      </c>
      <c r="K214" s="3"/>
      <c r="L214" s="3"/>
      <c r="M214" s="21">
        <f>1-AVERAGE(N214:R214)</f>
        <v>0.73483322196386924</v>
      </c>
      <c r="N214" s="20">
        <f>ABS($D$2-F214)/F214</f>
        <v>0.32947976878612706</v>
      </c>
      <c r="O214" s="20">
        <f>ABS($E$2-G214)/G214</f>
        <v>0.23684210526315788</v>
      </c>
      <c r="P214" s="20">
        <f>ABS($F$2-H214)/H214</f>
        <v>0.40952380952380951</v>
      </c>
      <c r="Q214" s="20">
        <f>ABS($H$2-J214)/J214</f>
        <v>8.482142857142852E-2</v>
      </c>
      <c r="R214" s="20"/>
    </row>
    <row r="215" spans="1:18" ht="12.75" customHeight="1" x14ac:dyDescent="0.2">
      <c r="A215">
        <v>9</v>
      </c>
      <c r="B215" s="6" t="s">
        <v>46</v>
      </c>
      <c r="C215" s="6"/>
      <c r="D215" s="7"/>
      <c r="E215" s="6" t="s">
        <v>40</v>
      </c>
      <c r="F215" s="3">
        <f>(0.7+0.88)/2</f>
        <v>0.79</v>
      </c>
      <c r="G215" s="3">
        <f>(35+43)/2</f>
        <v>39</v>
      </c>
      <c r="H215" s="3">
        <f>(5.8+7.8)/2</f>
        <v>6.8</v>
      </c>
      <c r="I215" s="3"/>
      <c r="J215" s="3">
        <f>(14+17)/2</f>
        <v>15.5</v>
      </c>
      <c r="K215" s="3"/>
      <c r="L215" s="3">
        <f>(52+56)/2</f>
        <v>54</v>
      </c>
      <c r="M215" s="21">
        <f>1-AVERAGE(N215:R215)</f>
        <v>0.73376057427050634</v>
      </c>
      <c r="N215" s="20">
        <f>ABS($D$2-F215)/F215</f>
        <v>0.2658227848101265</v>
      </c>
      <c r="O215" s="20">
        <f>ABS($E$2-G215)/G215</f>
        <v>0.25641025641025639</v>
      </c>
      <c r="P215" s="20">
        <f>ABS($F$2-H215)/H215</f>
        <v>8.8235294117647009E-2</v>
      </c>
      <c r="Q215" s="20">
        <f>ABS($H$2-J215)/J215</f>
        <v>0.32258064516129031</v>
      </c>
      <c r="R215" s="20">
        <f>ABS($J$2-L215)/L215</f>
        <v>0.39814814814814814</v>
      </c>
    </row>
    <row r="216" spans="1:18" ht="12.75" customHeight="1" x14ac:dyDescent="0.2">
      <c r="A216">
        <v>20</v>
      </c>
      <c r="B216" s="9" t="s">
        <v>52</v>
      </c>
      <c r="C216" s="6"/>
      <c r="D216" s="7"/>
      <c r="E216" s="6" t="s">
        <v>41</v>
      </c>
      <c r="F216" s="3">
        <f>(0.73+0.86)/2</f>
        <v>0.79499999999999993</v>
      </c>
      <c r="G216" s="3">
        <f>(27+35)/2</f>
        <v>31</v>
      </c>
      <c r="H216" s="3">
        <f>(9.9+7.3)/2</f>
        <v>8.6</v>
      </c>
      <c r="I216" s="3"/>
      <c r="J216" s="3">
        <f>(36+39)/2</f>
        <v>37.5</v>
      </c>
      <c r="K216" s="3"/>
      <c r="L216" s="3"/>
      <c r="M216" s="21">
        <f>1-AVERAGE(N216:R216)</f>
        <v>0.73316012965505539</v>
      </c>
      <c r="N216" s="20">
        <f>ABS($D$2-F216)/F216</f>
        <v>0.27044025157232687</v>
      </c>
      <c r="O216" s="20">
        <f>ABS($E$2-G216)/G216</f>
        <v>6.4516129032258063E-2</v>
      </c>
      <c r="P216" s="20">
        <f>ABS($F$2-H216)/H216</f>
        <v>0.27906976744186041</v>
      </c>
      <c r="Q216" s="20">
        <f>ABS($H$2-J216)/J216</f>
        <v>0.45333333333333331</v>
      </c>
      <c r="R216" s="20"/>
    </row>
    <row r="217" spans="1:18" ht="12.75" customHeight="1" x14ac:dyDescent="0.2">
      <c r="A217">
        <v>710</v>
      </c>
      <c r="B217" s="1" t="s">
        <v>94</v>
      </c>
      <c r="C217" s="1"/>
      <c r="D217" s="2"/>
      <c r="E217" s="6" t="s">
        <v>495</v>
      </c>
      <c r="F217" s="1">
        <v>1</v>
      </c>
      <c r="G217" s="1">
        <v>39</v>
      </c>
      <c r="H217" s="1">
        <v>6.7</v>
      </c>
      <c r="I217" s="4"/>
      <c r="J217" s="1">
        <v>13</v>
      </c>
      <c r="K217" s="1"/>
      <c r="L217" s="1">
        <v>76</v>
      </c>
      <c r="M217" s="21">
        <f>1-AVERAGE(N217:R217)</f>
        <v>0.73309217072532085</v>
      </c>
      <c r="N217" s="20">
        <f>ABS($D$2-F217)/F217</f>
        <v>0.41999999999999993</v>
      </c>
      <c r="O217" s="20">
        <f>ABS($E$2-G217)/G217</f>
        <v>0.25641025641025639</v>
      </c>
      <c r="P217" s="20">
        <f>ABS($F$2-H217)/H217</f>
        <v>7.4626865671641784E-2</v>
      </c>
      <c r="Q217" s="20">
        <f>ABS($H$2-J217)/J217</f>
        <v>0.57692307692307687</v>
      </c>
      <c r="R217" s="20">
        <f>ABS($J$2-L217)/L217</f>
        <v>6.5789473684210523E-3</v>
      </c>
    </row>
    <row r="218" spans="1:18" ht="12.75" customHeight="1" x14ac:dyDescent="0.2">
      <c r="A218">
        <v>709</v>
      </c>
      <c r="B218" s="1" t="s">
        <v>93</v>
      </c>
      <c r="C218" s="1"/>
      <c r="D218" s="2"/>
      <c r="E218" s="6" t="s">
        <v>495</v>
      </c>
      <c r="F218" s="1">
        <v>1</v>
      </c>
      <c r="G218" s="1">
        <f>(20+24)/2</f>
        <v>22</v>
      </c>
      <c r="H218" s="1">
        <v>9</v>
      </c>
      <c r="I218" s="4"/>
      <c r="J218" s="1">
        <v>23</v>
      </c>
      <c r="K218" s="4"/>
      <c r="L218" s="4">
        <v>93</v>
      </c>
      <c r="M218" s="21">
        <f>1-AVERAGE(N218:R218)</f>
        <v>0.73076787510448105</v>
      </c>
      <c r="N218" s="20">
        <f>ABS($D$2-F218)/F218</f>
        <v>0.41999999999999993</v>
      </c>
      <c r="O218" s="20">
        <f>ABS($E$2-G218)/G218</f>
        <v>0.31818181818181818</v>
      </c>
      <c r="P218" s="20">
        <f>ABS($F$2-H218)/H218</f>
        <v>0.31111111111111112</v>
      </c>
      <c r="Q218" s="20">
        <f>ABS($H$2-J218)/J218</f>
        <v>0.10869565217391304</v>
      </c>
      <c r="R218" s="20">
        <f>ABS($J$2-L218)/L218</f>
        <v>0.18817204301075269</v>
      </c>
    </row>
    <row r="219" spans="1:18" ht="12.75" customHeight="1" x14ac:dyDescent="0.2">
      <c r="A219">
        <v>113</v>
      </c>
      <c r="B219" s="1" t="s">
        <v>108</v>
      </c>
      <c r="C219" s="1"/>
      <c r="D219" s="2"/>
      <c r="E219" s="6" t="s">
        <v>40</v>
      </c>
      <c r="F219" s="3">
        <f>(0.77+1.2)/2</f>
        <v>0.98499999999999999</v>
      </c>
      <c r="G219" s="3">
        <f>(40+54)/2</f>
        <v>47</v>
      </c>
      <c r="H219" s="3">
        <f>(10+13)/2</f>
        <v>11.5</v>
      </c>
      <c r="I219" s="3"/>
      <c r="J219" s="3">
        <f>(18+24)/2</f>
        <v>21</v>
      </c>
      <c r="K219" s="3"/>
      <c r="L219" s="3">
        <f>(66+75)/2</f>
        <v>70.5</v>
      </c>
      <c r="M219" s="21">
        <f>1-AVERAGE(N219:R219)</f>
        <v>0.73005053781257434</v>
      </c>
      <c r="N219" s="20">
        <f>ABS($D$2-F219)/F219</f>
        <v>0.41116751269035523</v>
      </c>
      <c r="O219" s="20">
        <f>ABS($E$2-G219)/G219</f>
        <v>0.38297872340425532</v>
      </c>
      <c r="P219" s="20">
        <f>ABS($F$2-H219)/H219</f>
        <v>0.46086956521739131</v>
      </c>
      <c r="Q219" s="20">
        <f>ABS($H$2-J219)/J219</f>
        <v>2.3809523809523808E-2</v>
      </c>
      <c r="R219" s="20">
        <f>ABS($J$2-L219)/L219</f>
        <v>7.0921985815602842E-2</v>
      </c>
    </row>
    <row r="220" spans="1:18" ht="15.75" customHeight="1" x14ac:dyDescent="0.2">
      <c r="A220">
        <v>932</v>
      </c>
      <c r="B220" s="1" t="s">
        <v>738</v>
      </c>
      <c r="C220" s="1"/>
      <c r="D220" s="2"/>
      <c r="E220" s="6" t="s">
        <v>482</v>
      </c>
      <c r="F220" s="1">
        <v>0.9</v>
      </c>
      <c r="G220" s="4">
        <v>37</v>
      </c>
      <c r="H220" s="4">
        <v>5.3</v>
      </c>
      <c r="I220" s="4"/>
      <c r="J220" s="4">
        <v>31</v>
      </c>
      <c r="K220" s="4"/>
      <c r="L220" s="4"/>
      <c r="M220" s="21">
        <f>1-AVERAGE(N220:R220)</f>
        <v>0.72992680751353911</v>
      </c>
      <c r="N220" s="20">
        <f>ABS($D$2-F220)/F220</f>
        <v>0.35555555555555551</v>
      </c>
      <c r="O220" s="20">
        <f>ABS($E$2-G220)/G220</f>
        <v>0.21621621621621623</v>
      </c>
      <c r="P220" s="20">
        <f>ABS($F$2-H220)/H220</f>
        <v>0.16981132075471705</v>
      </c>
      <c r="Q220" s="20">
        <f>ABS($H$2-J220)/J220</f>
        <v>0.33870967741935482</v>
      </c>
      <c r="R220" s="20"/>
    </row>
    <row r="221" spans="1:18" ht="15.75" customHeight="1" x14ac:dyDescent="0.2">
      <c r="A221">
        <v>699</v>
      </c>
      <c r="B221" s="1" t="s">
        <v>560</v>
      </c>
      <c r="C221" s="1"/>
      <c r="D221" s="2"/>
      <c r="E221" s="6" t="s">
        <v>495</v>
      </c>
      <c r="F221" s="1">
        <v>0.8</v>
      </c>
      <c r="G221" s="4">
        <v>25</v>
      </c>
      <c r="H221" s="4">
        <v>7.1</v>
      </c>
      <c r="I221" s="4"/>
      <c r="J221" s="4">
        <v>44</v>
      </c>
      <c r="K221" s="4"/>
      <c r="L221" s="1">
        <v>60</v>
      </c>
      <c r="M221" s="21">
        <f>1-AVERAGE(N221:R221)</f>
        <v>0.72916303883909517</v>
      </c>
      <c r="N221" s="20">
        <f>ABS($D$2-F221)/F221</f>
        <v>0.27499999999999997</v>
      </c>
      <c r="O221" s="20">
        <f>ABS($E$2-G221)/G221</f>
        <v>0.16</v>
      </c>
      <c r="P221" s="20">
        <f>ABS($F$2-H221)/H221</f>
        <v>0.12676056338028163</v>
      </c>
      <c r="Q221" s="20">
        <f>ABS($H$2-J221)/J221</f>
        <v>0.53409090909090906</v>
      </c>
      <c r="R221" s="20">
        <f>ABS($J$2-L221)/L221</f>
        <v>0.25833333333333336</v>
      </c>
    </row>
    <row r="222" spans="1:18" ht="15.75" customHeight="1" x14ac:dyDescent="0.2">
      <c r="A222">
        <v>184</v>
      </c>
      <c r="B222" s="1" t="s">
        <v>156</v>
      </c>
      <c r="C222" s="1"/>
      <c r="D222" s="2"/>
      <c r="E222" s="6" t="s">
        <v>41</v>
      </c>
      <c r="F222" s="3">
        <f>(0.7+0.9)/2</f>
        <v>0.8</v>
      </c>
      <c r="G222" s="3">
        <f>(20+28)/2</f>
        <v>24</v>
      </c>
      <c r="H222" s="3">
        <f>(4.7+5)/2</f>
        <v>4.8499999999999996</v>
      </c>
      <c r="I222" s="3"/>
      <c r="J222" s="3">
        <f>(14+17)/2</f>
        <v>15.5</v>
      </c>
      <c r="K222" s="3"/>
      <c r="L222" s="3"/>
      <c r="M222" s="21">
        <f>1-AVERAGE(N222:R222)</f>
        <v>0.72893387651036468</v>
      </c>
      <c r="N222" s="20">
        <f>ABS($D$2-F222)/F222</f>
        <v>0.27499999999999997</v>
      </c>
      <c r="O222" s="20">
        <f>ABS($E$2-G222)/G222</f>
        <v>0.20833333333333334</v>
      </c>
      <c r="P222" s="20">
        <f>ABS($F$2-H222)/H222</f>
        <v>0.27835051546391765</v>
      </c>
      <c r="Q222" s="20">
        <f>ABS($H$2-J222)/J222</f>
        <v>0.32258064516129031</v>
      </c>
      <c r="R222" s="20"/>
    </row>
    <row r="223" spans="1:18" ht="15.75" customHeight="1" x14ac:dyDescent="0.2">
      <c r="A223">
        <v>692</v>
      </c>
      <c r="B223" s="6" t="s">
        <v>555</v>
      </c>
      <c r="C223" s="1"/>
      <c r="D223" s="2"/>
      <c r="E223" s="6" t="s">
        <v>495</v>
      </c>
      <c r="F223" s="1">
        <v>0.7</v>
      </c>
      <c r="G223" s="4">
        <v>22</v>
      </c>
      <c r="H223" s="4">
        <v>5.0999999999999996</v>
      </c>
      <c r="I223" s="4"/>
      <c r="J223" s="4">
        <v>35</v>
      </c>
      <c r="K223" s="4"/>
      <c r="L223" s="4">
        <v>61</v>
      </c>
      <c r="M223" s="21">
        <f>1-AVERAGE(N223:R223)</f>
        <v>0.7285425407122611</v>
      </c>
      <c r="N223" s="20">
        <f>ABS($D$2-F223)/F223</f>
        <v>0.17142857142857126</v>
      </c>
      <c r="O223" s="20">
        <f>ABS($E$2-G223)/G223</f>
        <v>0.31818181818181818</v>
      </c>
      <c r="P223" s="20">
        <f>ABS($F$2-H223)/H223</f>
        <v>0.21568627450980404</v>
      </c>
      <c r="Q223" s="20">
        <f>ABS($H$2-J223)/J223</f>
        <v>0.41428571428571431</v>
      </c>
      <c r="R223" s="20">
        <f>ABS($J$2-L223)/L223</f>
        <v>0.23770491803278687</v>
      </c>
    </row>
    <row r="224" spans="1:18" ht="15.75" customHeight="1" x14ac:dyDescent="0.2">
      <c r="A224">
        <v>384</v>
      </c>
      <c r="B224" s="9" t="s">
        <v>301</v>
      </c>
      <c r="E224" s="6" t="s">
        <v>41</v>
      </c>
      <c r="F224" s="3">
        <v>0.65</v>
      </c>
      <c r="G224" s="3">
        <f>(32+33)/2</f>
        <v>32.5</v>
      </c>
      <c r="H224" s="3">
        <f>(6+6.5)/2</f>
        <v>6.25</v>
      </c>
      <c r="I224" s="3"/>
      <c r="J224" s="3">
        <v>11</v>
      </c>
      <c r="K224" s="10"/>
      <c r="L224" s="10"/>
      <c r="M224" s="21">
        <f>1-AVERAGE(N224:R224)</f>
        <v>0.72824475524475529</v>
      </c>
      <c r="N224" s="20">
        <f>ABS($D$2-F224)/F224</f>
        <v>0.10769230769230762</v>
      </c>
      <c r="O224" s="20">
        <f>ABS($E$2-G224)/G224</f>
        <v>0.1076923076923077</v>
      </c>
      <c r="P224" s="20">
        <f>ABS($F$2-H224)/H224</f>
        <v>7.9999999999999724E-3</v>
      </c>
      <c r="Q224" s="20">
        <f>ABS($H$2-J224)/J224</f>
        <v>0.86363636363636365</v>
      </c>
      <c r="R224" s="20"/>
    </row>
    <row r="225" spans="1:18" ht="15.75" customHeight="1" x14ac:dyDescent="0.2">
      <c r="A225">
        <v>647</v>
      </c>
      <c r="B225" s="6" t="s">
        <v>519</v>
      </c>
      <c r="C225" s="6"/>
      <c r="D225" s="7"/>
      <c r="E225" s="6" t="s">
        <v>495</v>
      </c>
      <c r="F225" s="1">
        <v>1</v>
      </c>
      <c r="G225" s="4">
        <v>28</v>
      </c>
      <c r="H225" s="4">
        <v>8</v>
      </c>
      <c r="I225" s="4"/>
      <c r="J225" s="4">
        <v>12.5</v>
      </c>
      <c r="K225" s="4"/>
      <c r="L225" s="4">
        <v>79</v>
      </c>
      <c r="M225" s="21">
        <f>1-AVERAGE(N225:R225)</f>
        <v>0.72699638336347194</v>
      </c>
      <c r="N225" s="20">
        <f>ABS($D$2-F225)/F225</f>
        <v>0.41999999999999993</v>
      </c>
      <c r="O225" s="20">
        <f>ABS($E$2-G225)/G225</f>
        <v>3.5714285714285712E-2</v>
      </c>
      <c r="P225" s="20">
        <f>ABS($F$2-H225)/H225</f>
        <v>0.22499999999999998</v>
      </c>
      <c r="Q225" s="20">
        <f>ABS($H$2-J225)/J225</f>
        <v>0.64</v>
      </c>
      <c r="R225" s="20">
        <f>ABS($J$2-L225)/L225</f>
        <v>4.4303797468354431E-2</v>
      </c>
    </row>
    <row r="226" spans="1:18" ht="15.75" customHeight="1" x14ac:dyDescent="0.2">
      <c r="A226">
        <v>672</v>
      </c>
      <c r="B226" s="1" t="s">
        <v>539</v>
      </c>
      <c r="C226" s="1"/>
      <c r="D226" s="2"/>
      <c r="E226" s="6" t="s">
        <v>495</v>
      </c>
      <c r="F226" s="1">
        <v>0.8</v>
      </c>
      <c r="G226" s="4">
        <v>36</v>
      </c>
      <c r="H226" s="4">
        <v>5</v>
      </c>
      <c r="I226" s="4"/>
      <c r="J226" s="4">
        <v>17</v>
      </c>
      <c r="K226" s="4"/>
      <c r="L226" s="4">
        <v>52</v>
      </c>
      <c r="M226" s="21">
        <f>1-AVERAGE(N226:R226)</f>
        <v>0.72655002513826039</v>
      </c>
      <c r="N226" s="20">
        <f>ABS($D$2-F226)/F226</f>
        <v>0.27499999999999997</v>
      </c>
      <c r="O226" s="20">
        <f>ABS($E$2-G226)/G226</f>
        <v>0.19444444444444445</v>
      </c>
      <c r="P226" s="20">
        <f>ABS($F$2-H226)/H226</f>
        <v>0.24000000000000005</v>
      </c>
      <c r="Q226" s="20">
        <f>ABS($H$2-J226)/J226</f>
        <v>0.20588235294117646</v>
      </c>
      <c r="R226" s="20">
        <f>ABS($J$2-L226)/L226</f>
        <v>0.45192307692307693</v>
      </c>
    </row>
    <row r="227" spans="1:18" ht="15.75" customHeight="1" x14ac:dyDescent="0.2">
      <c r="A227">
        <v>84</v>
      </c>
      <c r="B227" s="1" t="s">
        <v>93</v>
      </c>
      <c r="C227" s="1"/>
      <c r="D227" s="2"/>
      <c r="E227" s="6" t="s">
        <v>40</v>
      </c>
      <c r="F227" s="3">
        <v>1</v>
      </c>
      <c r="G227" s="3">
        <f>(30+50)/2</f>
        <v>40</v>
      </c>
      <c r="H227" s="3">
        <f>(8+10)/2</f>
        <v>9</v>
      </c>
      <c r="I227" s="3"/>
      <c r="J227" s="3">
        <v>25</v>
      </c>
      <c r="K227" s="3"/>
      <c r="L227" s="3">
        <v>93</v>
      </c>
      <c r="M227" s="21">
        <f>1-AVERAGE(N227:R227)</f>
        <v>0.72514336917562727</v>
      </c>
      <c r="N227" s="20">
        <f>ABS($D$2-F227)/F227</f>
        <v>0.41999999999999993</v>
      </c>
      <c r="O227" s="20">
        <f>ABS($E$2-G227)/G227</f>
        <v>0.27500000000000002</v>
      </c>
      <c r="P227" s="20">
        <f>ABS($F$2-H227)/H227</f>
        <v>0.31111111111111112</v>
      </c>
      <c r="Q227" s="20">
        <f>ABS($H$2-J227)/J227</f>
        <v>0.18</v>
      </c>
      <c r="R227" s="20">
        <f>ABS($J$2-L227)/L227</f>
        <v>0.18817204301075269</v>
      </c>
    </row>
    <row r="228" spans="1:18" ht="15.75" customHeight="1" x14ac:dyDescent="0.2">
      <c r="A228">
        <v>19</v>
      </c>
      <c r="B228" s="9" t="s">
        <v>52</v>
      </c>
      <c r="C228" s="6"/>
      <c r="D228" s="7"/>
      <c r="E228" s="6" t="s">
        <v>40</v>
      </c>
      <c r="F228" s="3">
        <f>(0.79+0.99)/2</f>
        <v>0.89</v>
      </c>
      <c r="G228" s="3">
        <f>(24+25)/2</f>
        <v>24.5</v>
      </c>
      <c r="H228" s="3">
        <f>(7.3+7.9)/2</f>
        <v>7.6</v>
      </c>
      <c r="I228" s="3"/>
      <c r="J228" s="3">
        <f>(38+42)/2</f>
        <v>40</v>
      </c>
      <c r="K228" s="3"/>
      <c r="L228" s="3">
        <f>(91.2+91.9)/2</f>
        <v>91.550000000000011</v>
      </c>
      <c r="M228" s="21">
        <f>1-AVERAGE(N228:R228)</f>
        <v>0.7241974723018012</v>
      </c>
      <c r="N228" s="20">
        <f>ABS($D$2-F228)/F228</f>
        <v>0.34831460674157294</v>
      </c>
      <c r="O228" s="20">
        <f>ABS($E$2-G228)/G228</f>
        <v>0.18367346938775511</v>
      </c>
      <c r="P228" s="20">
        <f>ABS($F$2-H228)/H228</f>
        <v>0.18421052631578941</v>
      </c>
      <c r="Q228" s="20">
        <f>ABS($H$2-J228)/J228</f>
        <v>0.48749999999999999</v>
      </c>
      <c r="R228" s="20">
        <f>ABS($J$2-L228)/L228</f>
        <v>0.17531403604587667</v>
      </c>
    </row>
    <row r="229" spans="1:18" ht="15.75" customHeight="1" x14ac:dyDescent="0.2">
      <c r="A229">
        <v>461</v>
      </c>
      <c r="B229" s="9" t="s">
        <v>361</v>
      </c>
      <c r="C229" s="9" t="s">
        <v>362</v>
      </c>
      <c r="E229" s="6" t="s">
        <v>40</v>
      </c>
      <c r="F229" s="3">
        <f>(0.75+0.79)/2</f>
        <v>0.77</v>
      </c>
      <c r="G229" s="3">
        <f>(31+35)/2</f>
        <v>33</v>
      </c>
      <c r="H229" s="3">
        <f>(4.2+4.4)/2</f>
        <v>4.3000000000000007</v>
      </c>
      <c r="I229" s="3"/>
      <c r="J229" s="3">
        <f>(23+25)/2</f>
        <v>24</v>
      </c>
      <c r="K229" s="3"/>
      <c r="L229" s="3">
        <f>(52+54)/2</f>
        <v>53</v>
      </c>
      <c r="M229" s="21">
        <f>1-AVERAGE(N229:R229)</f>
        <v>0.72396250633964543</v>
      </c>
      <c r="N229" s="20">
        <f>ABS($D$2-F229)/F229</f>
        <v>0.24675324675324667</v>
      </c>
      <c r="O229" s="20">
        <f>ABS($E$2-G229)/G229</f>
        <v>0.12121212121212122</v>
      </c>
      <c r="P229" s="20">
        <f>ABS($F$2-H229)/H229</f>
        <v>0.44186046511627886</v>
      </c>
      <c r="Q229" s="20">
        <f>ABS($H$2-J229)/J229</f>
        <v>0.14583333333333334</v>
      </c>
      <c r="R229" s="20">
        <f>ABS($J$2-L229)/L229</f>
        <v>0.42452830188679247</v>
      </c>
    </row>
    <row r="230" spans="1:18" ht="15.75" customHeight="1" x14ac:dyDescent="0.2">
      <c r="A230">
        <v>294</v>
      </c>
      <c r="B230" s="9" t="s">
        <v>234</v>
      </c>
      <c r="E230" s="6" t="s">
        <v>40</v>
      </c>
      <c r="F230" s="3">
        <f>(0.6+0.9)/2</f>
        <v>0.75</v>
      </c>
      <c r="G230" s="3">
        <f>(18+20)/2</f>
        <v>19</v>
      </c>
      <c r="H230" s="3">
        <f>(4+5)/2</f>
        <v>4.5</v>
      </c>
      <c r="I230" s="3"/>
      <c r="J230" s="3">
        <f>(17+20)/2</f>
        <v>18.5</v>
      </c>
      <c r="K230" s="3"/>
      <c r="L230" s="3">
        <v>66</v>
      </c>
      <c r="M230" s="21">
        <f>1-AVERAGE(N230:R230)</f>
        <v>0.7234384528068738</v>
      </c>
      <c r="N230" s="20">
        <f>ABS($D$2-F230)/F230</f>
        <v>0.22666666666666657</v>
      </c>
      <c r="O230" s="20">
        <f>ABS($E$2-G230)/G230</f>
        <v>0.52631578947368418</v>
      </c>
      <c r="P230" s="20">
        <f>ABS($F$2-H230)/H230</f>
        <v>0.37777777777777782</v>
      </c>
      <c r="Q230" s="20">
        <f>ABS($H$2-J230)/J230</f>
        <v>0.10810810810810811</v>
      </c>
      <c r="R230" s="20">
        <f>ABS($J$2-L230)/L230</f>
        <v>0.14393939393939395</v>
      </c>
    </row>
    <row r="231" spans="1:18" ht="15.75" customHeight="1" x14ac:dyDescent="0.2">
      <c r="A231">
        <v>724</v>
      </c>
      <c r="B231" s="1" t="s">
        <v>576</v>
      </c>
      <c r="C231" s="1" t="s">
        <v>577</v>
      </c>
      <c r="D231" s="2"/>
      <c r="E231" s="6" t="s">
        <v>495</v>
      </c>
      <c r="F231" s="1">
        <v>0.56000000000000005</v>
      </c>
      <c r="G231" s="4">
        <v>31</v>
      </c>
      <c r="H231" s="4">
        <v>5.6</v>
      </c>
      <c r="I231" s="4"/>
      <c r="J231" s="4">
        <v>9.6</v>
      </c>
      <c r="K231" s="4"/>
      <c r="L231" s="4">
        <v>71</v>
      </c>
      <c r="M231" s="21">
        <f>1-AVERAGE(N231:R231)</f>
        <v>0.71876595595075832</v>
      </c>
      <c r="N231" s="20">
        <f>ABS($D$2-F231)/F231</f>
        <v>3.571428571428574E-2</v>
      </c>
      <c r="O231" s="20">
        <f>ABS($E$2-G231)/G231</f>
        <v>6.4516129032258063E-2</v>
      </c>
      <c r="P231" s="20">
        <f>ABS($F$2-H231)/H231</f>
        <v>0.10714285714285725</v>
      </c>
      <c r="Q231" s="20">
        <f>ABS($H$2-J231)/J231</f>
        <v>1.1354166666666667</v>
      </c>
      <c r="R231" s="20">
        <f>ABS($J$2-L231)/L231</f>
        <v>6.3380281690140844E-2</v>
      </c>
    </row>
    <row r="232" spans="1:18" ht="15.75" customHeight="1" x14ac:dyDescent="0.2">
      <c r="A232">
        <v>247</v>
      </c>
      <c r="B232" s="9" t="s">
        <v>206</v>
      </c>
      <c r="E232" s="6" t="s">
        <v>41</v>
      </c>
      <c r="F232" s="3">
        <v>0.67</v>
      </c>
      <c r="G232" s="3">
        <v>19</v>
      </c>
      <c r="H232" s="3">
        <v>7.6</v>
      </c>
      <c r="I232" s="3"/>
      <c r="J232" s="3">
        <v>16</v>
      </c>
      <c r="K232" s="3"/>
      <c r="L232" s="3"/>
      <c r="M232" s="21">
        <f>1-AVERAGE(N232:R232)</f>
        <v>0.71847383150039279</v>
      </c>
      <c r="N232" s="20">
        <f>ABS($D$2-F232)/F232</f>
        <v>0.13432835820895517</v>
      </c>
      <c r="O232" s="20">
        <f>ABS($E$2-G232)/G232</f>
        <v>0.52631578947368418</v>
      </c>
      <c r="P232" s="20">
        <f>ABS($F$2-H232)/H232</f>
        <v>0.18421052631578941</v>
      </c>
      <c r="Q232" s="20">
        <f>ABS($H$2-J232)/J232</f>
        <v>0.28125</v>
      </c>
      <c r="R232" s="20"/>
    </row>
    <row r="233" spans="1:18" ht="15.75" customHeight="1" x14ac:dyDescent="0.2">
      <c r="A233">
        <v>162</v>
      </c>
      <c r="B233" s="1" t="s">
        <v>141</v>
      </c>
      <c r="C233" s="1" t="s">
        <v>142</v>
      </c>
      <c r="D233" s="2"/>
      <c r="E233" s="6" t="s">
        <v>41</v>
      </c>
      <c r="F233" s="3">
        <f>(0.83+1.21)/2</f>
        <v>1.02</v>
      </c>
      <c r="G233" s="3">
        <f>(18+22)/2</f>
        <v>20</v>
      </c>
      <c r="H233" s="3">
        <f>(6.2+9.3)/2</f>
        <v>7.75</v>
      </c>
      <c r="I233" s="3"/>
      <c r="J233" s="3">
        <f>(18+25)/2</f>
        <v>21.5</v>
      </c>
      <c r="K233" s="3"/>
      <c r="L233" s="3"/>
      <c r="M233" s="21">
        <f>1-AVERAGE(N233:R233)</f>
        <v>0.7180289557683539</v>
      </c>
      <c r="N233" s="20">
        <f>ABS($D$2-F233)/F233</f>
        <v>0.43137254901960781</v>
      </c>
      <c r="O233" s="20">
        <f>ABS($E$2-G233)/G233</f>
        <v>0.45</v>
      </c>
      <c r="P233" s="20">
        <f>ABS($F$2-H233)/H233</f>
        <v>0.19999999999999998</v>
      </c>
      <c r="Q233" s="20">
        <f>ABS($H$2-J233)/J233</f>
        <v>4.6511627906976744E-2</v>
      </c>
      <c r="R233" s="20"/>
    </row>
    <row r="234" spans="1:18" ht="15.75" customHeight="1" x14ac:dyDescent="0.2">
      <c r="A234">
        <v>708</v>
      </c>
      <c r="B234" s="1" t="s">
        <v>568</v>
      </c>
      <c r="C234" s="1"/>
      <c r="D234" s="2"/>
      <c r="E234" s="6" t="s">
        <v>495</v>
      </c>
      <c r="F234" s="1">
        <v>1</v>
      </c>
      <c r="G234" s="1">
        <v>21</v>
      </c>
      <c r="H234" s="1">
        <v>9.1</v>
      </c>
      <c r="I234" s="1"/>
      <c r="J234" s="1">
        <v>23</v>
      </c>
      <c r="K234" s="1"/>
      <c r="L234" s="1">
        <v>93</v>
      </c>
      <c r="M234" s="21">
        <f>1-AVERAGE(N234:R234)</f>
        <v>0.71669972103632695</v>
      </c>
      <c r="N234" s="20">
        <f>ABS($D$2-F234)/F234</f>
        <v>0.41999999999999993</v>
      </c>
      <c r="O234" s="20">
        <f>ABS($E$2-G234)/G234</f>
        <v>0.38095238095238093</v>
      </c>
      <c r="P234" s="20">
        <f>ABS($F$2-H234)/H234</f>
        <v>0.31868131868131866</v>
      </c>
      <c r="Q234" s="20">
        <f>ABS($H$2-J234)/J234</f>
        <v>0.10869565217391304</v>
      </c>
      <c r="R234" s="20">
        <f>ABS($J$2-L234)/L234</f>
        <v>0.18817204301075269</v>
      </c>
    </row>
    <row r="235" spans="1:18" ht="15.75" customHeight="1" x14ac:dyDescent="0.2">
      <c r="A235">
        <v>667</v>
      </c>
      <c r="B235" s="1" t="s">
        <v>534</v>
      </c>
      <c r="C235" s="1"/>
      <c r="D235" s="2"/>
      <c r="E235" s="6" t="s">
        <v>495</v>
      </c>
      <c r="F235" s="1">
        <v>1</v>
      </c>
      <c r="G235" s="4">
        <v>31</v>
      </c>
      <c r="H235" s="4">
        <v>7</v>
      </c>
      <c r="I235" s="4"/>
      <c r="J235" s="4">
        <v>15</v>
      </c>
      <c r="K235" s="4"/>
      <c r="L235" s="4">
        <v>52</v>
      </c>
      <c r="M235" s="21">
        <f>1-AVERAGE(N235:R235)</f>
        <v>0.71652168261845683</v>
      </c>
      <c r="N235" s="20">
        <f>ABS($D$2-F235)/F235</f>
        <v>0.41999999999999993</v>
      </c>
      <c r="O235" s="20">
        <f>ABS($E$2-G235)/G235</f>
        <v>6.4516129032258063E-2</v>
      </c>
      <c r="P235" s="20">
        <f>ABS($F$2-H235)/H235</f>
        <v>0.11428571428571425</v>
      </c>
      <c r="Q235" s="20">
        <f>ABS($H$2-J235)/J235</f>
        <v>0.36666666666666664</v>
      </c>
      <c r="R235" s="20">
        <f>ABS($J$2-L235)/L235</f>
        <v>0.45192307692307693</v>
      </c>
    </row>
    <row r="236" spans="1:18" ht="15.75" customHeight="1" x14ac:dyDescent="0.2">
      <c r="A236">
        <v>713</v>
      </c>
      <c r="B236" s="1" t="s">
        <v>569</v>
      </c>
      <c r="C236" s="1"/>
      <c r="D236" s="2"/>
      <c r="E236" s="6" t="s">
        <v>482</v>
      </c>
      <c r="F236" s="1">
        <f>(1+1.2)/2</f>
        <v>1.1000000000000001</v>
      </c>
      <c r="G236" s="4">
        <f>(36+40)/2</f>
        <v>38</v>
      </c>
      <c r="H236" s="4">
        <v>5.8</v>
      </c>
      <c r="I236" s="4"/>
      <c r="J236" s="4">
        <v>15</v>
      </c>
      <c r="K236" s="4"/>
      <c r="L236" s="4"/>
      <c r="M236" s="21">
        <f>1-AVERAGE(N236:R236)</f>
        <v>0.71369960952538092</v>
      </c>
      <c r="N236" s="20">
        <f>ABS($D$2-F236)/F236</f>
        <v>0.47272727272727272</v>
      </c>
      <c r="O236" s="20">
        <f>ABS($E$2-G236)/G236</f>
        <v>0.23684210526315788</v>
      </c>
      <c r="P236" s="20">
        <f>ABS($F$2-H236)/H236</f>
        <v>6.8965517241379379E-2</v>
      </c>
      <c r="Q236" s="20">
        <f>ABS($H$2-J236)/J236</f>
        <v>0.36666666666666664</v>
      </c>
      <c r="R236" s="20"/>
    </row>
    <row r="237" spans="1:18" ht="15.75" customHeight="1" x14ac:dyDescent="0.2">
      <c r="A237">
        <v>486</v>
      </c>
      <c r="B237" s="9" t="s">
        <v>383</v>
      </c>
      <c r="E237" s="6" t="s">
        <v>40</v>
      </c>
      <c r="F237" s="3">
        <v>1.1299999999999999</v>
      </c>
      <c r="G237" s="3">
        <v>26</v>
      </c>
      <c r="H237" s="3">
        <v>5.5</v>
      </c>
      <c r="I237" s="3"/>
      <c r="J237" s="3">
        <v>30</v>
      </c>
      <c r="K237" s="3"/>
      <c r="L237" s="3">
        <v>54.4</v>
      </c>
      <c r="M237" s="21">
        <f>1-AVERAGE(N237:R237)</f>
        <v>0.71321653598007062</v>
      </c>
      <c r="N237" s="20">
        <f>ABS($D$2-F237)/F237</f>
        <v>0.48672566371681403</v>
      </c>
      <c r="O237" s="20">
        <f>ABS($E$2-G237)/G237</f>
        <v>0.11538461538461539</v>
      </c>
      <c r="P237" s="20">
        <f>ABS($F$2-H237)/H237</f>
        <v>0.12727272727272732</v>
      </c>
      <c r="Q237" s="20">
        <f>ABS($H$2-J237)/J237</f>
        <v>0.31666666666666665</v>
      </c>
      <c r="R237" s="20">
        <f>ABS($J$2-L237)/L237</f>
        <v>0.38786764705882354</v>
      </c>
    </row>
    <row r="238" spans="1:18" ht="15.75" customHeight="1" x14ac:dyDescent="0.2">
      <c r="A238">
        <v>689</v>
      </c>
      <c r="B238" s="6" t="s">
        <v>552</v>
      </c>
      <c r="C238" s="1"/>
      <c r="D238" s="2"/>
      <c r="E238" s="6" t="s">
        <v>495</v>
      </c>
      <c r="F238" s="1">
        <v>0.75</v>
      </c>
      <c r="G238" s="4">
        <v>26</v>
      </c>
      <c r="H238" s="4">
        <v>5.8</v>
      </c>
      <c r="I238" s="4"/>
      <c r="J238" s="4">
        <v>45</v>
      </c>
      <c r="K238" s="4"/>
      <c r="L238" s="4">
        <v>51</v>
      </c>
      <c r="M238" s="21">
        <f>1-AVERAGE(N238:R238)</f>
        <v>0.71282931988002984</v>
      </c>
      <c r="N238" s="20">
        <f>ABS($D$2-F238)/F238</f>
        <v>0.22666666666666657</v>
      </c>
      <c r="O238" s="20">
        <f>ABS($E$2-G238)/G238</f>
        <v>0.11538461538461539</v>
      </c>
      <c r="P238" s="20">
        <f>ABS($F$2-H238)/H238</f>
        <v>6.8965517241379379E-2</v>
      </c>
      <c r="Q238" s="20">
        <f>ABS($H$2-J238)/J238</f>
        <v>0.5444444444444444</v>
      </c>
      <c r="R238" s="20">
        <f>ABS($J$2-L238)/L238</f>
        <v>0.48039215686274511</v>
      </c>
    </row>
    <row r="239" spans="1:18" ht="15.75" customHeight="1" x14ac:dyDescent="0.2">
      <c r="A239">
        <v>224</v>
      </c>
      <c r="B239" s="9" t="s">
        <v>190</v>
      </c>
      <c r="C239" s="9" t="s">
        <v>191</v>
      </c>
      <c r="E239" s="6" t="s">
        <v>41</v>
      </c>
      <c r="F239" s="3">
        <f>(0.53+0.89)/2</f>
        <v>0.71</v>
      </c>
      <c r="G239" s="3">
        <f>(17+19)/2</f>
        <v>18</v>
      </c>
      <c r="H239" s="3">
        <f>(4.5+5.8)/2</f>
        <v>5.15</v>
      </c>
      <c r="I239" s="3"/>
      <c r="J239" s="3">
        <f>(20+29)/2</f>
        <v>24.5</v>
      </c>
      <c r="K239" s="3"/>
      <c r="L239" s="3"/>
      <c r="M239" s="21">
        <f>1-AVERAGE(N239:R239)</f>
        <v>0.70966037401787829</v>
      </c>
      <c r="N239" s="20">
        <f>ABS($D$2-F239)/F239</f>
        <v>0.18309859154929564</v>
      </c>
      <c r="O239" s="20">
        <f>ABS($E$2-G239)/G239</f>
        <v>0.61111111111111116</v>
      </c>
      <c r="P239" s="20">
        <f>ABS($F$2-H239)/H239</f>
        <v>0.20388349514563103</v>
      </c>
      <c r="Q239" s="20">
        <f>ABS($H$2-J239)/J239</f>
        <v>0.16326530612244897</v>
      </c>
      <c r="R239" s="20"/>
    </row>
    <row r="240" spans="1:18" ht="15.75" customHeight="1" x14ac:dyDescent="0.2">
      <c r="A240">
        <v>114</v>
      </c>
      <c r="B240" s="1" t="s">
        <v>108</v>
      </c>
      <c r="C240" s="1"/>
      <c r="D240" s="2"/>
      <c r="E240" s="6" t="s">
        <v>41</v>
      </c>
      <c r="F240" s="3">
        <f>(0.7+0.93)/2</f>
        <v>0.81499999999999995</v>
      </c>
      <c r="G240" s="3">
        <f>(31+50)/2</f>
        <v>40.5</v>
      </c>
      <c r="H240" s="3">
        <f>(10+14)/2</f>
        <v>12</v>
      </c>
      <c r="I240" s="3"/>
      <c r="J240" s="3">
        <f>(16+30)/2</f>
        <v>23</v>
      </c>
      <c r="K240" s="3"/>
      <c r="L240" s="3"/>
      <c r="M240" s="21">
        <f>1-AVERAGE(N240:R240)</f>
        <v>0.70891920973164857</v>
      </c>
      <c r="N240" s="20">
        <f>ABS($D$2-F240)/F240</f>
        <v>0.28834355828220848</v>
      </c>
      <c r="O240" s="20">
        <f>ABS($E$2-G240)/G240</f>
        <v>0.2839506172839506</v>
      </c>
      <c r="P240" s="20">
        <f>ABS($F$2-H240)/H240</f>
        <v>0.48333333333333334</v>
      </c>
      <c r="Q240" s="20">
        <f>ABS($H$2-J240)/J240</f>
        <v>0.10869565217391304</v>
      </c>
      <c r="R240" s="20"/>
    </row>
    <row r="241" spans="1:18" ht="15.75" customHeight="1" x14ac:dyDescent="0.2">
      <c r="A241">
        <v>497</v>
      </c>
      <c r="B241" s="9" t="s">
        <v>391</v>
      </c>
      <c r="E241" s="6" t="s">
        <v>40</v>
      </c>
      <c r="F241" s="3">
        <v>1.1000000000000001</v>
      </c>
      <c r="G241" s="3">
        <v>31</v>
      </c>
      <c r="H241" s="3">
        <v>3.7</v>
      </c>
      <c r="I241" s="3"/>
      <c r="J241" s="3">
        <v>20</v>
      </c>
      <c r="K241" s="3"/>
      <c r="L241" s="3">
        <v>62</v>
      </c>
      <c r="M241" s="21">
        <f>1-AVERAGE(N241:R241)</f>
        <v>0.70886779741618455</v>
      </c>
      <c r="N241" s="20">
        <f>ABS($D$2-F241)/F241</f>
        <v>0.47272727272727272</v>
      </c>
      <c r="O241" s="20">
        <f>ABS($E$2-G241)/G241</f>
        <v>6.4516129032258063E-2</v>
      </c>
      <c r="P241" s="20">
        <f>ABS($F$2-H241)/H241</f>
        <v>0.67567567567567566</v>
      </c>
      <c r="Q241" s="20">
        <f>ABS($H$2-J241)/J241</f>
        <v>2.5000000000000001E-2</v>
      </c>
      <c r="R241" s="20">
        <f>ABS($J$2-L241)/L241</f>
        <v>0.21774193548387097</v>
      </c>
    </row>
    <row r="242" spans="1:18" ht="15.75" customHeight="1" x14ac:dyDescent="0.2">
      <c r="A242">
        <v>938</v>
      </c>
      <c r="B242" s="1" t="s">
        <v>743</v>
      </c>
      <c r="C242" s="1"/>
      <c r="D242" s="2"/>
      <c r="E242" s="6" t="s">
        <v>495</v>
      </c>
      <c r="F242" s="1">
        <f>(0.4+0.7)/2</f>
        <v>0.55000000000000004</v>
      </c>
      <c r="G242" s="4">
        <v>16</v>
      </c>
      <c r="H242" s="4">
        <v>6.1</v>
      </c>
      <c r="I242" s="4"/>
      <c r="J242" s="4">
        <v>18</v>
      </c>
      <c r="K242" s="4"/>
      <c r="L242" s="4">
        <v>52</v>
      </c>
      <c r="M242" s="21">
        <f>1-AVERAGE(N242:R242)</f>
        <v>0.70514982740392573</v>
      </c>
      <c r="N242" s="20">
        <f>ABS($D$2-F242)/F242</f>
        <v>5.4545454545454591E-2</v>
      </c>
      <c r="O242" s="20">
        <f>ABS($E$2-G242)/G242</f>
        <v>0.8125</v>
      </c>
      <c r="P242" s="20">
        <f>ABS($F$2-H242)/H242</f>
        <v>1.6393442622950907E-2</v>
      </c>
      <c r="Q242" s="20">
        <f>ABS($H$2-J242)/J242</f>
        <v>0.1388888888888889</v>
      </c>
      <c r="R242" s="20">
        <f>ABS($J$2-L242)/L242</f>
        <v>0.45192307692307693</v>
      </c>
    </row>
    <row r="243" spans="1:18" ht="15.75" customHeight="1" x14ac:dyDescent="0.2">
      <c r="A243">
        <v>308</v>
      </c>
      <c r="B243" s="9" t="s">
        <v>241</v>
      </c>
      <c r="C243" s="9" t="s">
        <v>242</v>
      </c>
      <c r="E243" s="6" t="s">
        <v>41</v>
      </c>
      <c r="F243" s="3">
        <f>(0.91+1)/2</f>
        <v>0.95500000000000007</v>
      </c>
      <c r="G243" s="3">
        <f>(35+41)/2</f>
        <v>38</v>
      </c>
      <c r="H243" s="3">
        <f>(4.8+5.3)/2</f>
        <v>5.05</v>
      </c>
      <c r="I243" s="3"/>
      <c r="J243" s="3">
        <f>(15+16)/2</f>
        <v>15.5</v>
      </c>
      <c r="K243" s="3"/>
      <c r="L243" s="3"/>
      <c r="M243" s="21">
        <f>1-AVERAGE(N243:R243)</f>
        <v>0.70504608005756531</v>
      </c>
      <c r="N243" s="20">
        <f>ABS($D$2-F243)/F243</f>
        <v>0.3926701570680628</v>
      </c>
      <c r="O243" s="20">
        <f>ABS($E$2-G243)/G243</f>
        <v>0.23684210526315788</v>
      </c>
      <c r="P243" s="20">
        <f>ABS($F$2-H243)/H243</f>
        <v>0.22772277227722781</v>
      </c>
      <c r="Q243" s="20">
        <f>ABS($H$2-J243)/J243</f>
        <v>0.32258064516129031</v>
      </c>
      <c r="R243" s="20"/>
    </row>
    <row r="244" spans="1:18" ht="15.75" customHeight="1" x14ac:dyDescent="0.2">
      <c r="A244">
        <v>815</v>
      </c>
      <c r="B244" s="1" t="s">
        <v>651</v>
      </c>
      <c r="C244" s="1" t="s">
        <v>652</v>
      </c>
      <c r="D244" s="2"/>
      <c r="E244" s="6" t="s">
        <v>495</v>
      </c>
      <c r="F244" s="1">
        <v>0.8</v>
      </c>
      <c r="G244" s="4">
        <v>24</v>
      </c>
      <c r="H244" s="4">
        <v>3.9</v>
      </c>
      <c r="I244" s="4"/>
      <c r="J244" s="4">
        <v>24</v>
      </c>
      <c r="K244" s="4"/>
      <c r="L244" s="4">
        <v>60</v>
      </c>
      <c r="M244" s="21">
        <f>1-AVERAGE(N244:R244)</f>
        <v>0.70455128205128204</v>
      </c>
      <c r="N244" s="20">
        <f>ABS($D$2-F244)/F244</f>
        <v>0.27499999999999997</v>
      </c>
      <c r="O244" s="20">
        <f>ABS($E$2-G244)/G244</f>
        <v>0.20833333333333334</v>
      </c>
      <c r="P244" s="20">
        <f>ABS($F$2-H244)/H244</f>
        <v>0.58974358974358987</v>
      </c>
      <c r="Q244" s="20">
        <f>ABS($H$2-J244)/J244</f>
        <v>0.14583333333333334</v>
      </c>
      <c r="R244" s="20">
        <f>ABS($J$2-L244)/L244</f>
        <v>0.25833333333333336</v>
      </c>
    </row>
    <row r="245" spans="1:18" ht="15.75" customHeight="1" x14ac:dyDescent="0.2">
      <c r="A245">
        <v>271</v>
      </c>
      <c r="B245" s="9" t="s">
        <v>220</v>
      </c>
      <c r="E245" s="6" t="s">
        <v>41</v>
      </c>
      <c r="F245" s="3">
        <v>0.7</v>
      </c>
      <c r="G245" s="3">
        <v>32</v>
      </c>
      <c r="H245" s="3">
        <v>4</v>
      </c>
      <c r="I245" s="3"/>
      <c r="J245" s="3">
        <v>15</v>
      </c>
      <c r="K245" s="3"/>
      <c r="L245" s="3"/>
      <c r="M245" s="21">
        <f>1-AVERAGE(N245:R245)</f>
        <v>0.70453869047619055</v>
      </c>
      <c r="N245" s="20">
        <f>ABS($D$2-F245)/F245</f>
        <v>0.17142857142857126</v>
      </c>
      <c r="O245" s="20">
        <f>ABS($E$2-G245)/G245</f>
        <v>9.375E-2</v>
      </c>
      <c r="P245" s="20">
        <f>ABS($F$2-H245)/H245</f>
        <v>0.55000000000000004</v>
      </c>
      <c r="Q245" s="20">
        <f>ABS($H$2-J245)/J245</f>
        <v>0.36666666666666664</v>
      </c>
      <c r="R245" s="20"/>
    </row>
    <row r="246" spans="1:18" ht="15.75" customHeight="1" x14ac:dyDescent="0.2">
      <c r="A246">
        <v>196</v>
      </c>
      <c r="B246" s="1" t="s">
        <v>164</v>
      </c>
      <c r="C246" s="1" t="s">
        <v>165</v>
      </c>
      <c r="D246" s="2"/>
      <c r="E246" s="6" t="s">
        <v>41</v>
      </c>
      <c r="F246" s="3">
        <f>(0.77+0.98)/2</f>
        <v>0.875</v>
      </c>
      <c r="G246" s="3">
        <f>(17+26)/2</f>
        <v>21.5</v>
      </c>
      <c r="H246" s="3">
        <f>(4.2+5.4)/2</f>
        <v>4.8000000000000007</v>
      </c>
      <c r="I246" s="3"/>
      <c r="J246" s="3">
        <f>(23+29)/2</f>
        <v>26</v>
      </c>
      <c r="K246" s="3"/>
      <c r="L246" s="3"/>
      <c r="M246" s="21">
        <f>1-AVERAGE(N246:R246)</f>
        <v>0.70270370133742233</v>
      </c>
      <c r="N246" s="20">
        <f>ABS($D$2-F246)/F246</f>
        <v>0.33714285714285708</v>
      </c>
      <c r="O246" s="20">
        <f>ABS($E$2-G246)/G246</f>
        <v>0.34883720930232559</v>
      </c>
      <c r="P246" s="20">
        <f>ABS($F$2-H246)/H246</f>
        <v>0.29166666666666652</v>
      </c>
      <c r="Q246" s="20">
        <f>ABS($H$2-J246)/J246</f>
        <v>0.21153846153846154</v>
      </c>
      <c r="R246" s="20"/>
    </row>
    <row r="247" spans="1:18" ht="15.75" customHeight="1" x14ac:dyDescent="0.2">
      <c r="A247">
        <v>321</v>
      </c>
      <c r="B247" s="9" t="s">
        <v>255</v>
      </c>
      <c r="E247" s="6" t="s">
        <v>41</v>
      </c>
      <c r="F247" s="3">
        <f>(0.76+1.05)/2</f>
        <v>0.90500000000000003</v>
      </c>
      <c r="G247" s="3">
        <f>(17+26)/2</f>
        <v>21.5</v>
      </c>
      <c r="H247" s="3">
        <f>(7+10)/2</f>
        <v>8.5</v>
      </c>
      <c r="I247" s="3"/>
      <c r="J247" s="3">
        <f>(19+33)/2</f>
        <v>26</v>
      </c>
      <c r="K247" s="3"/>
      <c r="L247" s="3"/>
      <c r="M247" s="21">
        <f>1-AVERAGE(N247:R247)</f>
        <v>0.70248001794141191</v>
      </c>
      <c r="N247" s="20">
        <f>ABS($D$2-F247)/F247</f>
        <v>0.35911602209944743</v>
      </c>
      <c r="O247" s="20">
        <f>ABS($E$2-G247)/G247</f>
        <v>0.34883720930232559</v>
      </c>
      <c r="P247" s="20">
        <f>ABS($F$2-H247)/H247</f>
        <v>0.27058823529411763</v>
      </c>
      <c r="Q247" s="20">
        <f>ABS($H$2-J247)/J247</f>
        <v>0.21153846153846154</v>
      </c>
      <c r="R247" s="20"/>
    </row>
    <row r="248" spans="1:18" ht="15.75" customHeight="1" x14ac:dyDescent="0.2">
      <c r="A248">
        <v>643</v>
      </c>
      <c r="B248" s="6" t="s">
        <v>516</v>
      </c>
      <c r="C248" s="6"/>
      <c r="D248" s="7"/>
      <c r="E248" s="6" t="s">
        <v>495</v>
      </c>
      <c r="F248" s="1">
        <v>0.9</v>
      </c>
      <c r="G248" s="4">
        <v>36</v>
      </c>
      <c r="H248" s="4">
        <v>7.4</v>
      </c>
      <c r="I248" s="4"/>
      <c r="J248" s="4">
        <v>12</v>
      </c>
      <c r="K248" s="4"/>
      <c r="L248" s="4">
        <v>81</v>
      </c>
      <c r="M248" s="21">
        <f>1-AVERAGE(N248:R248)</f>
        <v>0.70232065398732058</v>
      </c>
      <c r="N248" s="20">
        <f>ABS($D$2-F248)/F248</f>
        <v>0.35555555555555551</v>
      </c>
      <c r="O248" s="20">
        <f>ABS($E$2-G248)/G248</f>
        <v>0.19444444444444445</v>
      </c>
      <c r="P248" s="20">
        <f>ABS($F$2-H248)/H248</f>
        <v>0.16216216216216217</v>
      </c>
      <c r="Q248" s="20">
        <f>ABS($H$2-J248)/J248</f>
        <v>0.70833333333333337</v>
      </c>
      <c r="R248" s="20">
        <f>ABS($J$2-L248)/L248</f>
        <v>6.7901234567901231E-2</v>
      </c>
    </row>
    <row r="249" spans="1:18" ht="15.75" customHeight="1" x14ac:dyDescent="0.2">
      <c r="A249">
        <v>95</v>
      </c>
      <c r="B249" s="1" t="s">
        <v>98</v>
      </c>
      <c r="C249" s="1" t="s">
        <v>99</v>
      </c>
      <c r="D249" s="2"/>
      <c r="E249" s="6" t="s">
        <v>41</v>
      </c>
      <c r="F249" s="3">
        <f>(0.81+1.08)/2</f>
        <v>0.94500000000000006</v>
      </c>
      <c r="G249" s="3">
        <f>(30+34)/2</f>
        <v>32</v>
      </c>
      <c r="H249" s="3">
        <f>(8.4+8.5)/2</f>
        <v>8.4499999999999993</v>
      </c>
      <c r="I249" s="3"/>
      <c r="J249" s="3">
        <f>(34+40)/2</f>
        <v>37</v>
      </c>
      <c r="K249" s="3"/>
      <c r="L249" s="3"/>
      <c r="M249" s="21">
        <f>1-AVERAGE(N249:R249)</f>
        <v>0.70194711961538891</v>
      </c>
      <c r="N249" s="20">
        <f>ABS($D$2-F249)/F249</f>
        <v>0.38624338624338622</v>
      </c>
      <c r="O249" s="20">
        <f>ABS($E$2-G249)/G249</f>
        <v>9.375E-2</v>
      </c>
      <c r="P249" s="20">
        <f>ABS($F$2-H249)/H249</f>
        <v>0.26627218934911234</v>
      </c>
      <c r="Q249" s="20">
        <f>ABS($H$2-J249)/J249</f>
        <v>0.44594594594594594</v>
      </c>
      <c r="R249" s="20"/>
    </row>
    <row r="250" spans="1:18" ht="15.75" customHeight="1" x14ac:dyDescent="0.2">
      <c r="A250">
        <v>483</v>
      </c>
      <c r="B250" s="9" t="s">
        <v>381</v>
      </c>
      <c r="E250" s="6" t="s">
        <v>41</v>
      </c>
      <c r="F250" s="3">
        <v>0.8</v>
      </c>
      <c r="G250" s="3">
        <v>35</v>
      </c>
      <c r="H250" s="3">
        <v>5.2</v>
      </c>
      <c r="I250" s="3"/>
      <c r="J250" s="3">
        <v>46</v>
      </c>
      <c r="K250" s="10"/>
      <c r="L250" s="10"/>
      <c r="M250" s="21">
        <f>1-AVERAGE(N250:R250)</f>
        <v>0.70172897754419494</v>
      </c>
      <c r="N250" s="20">
        <f>ABS($D$2-F250)/F250</f>
        <v>0.27499999999999997</v>
      </c>
      <c r="O250" s="20">
        <f>ABS($E$2-G250)/G250</f>
        <v>0.17142857142857143</v>
      </c>
      <c r="P250" s="20">
        <f>ABS($F$2-H250)/H250</f>
        <v>0.19230769230769229</v>
      </c>
      <c r="Q250" s="20">
        <f>ABS($H$2-J250)/J250</f>
        <v>0.55434782608695654</v>
      </c>
      <c r="R250" s="20"/>
    </row>
    <row r="251" spans="1:18" ht="15.75" customHeight="1" x14ac:dyDescent="0.2">
      <c r="A251">
        <v>809</v>
      </c>
      <c r="B251" s="1" t="s">
        <v>326</v>
      </c>
      <c r="C251" s="1"/>
      <c r="D251" s="2"/>
      <c r="E251" s="6" t="s">
        <v>482</v>
      </c>
      <c r="F251" s="1">
        <v>1.7</v>
      </c>
      <c r="G251" s="4">
        <v>28</v>
      </c>
      <c r="H251" s="4">
        <v>4.2</v>
      </c>
      <c r="I251" s="4"/>
      <c r="J251" s="4">
        <v>21</v>
      </c>
      <c r="K251" s="4"/>
      <c r="L251" s="4"/>
      <c r="M251" s="21">
        <f>1-AVERAGE(N251:R251)</f>
        <v>0.70136554621848746</v>
      </c>
      <c r="N251" s="20">
        <f>ABS($D$2-F251)/F251</f>
        <v>0.6588235294117647</v>
      </c>
      <c r="O251" s="20">
        <f>ABS($E$2-G251)/G251</f>
        <v>3.5714285714285712E-2</v>
      </c>
      <c r="P251" s="20">
        <f>ABS($F$2-H251)/H251</f>
        <v>0.47619047619047616</v>
      </c>
      <c r="Q251" s="20">
        <f>ABS($H$2-J251)/J251</f>
        <v>2.3809523809523808E-2</v>
      </c>
      <c r="R251" s="20"/>
    </row>
    <row r="252" spans="1:18" ht="15.75" customHeight="1" x14ac:dyDescent="0.2">
      <c r="A252">
        <v>81</v>
      </c>
      <c r="B252" s="1" t="s">
        <v>91</v>
      </c>
      <c r="C252" s="1"/>
      <c r="D252" s="2"/>
      <c r="E252" s="6" t="s">
        <v>40</v>
      </c>
      <c r="F252" s="3">
        <v>0.76</v>
      </c>
      <c r="G252" s="3">
        <v>27</v>
      </c>
      <c r="H252" s="3">
        <v>5.5</v>
      </c>
      <c r="I252" s="3"/>
      <c r="J252" s="3">
        <v>10.5</v>
      </c>
      <c r="K252" s="3"/>
      <c r="L252" s="3">
        <v>85</v>
      </c>
      <c r="M252" s="21">
        <f>1-AVERAGE(N252:R252)</f>
        <v>0.69953308702534711</v>
      </c>
      <c r="N252" s="20">
        <f>ABS($D$2-F252)/F252</f>
        <v>0.2368421052631578</v>
      </c>
      <c r="O252" s="20">
        <f>ABS($E$2-G252)/G252</f>
        <v>7.407407407407407E-2</v>
      </c>
      <c r="P252" s="20">
        <f>ABS($F$2-H252)/H252</f>
        <v>0.12727272727272732</v>
      </c>
      <c r="Q252" s="20">
        <f>ABS($H$2-J252)/J252</f>
        <v>0.95238095238095233</v>
      </c>
      <c r="R252" s="20">
        <f>ABS($J$2-L252)/L252</f>
        <v>0.11176470588235295</v>
      </c>
    </row>
    <row r="253" spans="1:18" ht="15.75" customHeight="1" x14ac:dyDescent="0.2">
      <c r="A253">
        <v>85</v>
      </c>
      <c r="B253" s="1" t="s">
        <v>93</v>
      </c>
      <c r="C253" s="1"/>
      <c r="D253" s="2"/>
      <c r="E253" s="6" t="s">
        <v>41</v>
      </c>
      <c r="F253" s="3">
        <v>1</v>
      </c>
      <c r="G253" s="3">
        <v>50</v>
      </c>
      <c r="H253" s="3">
        <v>8</v>
      </c>
      <c r="I253" s="3"/>
      <c r="J253" s="3">
        <v>24</v>
      </c>
      <c r="K253" s="3"/>
      <c r="L253" s="3"/>
      <c r="M253" s="21">
        <f>1-AVERAGE(N253:R253)</f>
        <v>0.69729166666666664</v>
      </c>
      <c r="N253" s="20">
        <f>ABS($D$2-F253)/F253</f>
        <v>0.41999999999999993</v>
      </c>
      <c r="O253" s="20">
        <f>ABS($E$2-G253)/G253</f>
        <v>0.42</v>
      </c>
      <c r="P253" s="20">
        <f>ABS($F$2-H253)/H253</f>
        <v>0.22499999999999998</v>
      </c>
      <c r="Q253" s="20">
        <f>ABS($H$2-J253)/J253</f>
        <v>0.14583333333333334</v>
      </c>
      <c r="R253" s="20"/>
    </row>
    <row r="254" spans="1:18" ht="15.75" customHeight="1" x14ac:dyDescent="0.2">
      <c r="A254">
        <v>90</v>
      </c>
      <c r="B254" s="1" t="s">
        <v>96</v>
      </c>
      <c r="C254" s="1"/>
      <c r="D254" s="2"/>
      <c r="E254" s="6" t="s">
        <v>40</v>
      </c>
      <c r="F254" s="3">
        <v>0.65</v>
      </c>
      <c r="G254" s="3">
        <v>30</v>
      </c>
      <c r="H254" s="3">
        <v>6</v>
      </c>
      <c r="I254" s="3"/>
      <c r="J254" s="3">
        <v>9</v>
      </c>
      <c r="K254" s="3"/>
      <c r="L254" s="3">
        <v>71</v>
      </c>
      <c r="M254" s="21">
        <f>1-AVERAGE(N254:R254)</f>
        <v>0.6968965932346215</v>
      </c>
      <c r="N254" s="20">
        <f>ABS($D$2-F254)/F254</f>
        <v>0.10769230769230762</v>
      </c>
      <c r="O254" s="20">
        <f>ABS($E$2-G254)/G254</f>
        <v>3.3333333333333333E-2</v>
      </c>
      <c r="P254" s="20">
        <f>ABS($F$2-H254)/H254</f>
        <v>3.3333333333333361E-2</v>
      </c>
      <c r="Q254" s="20">
        <f>ABS($H$2-J254)/J254</f>
        <v>1.2777777777777777</v>
      </c>
      <c r="R254" s="20">
        <f>ABS($J$2-L254)/L254</f>
        <v>6.3380281690140844E-2</v>
      </c>
    </row>
    <row r="255" spans="1:18" ht="15.75" customHeight="1" x14ac:dyDescent="0.2">
      <c r="A255">
        <v>683</v>
      </c>
      <c r="B255" s="1" t="s">
        <v>549</v>
      </c>
      <c r="C255" s="1"/>
      <c r="D255" s="2"/>
      <c r="E255" s="6" t="s">
        <v>482</v>
      </c>
      <c r="F255" s="1">
        <v>0.8</v>
      </c>
      <c r="G255" s="4">
        <v>37</v>
      </c>
      <c r="H255" s="4">
        <v>6.1</v>
      </c>
      <c r="I255" s="4"/>
      <c r="J255" s="4">
        <v>12</v>
      </c>
      <c r="K255" s="4"/>
      <c r="L255" s="4"/>
      <c r="M255" s="21">
        <f>1-AVERAGE(N255:R255)</f>
        <v>0.69601425195687483</v>
      </c>
      <c r="N255" s="20">
        <f>ABS($D$2-F255)/F255</f>
        <v>0.27499999999999997</v>
      </c>
      <c r="O255" s="20">
        <f>ABS($E$2-G255)/G255</f>
        <v>0.21621621621621623</v>
      </c>
      <c r="P255" s="20">
        <f>ABS($F$2-H255)/H255</f>
        <v>1.6393442622950907E-2</v>
      </c>
      <c r="Q255" s="20">
        <f>ABS($H$2-J255)/J255</f>
        <v>0.70833333333333337</v>
      </c>
      <c r="R255" s="20"/>
    </row>
    <row r="256" spans="1:18" ht="15.75" customHeight="1" x14ac:dyDescent="0.2">
      <c r="A256">
        <v>744</v>
      </c>
      <c r="B256" s="1" t="s">
        <v>593</v>
      </c>
      <c r="C256" s="1"/>
      <c r="D256" s="2"/>
      <c r="E256" s="6" t="s">
        <v>495</v>
      </c>
      <c r="F256" s="1">
        <v>0.3</v>
      </c>
      <c r="G256" s="4">
        <v>21</v>
      </c>
      <c r="H256" s="4">
        <v>6.2</v>
      </c>
      <c r="I256" s="4"/>
      <c r="J256" s="4">
        <v>19</v>
      </c>
      <c r="K256" s="4"/>
      <c r="L256" s="4">
        <v>67</v>
      </c>
      <c r="M256" s="21">
        <f>1-AVERAGE(N256:R256)</f>
        <v>0.69598024913028833</v>
      </c>
      <c r="N256" s="20">
        <f>ABS($D$2-F256)/F256</f>
        <v>0.93333333333333368</v>
      </c>
      <c r="O256" s="20">
        <f>ABS($E$2-G256)/G256</f>
        <v>0.38095238095238093</v>
      </c>
      <c r="P256" s="20">
        <f>ABS($F$2-H256)/H256</f>
        <v>0</v>
      </c>
      <c r="Q256" s="20">
        <f>ABS($H$2-J256)/J256</f>
        <v>7.8947368421052627E-2</v>
      </c>
      <c r="R256" s="20">
        <f>ABS($J$2-L256)/L256</f>
        <v>0.12686567164179105</v>
      </c>
    </row>
    <row r="257" spans="1:18" ht="15.75" customHeight="1" x14ac:dyDescent="0.2">
      <c r="A257">
        <v>733</v>
      </c>
      <c r="B257" s="1" t="s">
        <v>585</v>
      </c>
      <c r="C257" s="1"/>
      <c r="D257" s="2"/>
      <c r="E257" s="6" t="s">
        <v>495</v>
      </c>
      <c r="F257" s="1">
        <v>0.46</v>
      </c>
      <c r="G257" s="4">
        <v>23</v>
      </c>
      <c r="H257" s="4">
        <v>4.5</v>
      </c>
      <c r="I257" s="4"/>
      <c r="J257" s="4">
        <v>13</v>
      </c>
      <c r="K257" s="4"/>
      <c r="L257" s="4">
        <v>80</v>
      </c>
      <c r="M257" s="21">
        <f>1-AVERAGE(N257:R257)</f>
        <v>0.69346200297287253</v>
      </c>
      <c r="N257" s="20">
        <f>ABS($D$2-F257)/F257</f>
        <v>0.26086956521739141</v>
      </c>
      <c r="O257" s="20">
        <f>ABS($E$2-G257)/G257</f>
        <v>0.2608695652173913</v>
      </c>
      <c r="P257" s="20">
        <f>ABS($F$2-H257)/H257</f>
        <v>0.37777777777777782</v>
      </c>
      <c r="Q257" s="20">
        <f>ABS($H$2-J257)/J257</f>
        <v>0.57692307692307687</v>
      </c>
      <c r="R257" s="20">
        <f>ABS($J$2-L257)/L257</f>
        <v>5.6250000000000001E-2</v>
      </c>
    </row>
    <row r="258" spans="1:18" ht="15.75" customHeight="1" x14ac:dyDescent="0.2">
      <c r="A258">
        <v>510</v>
      </c>
      <c r="B258" s="9" t="s">
        <v>400</v>
      </c>
      <c r="E258" s="6" t="s">
        <v>40</v>
      </c>
      <c r="F258" s="3">
        <v>1.4</v>
      </c>
      <c r="G258" s="3">
        <v>29</v>
      </c>
      <c r="H258" s="3">
        <v>4.8</v>
      </c>
      <c r="I258" s="3"/>
      <c r="J258" s="3">
        <v>13</v>
      </c>
      <c r="K258" s="3"/>
      <c r="L258" s="3">
        <v>70</v>
      </c>
      <c r="M258" s="21">
        <f>1-AVERAGE(N258:R258)</f>
        <v>0.69342490842490845</v>
      </c>
      <c r="N258" s="20">
        <f>ABS($D$2-F258)/F258</f>
        <v>0.58571428571428563</v>
      </c>
      <c r="O258" s="20">
        <f>ABS($E$2-G258)/G258</f>
        <v>0</v>
      </c>
      <c r="P258" s="20">
        <f>ABS($F$2-H258)/H258</f>
        <v>0.29166666666666674</v>
      </c>
      <c r="Q258" s="20">
        <f>ABS($H$2-J258)/J258</f>
        <v>0.57692307692307687</v>
      </c>
      <c r="R258" s="20">
        <f>ABS($J$2-L258)/L258</f>
        <v>7.857142857142857E-2</v>
      </c>
    </row>
    <row r="259" spans="1:18" ht="15.75" customHeight="1" x14ac:dyDescent="0.2">
      <c r="A259">
        <v>455</v>
      </c>
      <c r="B259" s="9" t="s">
        <v>357</v>
      </c>
      <c r="E259" s="6" t="s">
        <v>40</v>
      </c>
      <c r="F259" s="3">
        <v>0.55000000000000004</v>
      </c>
      <c r="G259" s="3">
        <v>19</v>
      </c>
      <c r="H259" s="3">
        <v>14</v>
      </c>
      <c r="I259" s="3"/>
      <c r="J259" s="3">
        <v>18</v>
      </c>
      <c r="K259" s="3"/>
      <c r="L259" s="3">
        <v>60</v>
      </c>
      <c r="M259" s="21">
        <f>1-AVERAGE(N259:R259)</f>
        <v>0.69295473532315643</v>
      </c>
      <c r="N259" s="20">
        <f>ABS($D$2-F259)/F259</f>
        <v>5.4545454545454591E-2</v>
      </c>
      <c r="O259" s="20">
        <f>ABS($E$2-G259)/G259</f>
        <v>0.52631578947368418</v>
      </c>
      <c r="P259" s="20">
        <f>ABS($F$2-H259)/H259</f>
        <v>0.55714285714285716</v>
      </c>
      <c r="Q259" s="20">
        <f>ABS($H$2-J259)/J259</f>
        <v>0.1388888888888889</v>
      </c>
      <c r="R259" s="20">
        <f>ABS($J$2-L259)/L259</f>
        <v>0.25833333333333336</v>
      </c>
    </row>
    <row r="260" spans="1:18" ht="15.75" customHeight="1" x14ac:dyDescent="0.2">
      <c r="A260">
        <v>717</v>
      </c>
      <c r="B260" s="1" t="s">
        <v>571</v>
      </c>
      <c r="C260" s="1"/>
      <c r="D260" s="2"/>
      <c r="E260" s="6" t="s">
        <v>482</v>
      </c>
      <c r="F260" s="1">
        <v>1.1000000000000001</v>
      </c>
      <c r="G260" s="4">
        <v>45</v>
      </c>
      <c r="H260" s="4">
        <v>5.5</v>
      </c>
      <c r="I260" s="4"/>
      <c r="J260" s="4">
        <v>16</v>
      </c>
      <c r="K260" s="4"/>
      <c r="L260" s="4"/>
      <c r="M260" s="21">
        <f>1-AVERAGE(N260:R260)</f>
        <v>0.69079861111111107</v>
      </c>
      <c r="N260" s="20">
        <f>ABS($D$2-F260)/F260</f>
        <v>0.47272727272727272</v>
      </c>
      <c r="O260" s="20">
        <f>ABS($E$2-G260)/G260</f>
        <v>0.35555555555555557</v>
      </c>
      <c r="P260" s="20">
        <f>ABS($F$2-H260)/H260</f>
        <v>0.12727272727272732</v>
      </c>
      <c r="Q260" s="20">
        <f>ABS($H$2-J260)/J260</f>
        <v>0.28125</v>
      </c>
      <c r="R260" s="20"/>
    </row>
    <row r="261" spans="1:18" ht="15.75" customHeight="1" x14ac:dyDescent="0.2">
      <c r="A261">
        <v>225</v>
      </c>
      <c r="B261" s="9" t="s">
        <v>192</v>
      </c>
      <c r="E261" s="6" t="s">
        <v>40</v>
      </c>
      <c r="F261" s="3">
        <f>(0.58+0.63)/2</f>
        <v>0.60499999999999998</v>
      </c>
      <c r="G261" s="3">
        <f>(20+24)/2</f>
        <v>22</v>
      </c>
      <c r="H261" s="3">
        <f>(4.5+4.8)/2</f>
        <v>4.6500000000000004</v>
      </c>
      <c r="I261" s="3"/>
      <c r="J261" s="3">
        <f>(10+13)/2</f>
        <v>11.5</v>
      </c>
      <c r="K261" s="3"/>
      <c r="L261" s="3">
        <f>(81+83)/2</f>
        <v>82</v>
      </c>
      <c r="M261" s="21">
        <f>1-AVERAGE(N261:R261)</f>
        <v>0.68905710922003216</v>
      </c>
      <c r="N261" s="20">
        <f>ABS($D$2-F261)/F261</f>
        <v>4.1322314049586632E-2</v>
      </c>
      <c r="O261" s="20">
        <f>ABS($E$2-G261)/G261</f>
        <v>0.31818181818181818</v>
      </c>
      <c r="P261" s="20">
        <f>ABS($F$2-H261)/H261</f>
        <v>0.33333333333333326</v>
      </c>
      <c r="Q261" s="20">
        <f>ABS($H$2-J261)/J261</f>
        <v>0.78260869565217395</v>
      </c>
      <c r="R261" s="20">
        <f>ABS($J$2-L261)/L261</f>
        <v>7.926829268292683E-2</v>
      </c>
    </row>
    <row r="262" spans="1:18" ht="15.75" customHeight="1" x14ac:dyDescent="0.2">
      <c r="A262">
        <v>478</v>
      </c>
      <c r="B262" s="9" t="s">
        <v>378</v>
      </c>
      <c r="E262" s="6" t="s">
        <v>41</v>
      </c>
      <c r="F262" s="3">
        <v>1.2</v>
      </c>
      <c r="G262" s="3">
        <v>30</v>
      </c>
      <c r="H262" s="3">
        <v>5.6</v>
      </c>
      <c r="I262" s="3"/>
      <c r="J262" s="3">
        <v>50</v>
      </c>
      <c r="K262" s="10"/>
      <c r="L262" s="10"/>
      <c r="M262" s="21">
        <f>1-AVERAGE(N262:R262)</f>
        <v>0.68821428571428567</v>
      </c>
      <c r="N262" s="20">
        <f>ABS($D$2-F262)/F262</f>
        <v>0.51666666666666661</v>
      </c>
      <c r="O262" s="20">
        <f>ABS($E$2-G262)/G262</f>
        <v>3.3333333333333333E-2</v>
      </c>
      <c r="P262" s="20">
        <f>ABS($F$2-H262)/H262</f>
        <v>0.10714285714285725</v>
      </c>
      <c r="Q262" s="20">
        <f>ABS($H$2-J262)/J262</f>
        <v>0.59</v>
      </c>
      <c r="R262" s="20"/>
    </row>
    <row r="263" spans="1:18" ht="15.75" customHeight="1" x14ac:dyDescent="0.2">
      <c r="A263">
        <v>350</v>
      </c>
      <c r="B263" s="9" t="s">
        <v>277</v>
      </c>
      <c r="C263" s="9" t="s">
        <v>278</v>
      </c>
      <c r="E263" s="6" t="s">
        <v>40</v>
      </c>
      <c r="F263" s="3">
        <v>0.68</v>
      </c>
      <c r="G263" s="3">
        <v>30</v>
      </c>
      <c r="H263" s="3">
        <v>5.6</v>
      </c>
      <c r="I263" s="3"/>
      <c r="J263" s="3">
        <v>9.6999999999999993</v>
      </c>
      <c r="K263" s="3"/>
      <c r="L263" s="3">
        <v>65</v>
      </c>
      <c r="M263" s="21">
        <f>1-AVERAGE(N263:R263)</f>
        <v>0.68750489252005309</v>
      </c>
      <c r="N263" s="20">
        <f>ABS($D$2-F263)/F263</f>
        <v>0.14705882352941171</v>
      </c>
      <c r="O263" s="20">
        <f>ABS($E$2-G263)/G263</f>
        <v>3.3333333333333333E-2</v>
      </c>
      <c r="P263" s="20">
        <f>ABS($F$2-H263)/H263</f>
        <v>0.10714285714285725</v>
      </c>
      <c r="Q263" s="20">
        <f>ABS($H$2-J263)/J263</f>
        <v>1.1134020618556704</v>
      </c>
      <c r="R263" s="20">
        <f>ABS($J$2-L263)/L263</f>
        <v>0.16153846153846155</v>
      </c>
    </row>
    <row r="264" spans="1:18" ht="15.75" customHeight="1" x14ac:dyDescent="0.2">
      <c r="A264">
        <v>919</v>
      </c>
      <c r="B264" s="1" t="s">
        <v>728</v>
      </c>
      <c r="C264" s="1" t="s">
        <v>729</v>
      </c>
      <c r="D264" s="2"/>
      <c r="E264" s="6" t="s">
        <v>495</v>
      </c>
      <c r="F264" s="1">
        <v>1.2</v>
      </c>
      <c r="G264" s="4">
        <v>30</v>
      </c>
      <c r="H264" s="4">
        <v>5.4</v>
      </c>
      <c r="I264" s="4"/>
      <c r="J264" s="4">
        <v>47</v>
      </c>
      <c r="K264" s="4"/>
      <c r="L264" s="4">
        <v>58</v>
      </c>
      <c r="M264" s="21">
        <f>1-AVERAGE(N264:R264)</f>
        <v>0.68725958533735498</v>
      </c>
      <c r="N264" s="20">
        <f>ABS($D$2-F264)/F264</f>
        <v>0.51666666666666661</v>
      </c>
      <c r="O264" s="20">
        <f>ABS($E$2-G264)/G264</f>
        <v>3.3333333333333333E-2</v>
      </c>
      <c r="P264" s="20">
        <f>ABS($F$2-H264)/H264</f>
        <v>0.14814814814814811</v>
      </c>
      <c r="Q264" s="20">
        <f>ABS($H$2-J264)/J264</f>
        <v>0.56382978723404253</v>
      </c>
      <c r="R264" s="20">
        <f>ABS($J$2-L264)/L264</f>
        <v>0.30172413793103448</v>
      </c>
    </row>
    <row r="265" spans="1:18" ht="15.75" customHeight="1" x14ac:dyDescent="0.2">
      <c r="A265">
        <v>940</v>
      </c>
      <c r="B265" s="1" t="s">
        <v>744</v>
      </c>
      <c r="C265" s="1"/>
      <c r="D265" s="2"/>
      <c r="E265" s="6" t="s">
        <v>482</v>
      </c>
      <c r="F265" s="1">
        <v>1</v>
      </c>
      <c r="G265" s="4">
        <v>28</v>
      </c>
      <c r="H265" s="4">
        <v>6.6</v>
      </c>
      <c r="I265" s="4"/>
      <c r="J265" s="4">
        <v>80</v>
      </c>
      <c r="K265" s="4"/>
      <c r="L265" s="4"/>
      <c r="M265" s="21">
        <f>1-AVERAGE(N265:R265)</f>
        <v>0.68498241341991339</v>
      </c>
      <c r="N265" s="20">
        <f>ABS($D$2-F265)/F265</f>
        <v>0.41999999999999993</v>
      </c>
      <c r="O265" s="20">
        <f>ABS($E$2-G265)/G265</f>
        <v>3.5714285714285712E-2</v>
      </c>
      <c r="P265" s="20">
        <f>ABS($F$2-H265)/H265</f>
        <v>6.0606060606060531E-2</v>
      </c>
      <c r="Q265" s="20">
        <f>ABS($H$2-J265)/J265</f>
        <v>0.74375000000000002</v>
      </c>
      <c r="R265" s="20"/>
    </row>
    <row r="266" spans="1:18" ht="15.75" customHeight="1" x14ac:dyDescent="0.2">
      <c r="A266">
        <v>391</v>
      </c>
      <c r="B266" s="9" t="s">
        <v>309</v>
      </c>
      <c r="C266" s="9" t="s">
        <v>310</v>
      </c>
      <c r="E266" s="6" t="s">
        <v>40</v>
      </c>
      <c r="F266" s="3">
        <v>3.5</v>
      </c>
      <c r="G266" s="3">
        <f>(35+40)/2</f>
        <v>37.5</v>
      </c>
      <c r="H266" s="3">
        <f>(6.5+7)/2</f>
        <v>6.75</v>
      </c>
      <c r="I266" s="3"/>
      <c r="J266" s="3">
        <f>(20+24)/2</f>
        <v>22</v>
      </c>
      <c r="K266" s="3"/>
      <c r="L266" s="3">
        <f>(50+60)/2</f>
        <v>55</v>
      </c>
      <c r="M266" s="21">
        <f>1-AVERAGE(N266:R266)</f>
        <v>0.68333140933140935</v>
      </c>
      <c r="N266" s="20">
        <f>ABS($D$2-F266)/F266</f>
        <v>0.8342857142857143</v>
      </c>
      <c r="O266" s="20">
        <f>ABS($E$2-G266)/G266</f>
        <v>0.22666666666666666</v>
      </c>
      <c r="P266" s="20">
        <f>ABS($F$2-H266)/H266</f>
        <v>8.148148148148146E-2</v>
      </c>
      <c r="Q266" s="20">
        <f>ABS($H$2-J266)/J266</f>
        <v>6.8181818181818177E-2</v>
      </c>
      <c r="R266" s="20">
        <f>ABS($J$2-L266)/L266</f>
        <v>0.37272727272727274</v>
      </c>
    </row>
    <row r="267" spans="1:18" ht="15.75" customHeight="1" x14ac:dyDescent="0.2">
      <c r="A267">
        <v>867</v>
      </c>
      <c r="B267" s="1" t="s">
        <v>694</v>
      </c>
      <c r="C267" s="1"/>
      <c r="D267" s="2"/>
      <c r="E267" s="6" t="s">
        <v>495</v>
      </c>
      <c r="F267" s="1">
        <v>1.5</v>
      </c>
      <c r="G267" s="4">
        <v>28</v>
      </c>
      <c r="H267" s="4">
        <v>4.7</v>
      </c>
      <c r="I267" s="4"/>
      <c r="J267" s="4">
        <v>28</v>
      </c>
      <c r="K267" s="4"/>
      <c r="L267" s="4">
        <v>56</v>
      </c>
      <c r="M267" s="21">
        <f>1-AVERAGE(N267:R267)</f>
        <v>0.68314640324214793</v>
      </c>
      <c r="N267" s="20">
        <f>ABS($D$2-F267)/F267</f>
        <v>0.61333333333333329</v>
      </c>
      <c r="O267" s="20">
        <f>ABS($E$2-G267)/G267</f>
        <v>3.5714285714285712E-2</v>
      </c>
      <c r="P267" s="20">
        <f>ABS($F$2-H267)/H267</f>
        <v>0.31914893617021273</v>
      </c>
      <c r="Q267" s="20">
        <f>ABS($H$2-J267)/J267</f>
        <v>0.26785714285714285</v>
      </c>
      <c r="R267" s="20">
        <f>ABS($J$2-L267)/L267</f>
        <v>0.3482142857142857</v>
      </c>
    </row>
    <row r="268" spans="1:18" ht="15.75" customHeight="1" x14ac:dyDescent="0.2">
      <c r="A268">
        <v>821</v>
      </c>
      <c r="B268" s="1" t="s">
        <v>658</v>
      </c>
      <c r="C268" s="1"/>
      <c r="D268" s="2"/>
      <c r="E268" s="6" t="s">
        <v>495</v>
      </c>
      <c r="F268" s="1">
        <v>0.7</v>
      </c>
      <c r="G268" s="4">
        <v>27</v>
      </c>
      <c r="H268" s="4">
        <v>3.6</v>
      </c>
      <c r="I268" s="4"/>
      <c r="J268" s="4">
        <v>17</v>
      </c>
      <c r="K268" s="4"/>
      <c r="L268" s="4">
        <v>53</v>
      </c>
      <c r="M268" s="21">
        <f>1-AVERAGE(N268:R268)</f>
        <v>0.68037289548943269</v>
      </c>
      <c r="N268" s="20">
        <f>ABS($D$2-F268)/F268</f>
        <v>0.17142857142857126</v>
      </c>
      <c r="O268" s="20">
        <f>ABS($E$2-G268)/G268</f>
        <v>7.407407407407407E-2</v>
      </c>
      <c r="P268" s="20">
        <f>ABS($F$2-H268)/H268</f>
        <v>0.72222222222222221</v>
      </c>
      <c r="Q268" s="20">
        <f>ABS($H$2-J268)/J268</f>
        <v>0.20588235294117646</v>
      </c>
      <c r="R268" s="20">
        <f>ABS($J$2-L268)/L268</f>
        <v>0.42452830188679247</v>
      </c>
    </row>
    <row r="269" spans="1:18" ht="15.75" customHeight="1" x14ac:dyDescent="0.2">
      <c r="A269">
        <v>639</v>
      </c>
      <c r="B269" s="6" t="s">
        <v>514</v>
      </c>
      <c r="C269" s="6"/>
      <c r="D269" s="7"/>
      <c r="E269" s="6" t="s">
        <v>495</v>
      </c>
      <c r="F269" s="1">
        <v>1</v>
      </c>
      <c r="G269" s="4">
        <v>28</v>
      </c>
      <c r="H269" s="4">
        <v>5.7</v>
      </c>
      <c r="I269" s="4"/>
      <c r="J269" s="4">
        <v>10</v>
      </c>
      <c r="K269" s="4"/>
      <c r="L269" s="4">
        <v>75</v>
      </c>
      <c r="M269" s="21">
        <f>1-AVERAGE(N269:R269)</f>
        <v>0.6799799498746868</v>
      </c>
      <c r="N269" s="20">
        <f>ABS($D$2-F269)/F269</f>
        <v>0.41999999999999993</v>
      </c>
      <c r="O269" s="20">
        <f>ABS($E$2-G269)/G269</f>
        <v>3.5714285714285712E-2</v>
      </c>
      <c r="P269" s="20">
        <f>ABS($F$2-H269)/H269</f>
        <v>8.771929824561403E-2</v>
      </c>
      <c r="Q269" s="20">
        <f>ABS($H$2-J269)/J269</f>
        <v>1.05</v>
      </c>
      <c r="R269" s="20">
        <f>ABS($J$2-L269)/L269</f>
        <v>6.6666666666666671E-3</v>
      </c>
    </row>
    <row r="270" spans="1:18" ht="15.75" customHeight="1" x14ac:dyDescent="0.2">
      <c r="A270">
        <v>48</v>
      </c>
      <c r="B270" s="1" t="s">
        <v>68</v>
      </c>
      <c r="C270" s="1"/>
      <c r="D270" s="2"/>
      <c r="E270" s="6" t="s">
        <v>40</v>
      </c>
      <c r="F270" s="3">
        <f>(0.67+0.91)/2</f>
        <v>0.79</v>
      </c>
      <c r="G270" s="3">
        <f>(36+46)/2</f>
        <v>41</v>
      </c>
      <c r="H270" s="3">
        <f>(4.4+7.1)/2</f>
        <v>5.75</v>
      </c>
      <c r="I270" s="3"/>
      <c r="J270" s="3">
        <f>(11+13)/2</f>
        <v>12</v>
      </c>
      <c r="K270" s="3"/>
      <c r="L270" s="3">
        <f>(60+60)/2</f>
        <v>60</v>
      </c>
      <c r="M270" s="21">
        <f>1-AVERAGE(N270:R270)</f>
        <v>0.67931335042574426</v>
      </c>
      <c r="N270" s="20">
        <f>ABS($D$2-F270)/F270</f>
        <v>0.2658227848101265</v>
      </c>
      <c r="O270" s="20">
        <f>ABS($E$2-G270)/G270</f>
        <v>0.29268292682926828</v>
      </c>
      <c r="P270" s="20">
        <f>ABS($F$2-H270)/H270</f>
        <v>7.8260869565217425E-2</v>
      </c>
      <c r="Q270" s="20">
        <f>ABS($H$2-J270)/J270</f>
        <v>0.70833333333333337</v>
      </c>
      <c r="R270" s="20">
        <f>ABS($J$2-L270)/L270</f>
        <v>0.25833333333333336</v>
      </c>
    </row>
    <row r="271" spans="1:18" ht="15.75" customHeight="1" x14ac:dyDescent="0.2">
      <c r="A271">
        <v>937</v>
      </c>
      <c r="B271" s="1" t="s">
        <v>742</v>
      </c>
      <c r="C271" s="1"/>
      <c r="D271" s="2"/>
      <c r="E271" s="6" t="s">
        <v>495</v>
      </c>
      <c r="F271" s="1">
        <v>1.4</v>
      </c>
      <c r="G271" s="4">
        <v>30</v>
      </c>
      <c r="H271" s="4">
        <v>8.5</v>
      </c>
      <c r="I271" s="4"/>
      <c r="J271" s="4">
        <v>30</v>
      </c>
      <c r="K271" s="4"/>
      <c r="L271" s="4">
        <v>54</v>
      </c>
      <c r="M271" s="21">
        <f>1-AVERAGE(N271:R271)</f>
        <v>0.67910986616868974</v>
      </c>
      <c r="N271" s="20">
        <f>ABS($D$2-F271)/F271</f>
        <v>0.58571428571428563</v>
      </c>
      <c r="O271" s="20">
        <f>ABS($E$2-G271)/G271</f>
        <v>3.3333333333333333E-2</v>
      </c>
      <c r="P271" s="20">
        <f>ABS($F$2-H271)/H271</f>
        <v>0.27058823529411763</v>
      </c>
      <c r="Q271" s="20">
        <f>ABS($H$2-J271)/J271</f>
        <v>0.31666666666666665</v>
      </c>
      <c r="R271" s="20">
        <f>ABS($J$2-L271)/L271</f>
        <v>0.39814814814814814</v>
      </c>
    </row>
    <row r="272" spans="1:18" ht="15.75" customHeight="1" x14ac:dyDescent="0.2">
      <c r="A272">
        <v>123</v>
      </c>
      <c r="B272" s="1" t="s">
        <v>114</v>
      </c>
      <c r="C272" s="1"/>
      <c r="D272" s="2"/>
      <c r="E272" s="6" t="s">
        <v>41</v>
      </c>
      <c r="F272" s="3">
        <v>0.85</v>
      </c>
      <c r="G272" s="3">
        <v>43</v>
      </c>
      <c r="H272" s="3">
        <v>11</v>
      </c>
      <c r="I272" s="3"/>
      <c r="J272" s="3">
        <v>17</v>
      </c>
      <c r="K272" s="3"/>
      <c r="L272" s="3"/>
      <c r="M272" s="21">
        <f>1-AVERAGE(N272:R272)</f>
        <v>0.6786313891307052</v>
      </c>
      <c r="N272" s="20">
        <f>ABS($D$2-F272)/F272</f>
        <v>0.31764705882352934</v>
      </c>
      <c r="O272" s="20">
        <f>ABS($E$2-G272)/G272</f>
        <v>0.32558139534883723</v>
      </c>
      <c r="P272" s="20">
        <f>ABS($F$2-H272)/H272</f>
        <v>0.43636363636363634</v>
      </c>
      <c r="Q272" s="20">
        <f>ABS($H$2-J272)/J272</f>
        <v>0.20588235294117646</v>
      </c>
      <c r="R272" s="20"/>
    </row>
    <row r="273" spans="1:18" ht="15.75" customHeight="1" x14ac:dyDescent="0.2">
      <c r="A273">
        <v>14</v>
      </c>
      <c r="B273" s="6" t="s">
        <v>48</v>
      </c>
      <c r="C273" s="6"/>
      <c r="D273" s="7"/>
      <c r="E273" s="6" t="s">
        <v>41</v>
      </c>
      <c r="F273" s="3">
        <f>(1.04+1.69)/2</f>
        <v>1.365</v>
      </c>
      <c r="G273" s="3">
        <f>(40+58)/2</f>
        <v>49</v>
      </c>
      <c r="H273" s="3">
        <f>(6.2+8.5)/2</f>
        <v>7.35</v>
      </c>
      <c r="I273" s="3"/>
      <c r="J273" s="3">
        <f>(20+28)/2</f>
        <v>24</v>
      </c>
      <c r="K273" s="3"/>
      <c r="L273" s="3"/>
      <c r="M273" s="21">
        <f>1-AVERAGE(N273:R273)</f>
        <v>0.67861231030873892</v>
      </c>
      <c r="N273" s="20">
        <f>ABS($D$2-F273)/F273</f>
        <v>0.57509157509157505</v>
      </c>
      <c r="O273" s="20">
        <f>ABS($E$2-G273)/G273</f>
        <v>0.40816326530612246</v>
      </c>
      <c r="P273" s="20">
        <f>ABS($F$2-H273)/H273</f>
        <v>0.15646258503401353</v>
      </c>
      <c r="Q273" s="20">
        <f>ABS($H$2-J273)/J273</f>
        <v>0.14583333333333334</v>
      </c>
      <c r="R273" s="20"/>
    </row>
    <row r="274" spans="1:18" ht="15.75" customHeight="1" x14ac:dyDescent="0.2">
      <c r="A274">
        <v>686</v>
      </c>
      <c r="B274" s="6" t="s">
        <v>550</v>
      </c>
      <c r="C274" s="1"/>
      <c r="D274" s="2"/>
      <c r="E274" s="6" t="s">
        <v>495</v>
      </c>
      <c r="F274" s="1">
        <v>0.85</v>
      </c>
      <c r="G274" s="4">
        <v>27</v>
      </c>
      <c r="H274" s="4">
        <v>7.6</v>
      </c>
      <c r="J274" s="4">
        <v>60</v>
      </c>
      <c r="K274" s="4"/>
      <c r="L274" s="4">
        <v>55</v>
      </c>
      <c r="M274" s="21">
        <f>1-AVERAGE(N274:R274)</f>
        <v>0.67860154694520025</v>
      </c>
      <c r="N274" s="20">
        <f>ABS($D$2-F274)/F274</f>
        <v>0.31764705882352934</v>
      </c>
      <c r="O274" s="20">
        <f>ABS($E$2-G274)/G274</f>
        <v>7.407407407407407E-2</v>
      </c>
      <c r="P274" s="20">
        <f>ABS($F$2-H274)/H274</f>
        <v>0.18421052631578941</v>
      </c>
      <c r="Q274" s="20">
        <f>ABS($H$2-J274)/J274</f>
        <v>0.65833333333333333</v>
      </c>
      <c r="R274" s="20">
        <f>ABS($J$2-L274)/L274</f>
        <v>0.37272727272727274</v>
      </c>
    </row>
    <row r="275" spans="1:18" ht="15.75" customHeight="1" x14ac:dyDescent="0.2">
      <c r="A275">
        <v>928</v>
      </c>
      <c r="B275" s="1" t="s">
        <v>735</v>
      </c>
      <c r="C275" s="1"/>
      <c r="D275" s="2"/>
      <c r="E275" s="6" t="s">
        <v>482</v>
      </c>
      <c r="F275" s="1">
        <v>1.1000000000000001</v>
      </c>
      <c r="G275" s="4">
        <v>24</v>
      </c>
      <c r="H275" s="4">
        <v>6</v>
      </c>
      <c r="I275" s="4"/>
      <c r="J275" s="4">
        <v>48</v>
      </c>
      <c r="K275" s="4"/>
      <c r="L275" s="4"/>
      <c r="M275" s="21">
        <f>1-AVERAGE(N275:R275)</f>
        <v>0.67817234848484853</v>
      </c>
      <c r="N275" s="20">
        <f>ABS($D$2-F275)/F275</f>
        <v>0.47272727272727272</v>
      </c>
      <c r="O275" s="20">
        <f>ABS($E$2-G275)/G275</f>
        <v>0.20833333333333334</v>
      </c>
      <c r="P275" s="20">
        <f>ABS($F$2-H275)/H275</f>
        <v>3.3333333333333361E-2</v>
      </c>
      <c r="Q275" s="20">
        <f>ABS($H$2-J275)/J275</f>
        <v>0.57291666666666663</v>
      </c>
      <c r="R275" s="20"/>
    </row>
    <row r="276" spans="1:18" ht="15.75" customHeight="1" x14ac:dyDescent="0.2">
      <c r="A276">
        <v>381</v>
      </c>
      <c r="B276" s="9" t="s">
        <v>300</v>
      </c>
      <c r="E276" s="6" t="s">
        <v>40</v>
      </c>
      <c r="F276" s="3">
        <v>2</v>
      </c>
      <c r="G276" s="3">
        <v>25</v>
      </c>
      <c r="H276" s="3">
        <v>7</v>
      </c>
      <c r="I276" s="3"/>
      <c r="J276" s="3">
        <f>(35+40)/2</f>
        <v>37.5</v>
      </c>
      <c r="K276" s="3"/>
      <c r="L276" s="3">
        <v>64</v>
      </c>
      <c r="M276" s="21">
        <f>1-AVERAGE(N276:R276)</f>
        <v>0.67653869047619053</v>
      </c>
      <c r="N276" s="20">
        <f>ABS($D$2-F276)/F276</f>
        <v>0.71</v>
      </c>
      <c r="O276" s="20">
        <f>ABS($E$2-G276)/G276</f>
        <v>0.16</v>
      </c>
      <c r="P276" s="20">
        <f>ABS($F$2-H276)/H276</f>
        <v>0.11428571428571425</v>
      </c>
      <c r="Q276" s="20">
        <f>ABS($H$2-J276)/J276</f>
        <v>0.45333333333333331</v>
      </c>
      <c r="R276" s="20">
        <f>ABS($J$2-L276)/L276</f>
        <v>0.1796875</v>
      </c>
    </row>
    <row r="277" spans="1:18" ht="15.75" customHeight="1" x14ac:dyDescent="0.2">
      <c r="A277">
        <v>479</v>
      </c>
      <c r="B277" s="9" t="s">
        <v>379</v>
      </c>
      <c r="E277" s="6" t="s">
        <v>40</v>
      </c>
      <c r="F277" s="3">
        <f>(1.2+1.3)/2</f>
        <v>1.25</v>
      </c>
      <c r="G277" s="3">
        <f>(27+33)/2</f>
        <v>30</v>
      </c>
      <c r="H277" s="3">
        <f>(5.8+6.3)/2</f>
        <v>6.05</v>
      </c>
      <c r="I277" s="3"/>
      <c r="J277" s="3">
        <v>72</v>
      </c>
      <c r="K277" s="3"/>
      <c r="L277" s="3">
        <f>(57+58)/2</f>
        <v>57.5</v>
      </c>
      <c r="M277" s="21">
        <f>1-AVERAGE(N277:R277)</f>
        <v>0.67551040443965349</v>
      </c>
      <c r="N277" s="20">
        <f>ABS($D$2-F277)/F277</f>
        <v>0.53599999999999992</v>
      </c>
      <c r="O277" s="20">
        <f>ABS($E$2-G277)/G277</f>
        <v>3.3333333333333333E-2</v>
      </c>
      <c r="P277" s="20">
        <f>ABS($F$2-H277)/H277</f>
        <v>2.4793388429752126E-2</v>
      </c>
      <c r="Q277" s="20">
        <f>ABS($H$2-J277)/J277</f>
        <v>0.71527777777777779</v>
      </c>
      <c r="R277" s="20">
        <f>ABS($J$2-L277)/L277</f>
        <v>0.31304347826086959</v>
      </c>
    </row>
    <row r="278" spans="1:18" ht="15.75" customHeight="1" x14ac:dyDescent="0.2">
      <c r="A278">
        <v>731</v>
      </c>
      <c r="B278" s="1" t="s">
        <v>583</v>
      </c>
      <c r="C278" s="1"/>
      <c r="D278" s="2"/>
      <c r="E278" s="6" t="s">
        <v>495</v>
      </c>
      <c r="F278" s="1">
        <v>0.56000000000000005</v>
      </c>
      <c r="G278" s="4">
        <v>25</v>
      </c>
      <c r="H278" s="4">
        <v>4.4000000000000004</v>
      </c>
      <c r="I278" s="4"/>
      <c r="J278" s="4">
        <v>110</v>
      </c>
      <c r="K278" s="4"/>
      <c r="L278" s="4">
        <v>95</v>
      </c>
      <c r="M278" s="21">
        <f>1-AVERAGE(N278:R278)</f>
        <v>0.675259056732741</v>
      </c>
      <c r="N278" s="20">
        <f>ABS($D$2-F278)/F278</f>
        <v>3.571428571428574E-2</v>
      </c>
      <c r="O278" s="20">
        <f>ABS($E$2-G278)/G278</f>
        <v>0.16</v>
      </c>
      <c r="P278" s="20">
        <f>ABS($F$2-H278)/H278</f>
        <v>0.40909090909090901</v>
      </c>
      <c r="Q278" s="20">
        <f>ABS($H$2-J278)/J278</f>
        <v>0.8136363636363636</v>
      </c>
      <c r="R278" s="20">
        <f>ABS($J$2-L278)/L278</f>
        <v>0.20526315789473684</v>
      </c>
    </row>
    <row r="279" spans="1:18" ht="15.75" customHeight="1" x14ac:dyDescent="0.2">
      <c r="A279">
        <v>812</v>
      </c>
      <c r="B279" s="1" t="s">
        <v>646</v>
      </c>
      <c r="C279" s="1"/>
      <c r="D279" s="2"/>
      <c r="E279" s="6" t="s">
        <v>495</v>
      </c>
      <c r="F279" s="1">
        <v>0.76</v>
      </c>
      <c r="G279" s="4">
        <v>24</v>
      </c>
      <c r="H279" s="4">
        <v>3.2</v>
      </c>
      <c r="I279" s="4"/>
      <c r="J279" s="4">
        <v>21</v>
      </c>
      <c r="K279" s="4"/>
      <c r="L279" s="4">
        <v>62</v>
      </c>
      <c r="M279" s="21">
        <f>1-AVERAGE(N279:R279)</f>
        <v>0.6751546204220229</v>
      </c>
      <c r="N279" s="20">
        <f>ABS($D$2-F279)/F279</f>
        <v>0.2368421052631578</v>
      </c>
      <c r="O279" s="20">
        <f>ABS($E$2-G279)/G279</f>
        <v>0.20833333333333334</v>
      </c>
      <c r="P279" s="20">
        <f>ABS($F$2-H279)/H279</f>
        <v>0.9375</v>
      </c>
      <c r="Q279" s="20">
        <f>ABS($H$2-J279)/J279</f>
        <v>2.3809523809523808E-2</v>
      </c>
      <c r="R279" s="20">
        <f>ABS($J$2-L279)/L279</f>
        <v>0.21774193548387097</v>
      </c>
    </row>
    <row r="280" spans="1:18" ht="15.75" customHeight="1" x14ac:dyDescent="0.2">
      <c r="A280">
        <v>682</v>
      </c>
      <c r="B280" s="1" t="s">
        <v>549</v>
      </c>
      <c r="C280" s="1"/>
      <c r="D280" s="2"/>
      <c r="E280" s="6" t="s">
        <v>495</v>
      </c>
      <c r="F280" s="1">
        <v>0.83</v>
      </c>
      <c r="G280" s="4">
        <v>30</v>
      </c>
      <c r="H280" s="4">
        <v>6.7</v>
      </c>
      <c r="I280" s="4"/>
      <c r="J280" s="4">
        <v>12</v>
      </c>
      <c r="K280" s="4"/>
      <c r="L280" s="4">
        <v>50</v>
      </c>
      <c r="M280" s="21">
        <f>1-AVERAGE(N280:R280)</f>
        <v>0.67450032967691664</v>
      </c>
      <c r="N280" s="20">
        <f>ABS($D$2-F280)/F280</f>
        <v>0.30120481927710829</v>
      </c>
      <c r="O280" s="20">
        <f>ABS($E$2-G280)/G280</f>
        <v>3.3333333333333333E-2</v>
      </c>
      <c r="P280" s="20">
        <f>ABS($F$2-H280)/H280</f>
        <v>7.4626865671641784E-2</v>
      </c>
      <c r="Q280" s="20">
        <f>ABS($H$2-J280)/J280</f>
        <v>0.70833333333333337</v>
      </c>
      <c r="R280" s="20">
        <f>ABS($J$2-L280)/L280</f>
        <v>0.51</v>
      </c>
    </row>
    <row r="281" spans="1:18" ht="15.75" customHeight="1" x14ac:dyDescent="0.2">
      <c r="A281">
        <v>936</v>
      </c>
      <c r="B281" s="1" t="s">
        <v>741</v>
      </c>
      <c r="C281" s="1"/>
      <c r="D281" s="2"/>
      <c r="E281" s="6" t="s">
        <v>482</v>
      </c>
      <c r="F281" s="1">
        <v>0.6</v>
      </c>
      <c r="G281" s="4">
        <v>20</v>
      </c>
      <c r="H281" s="4">
        <v>4.5999999999999996</v>
      </c>
      <c r="I281" s="4"/>
      <c r="J281" s="4">
        <v>39</v>
      </c>
      <c r="K281" s="4"/>
      <c r="L281" s="4"/>
      <c r="M281" s="21">
        <f>1-AVERAGE(N281:R281)</f>
        <v>0.67362040133779266</v>
      </c>
      <c r="N281" s="20">
        <f>ABS($D$2-F281)/F281</f>
        <v>3.333333333333318E-2</v>
      </c>
      <c r="O281" s="20">
        <f>ABS($E$2-G281)/G281</f>
        <v>0.45</v>
      </c>
      <c r="P281" s="20">
        <f>ABS($F$2-H281)/H281</f>
        <v>0.3478260869565219</v>
      </c>
      <c r="Q281" s="20">
        <f>ABS($H$2-J281)/J281</f>
        <v>0.47435897435897434</v>
      </c>
      <c r="R281" s="20"/>
    </row>
    <row r="282" spans="1:18" ht="15.75" customHeight="1" x14ac:dyDescent="0.2">
      <c r="A282">
        <v>653</v>
      </c>
      <c r="B282" s="6" t="s">
        <v>522</v>
      </c>
      <c r="C282" s="6"/>
      <c r="D282" s="7"/>
      <c r="E282" s="6" t="s">
        <v>495</v>
      </c>
      <c r="F282" s="1">
        <v>0.7</v>
      </c>
      <c r="G282" s="4">
        <v>29</v>
      </c>
      <c r="H282" s="4">
        <v>5.4</v>
      </c>
      <c r="I282" s="4"/>
      <c r="J282" s="4">
        <v>11</v>
      </c>
      <c r="K282" s="4"/>
      <c r="L282" s="4">
        <v>52</v>
      </c>
      <c r="M282" s="21">
        <f>1-AVERAGE(N282:R282)</f>
        <v>0.67297276797276806</v>
      </c>
      <c r="N282" s="20">
        <f>ABS($D$2-F282)/F282</f>
        <v>0.17142857142857126</v>
      </c>
      <c r="O282" s="20">
        <f>ABS($E$2-G282)/G282</f>
        <v>0</v>
      </c>
      <c r="P282" s="20">
        <f>ABS($F$2-H282)/H282</f>
        <v>0.14814814814814811</v>
      </c>
      <c r="Q282" s="20">
        <f>ABS($H$2-J282)/J282</f>
        <v>0.86363636363636365</v>
      </c>
      <c r="R282" s="20">
        <f>ABS($J$2-L282)/L282</f>
        <v>0.45192307692307693</v>
      </c>
    </row>
    <row r="283" spans="1:18" ht="15.75" customHeight="1" x14ac:dyDescent="0.2">
      <c r="A283">
        <v>823</v>
      </c>
      <c r="B283" s="6" t="s">
        <v>660</v>
      </c>
      <c r="C283" s="1" t="s">
        <v>661</v>
      </c>
      <c r="D283" s="2"/>
      <c r="E283" s="6" t="s">
        <v>495</v>
      </c>
      <c r="F283" s="1">
        <f>(1.4+1.8)/2</f>
        <v>1.6</v>
      </c>
      <c r="G283" s="4">
        <v>34</v>
      </c>
      <c r="H283" s="4">
        <v>4.4000000000000004</v>
      </c>
      <c r="J283" s="4">
        <f>(14+28)/2</f>
        <v>21</v>
      </c>
      <c r="K283" s="4"/>
      <c r="L283" s="4">
        <v>53</v>
      </c>
      <c r="M283" s="21">
        <f>1-AVERAGE(N283:R283)</f>
        <v>0.67160248833667258</v>
      </c>
      <c r="N283" s="20">
        <f>ABS($D$2-F283)/F283</f>
        <v>0.63749999999999996</v>
      </c>
      <c r="O283" s="20">
        <f>ABS($E$2-G283)/G283</f>
        <v>0.14705882352941177</v>
      </c>
      <c r="P283" s="20">
        <f>ABS($F$2-H283)/H283</f>
        <v>0.40909090909090901</v>
      </c>
      <c r="Q283" s="20">
        <f>ABS($H$2-J283)/J283</f>
        <v>2.3809523809523808E-2</v>
      </c>
      <c r="R283" s="20">
        <f>ABS($J$2-L283)/L283</f>
        <v>0.42452830188679247</v>
      </c>
    </row>
    <row r="284" spans="1:18" ht="15.75" customHeight="1" x14ac:dyDescent="0.2">
      <c r="A284">
        <v>470</v>
      </c>
      <c r="B284" s="9" t="s">
        <v>370</v>
      </c>
      <c r="C284" s="9" t="s">
        <v>371</v>
      </c>
      <c r="E284" s="6" t="s">
        <v>41</v>
      </c>
      <c r="F284" s="3">
        <v>0.88</v>
      </c>
      <c r="G284" s="3">
        <v>39</v>
      </c>
      <c r="H284" s="3">
        <v>4.5</v>
      </c>
      <c r="I284" s="3"/>
      <c r="J284" s="3">
        <v>31</v>
      </c>
      <c r="K284" s="10"/>
      <c r="L284" s="10"/>
      <c r="M284" s="21">
        <f>1-AVERAGE(N284:R284)</f>
        <v>0.67154829937088012</v>
      </c>
      <c r="N284" s="20">
        <f>ABS($D$2-F284)/F284</f>
        <v>0.34090909090909083</v>
      </c>
      <c r="O284" s="20">
        <f>ABS($E$2-G284)/G284</f>
        <v>0.25641025641025639</v>
      </c>
      <c r="P284" s="20">
        <f>ABS($F$2-H284)/H284</f>
        <v>0.37777777777777782</v>
      </c>
      <c r="Q284" s="20">
        <f>ABS($H$2-J284)/J284</f>
        <v>0.33870967741935482</v>
      </c>
      <c r="R284" s="20"/>
    </row>
    <row r="285" spans="1:18" ht="15.75" customHeight="1" x14ac:dyDescent="0.2">
      <c r="A285">
        <v>925</v>
      </c>
      <c r="B285" s="1" t="s">
        <v>733</v>
      </c>
      <c r="C285" s="1" t="s">
        <v>734</v>
      </c>
      <c r="D285" s="2"/>
      <c r="E285" s="6" t="s">
        <v>495</v>
      </c>
      <c r="F285" s="1">
        <v>1.6</v>
      </c>
      <c r="G285" s="4">
        <v>37</v>
      </c>
      <c r="H285" s="4">
        <v>6.1</v>
      </c>
      <c r="I285" s="4"/>
      <c r="J285" s="4">
        <v>22</v>
      </c>
      <c r="K285" s="4"/>
      <c r="L285" s="4">
        <v>44</v>
      </c>
      <c r="M285" s="21">
        <f>1-AVERAGE(N285:R285)</f>
        <v>0.66915988641398472</v>
      </c>
      <c r="N285" s="20">
        <f>ABS($D$2-F285)/F285</f>
        <v>0.63749999999999996</v>
      </c>
      <c r="O285" s="20">
        <f>ABS($E$2-G285)/G285</f>
        <v>0.21621621621621623</v>
      </c>
      <c r="P285" s="20">
        <f>ABS($F$2-H285)/H285</f>
        <v>1.6393442622950907E-2</v>
      </c>
      <c r="Q285" s="20">
        <f>ABS($H$2-J285)/J285</f>
        <v>6.8181818181818177E-2</v>
      </c>
      <c r="R285" s="20">
        <f>ABS($J$2-L285)/L285</f>
        <v>0.71590909090909094</v>
      </c>
    </row>
    <row r="286" spans="1:18" ht="15.75" customHeight="1" x14ac:dyDescent="0.2">
      <c r="A286">
        <v>49</v>
      </c>
      <c r="B286" s="1" t="s">
        <v>68</v>
      </c>
      <c r="C286" s="1"/>
      <c r="D286" s="2"/>
      <c r="E286" s="6" t="s">
        <v>41</v>
      </c>
      <c r="F286" s="3">
        <f>(0.69+0.74)/2</f>
        <v>0.71499999999999997</v>
      </c>
      <c r="G286" s="3">
        <f>(47+50)/2</f>
        <v>48.5</v>
      </c>
      <c r="H286" s="3">
        <f>(5.6+6.5)/2</f>
        <v>6.05</v>
      </c>
      <c r="I286" s="3"/>
      <c r="J286" s="3">
        <v>12</v>
      </c>
      <c r="K286" s="3"/>
      <c r="L286" s="3"/>
      <c r="M286" s="21">
        <f>1-AVERAGE(N286:R286)</f>
        <v>0.66900005843890575</v>
      </c>
      <c r="N286" s="20">
        <f>ABS($D$2-F286)/F286</f>
        <v>0.18881118881118866</v>
      </c>
      <c r="O286" s="20">
        <f>ABS($E$2-G286)/G286</f>
        <v>0.40206185567010311</v>
      </c>
      <c r="P286" s="20">
        <f>ABS($F$2-H286)/H286</f>
        <v>2.4793388429752126E-2</v>
      </c>
      <c r="Q286" s="20">
        <f>ABS($H$2-J286)/J286</f>
        <v>0.70833333333333337</v>
      </c>
      <c r="R286" s="20"/>
    </row>
    <row r="287" spans="1:18" ht="15.75" customHeight="1" x14ac:dyDescent="0.2">
      <c r="A287">
        <v>292</v>
      </c>
      <c r="B287" s="9" t="s">
        <v>233</v>
      </c>
      <c r="E287" s="6" t="s">
        <v>40</v>
      </c>
      <c r="F287" s="3">
        <v>1.2</v>
      </c>
      <c r="G287" s="3">
        <v>22</v>
      </c>
      <c r="H287" s="3">
        <v>4</v>
      </c>
      <c r="I287" s="3"/>
      <c r="J287" s="3">
        <v>23</v>
      </c>
      <c r="K287" s="3"/>
      <c r="L287" s="3">
        <v>65</v>
      </c>
      <c r="M287" s="21">
        <f>1-AVERAGE(N287:R287)</f>
        <v>0.66898348028782806</v>
      </c>
      <c r="N287" s="20">
        <f>ABS($D$2-F287)/F287</f>
        <v>0.51666666666666661</v>
      </c>
      <c r="O287" s="20">
        <f>ABS($E$2-G287)/G287</f>
        <v>0.31818181818181818</v>
      </c>
      <c r="P287" s="20">
        <f>ABS($F$2-H287)/H287</f>
        <v>0.55000000000000004</v>
      </c>
      <c r="Q287" s="20">
        <f>ABS($H$2-J287)/J287</f>
        <v>0.10869565217391304</v>
      </c>
      <c r="R287" s="20">
        <f>ABS($J$2-L287)/L287</f>
        <v>0.16153846153846155</v>
      </c>
    </row>
    <row r="288" spans="1:18" ht="15.75" customHeight="1" x14ac:dyDescent="0.2">
      <c r="A288">
        <v>491</v>
      </c>
      <c r="B288" s="9" t="s">
        <v>387</v>
      </c>
      <c r="E288" s="6" t="s">
        <v>40</v>
      </c>
      <c r="F288" s="3">
        <f>(0.68+0.87)/2</f>
        <v>0.77500000000000002</v>
      </c>
      <c r="G288" s="3">
        <f>(23+26)/2</f>
        <v>24.5</v>
      </c>
      <c r="H288" s="3">
        <f>(5.8+6.4)/2</f>
        <v>6.1</v>
      </c>
      <c r="I288" s="3"/>
      <c r="J288" s="3">
        <f>(44+47)/2</f>
        <v>45.5</v>
      </c>
      <c r="K288" s="3"/>
      <c r="L288" s="3">
        <f>(44+47)/2</f>
        <v>45.5</v>
      </c>
      <c r="M288" s="21">
        <f>1-AVERAGE(N288:R288)</f>
        <v>0.6679057951944557</v>
      </c>
      <c r="N288" s="20">
        <f>ABS($D$2-F288)/F288</f>
        <v>0.25161290322580637</v>
      </c>
      <c r="O288" s="20">
        <f>ABS($E$2-G288)/G288</f>
        <v>0.18367346938775511</v>
      </c>
      <c r="P288" s="20">
        <f>ABS($F$2-H288)/H288</f>
        <v>1.6393442622950907E-2</v>
      </c>
      <c r="Q288" s="20">
        <f>ABS($H$2-J288)/J288</f>
        <v>0.5494505494505495</v>
      </c>
      <c r="R288" s="20">
        <f>ABS($J$2-L288)/L288</f>
        <v>0.65934065934065933</v>
      </c>
    </row>
    <row r="289" spans="1:18" ht="15.75" customHeight="1" x14ac:dyDescent="0.2">
      <c r="A289">
        <v>462</v>
      </c>
      <c r="B289" s="9" t="s">
        <v>363</v>
      </c>
      <c r="C289" s="9" t="s">
        <v>364</v>
      </c>
      <c r="E289" s="9" t="s">
        <v>365</v>
      </c>
      <c r="F289" s="10">
        <v>0.97</v>
      </c>
      <c r="G289" s="10">
        <v>34</v>
      </c>
      <c r="H289" s="10">
        <v>4.0999999999999996</v>
      </c>
      <c r="I289" s="10"/>
      <c r="J289" s="10">
        <v>28</v>
      </c>
      <c r="K289" s="10"/>
      <c r="L289" s="10"/>
      <c r="M289" s="21">
        <f>1-AVERAGE(N289:R289)</f>
        <v>0.66770676399803075</v>
      </c>
      <c r="N289" s="20">
        <f>ABS($D$2-F289)/F289</f>
        <v>0.402061855670103</v>
      </c>
      <c r="O289" s="20">
        <f>ABS($E$2-G289)/G289</f>
        <v>0.14705882352941177</v>
      </c>
      <c r="P289" s="20">
        <f>ABS($F$2-H289)/H289</f>
        <v>0.51219512195121963</v>
      </c>
      <c r="Q289" s="20">
        <f>ABS($H$2-J289)/J289</f>
        <v>0.26785714285714285</v>
      </c>
      <c r="R289" s="20"/>
    </row>
    <row r="290" spans="1:18" ht="15.75" customHeight="1" x14ac:dyDescent="0.2">
      <c r="A290">
        <v>481</v>
      </c>
      <c r="B290" s="9" t="s">
        <v>380</v>
      </c>
      <c r="E290" s="6" t="s">
        <v>41</v>
      </c>
      <c r="F290" s="3">
        <v>1</v>
      </c>
      <c r="G290" s="3">
        <v>36</v>
      </c>
      <c r="H290" s="3">
        <f>(5+6)/2</f>
        <v>5.5</v>
      </c>
      <c r="I290" s="3"/>
      <c r="J290" s="3">
        <v>50</v>
      </c>
      <c r="K290" s="10"/>
      <c r="L290" s="10"/>
      <c r="M290" s="21">
        <f>1-AVERAGE(N290:R290)</f>
        <v>0.66707070707070715</v>
      </c>
      <c r="N290" s="20">
        <f>ABS($D$2-F290)/F290</f>
        <v>0.41999999999999993</v>
      </c>
      <c r="O290" s="20">
        <f>ABS($E$2-G290)/G290</f>
        <v>0.19444444444444445</v>
      </c>
      <c r="P290" s="20">
        <f>ABS($F$2-H290)/H290</f>
        <v>0.12727272727272732</v>
      </c>
      <c r="Q290" s="20">
        <f>ABS($H$2-J290)/J290</f>
        <v>0.59</v>
      </c>
      <c r="R290" s="20"/>
    </row>
    <row r="291" spans="1:18" ht="15.75" customHeight="1" x14ac:dyDescent="0.2">
      <c r="A291">
        <v>417</v>
      </c>
      <c r="B291" s="9" t="s">
        <v>330</v>
      </c>
      <c r="E291" s="6" t="s">
        <v>41</v>
      </c>
      <c r="F291" s="3">
        <v>1.2</v>
      </c>
      <c r="G291" s="3">
        <v>36</v>
      </c>
      <c r="H291" s="3">
        <v>4.3</v>
      </c>
      <c r="I291" s="3"/>
      <c r="J291" s="3">
        <v>25</v>
      </c>
      <c r="K291" s="10"/>
      <c r="L291" s="10"/>
      <c r="M291" s="21">
        <f>1-AVERAGE(N291:R291)</f>
        <v>0.66675710594315252</v>
      </c>
      <c r="N291" s="20">
        <f>ABS($D$2-F291)/F291</f>
        <v>0.51666666666666661</v>
      </c>
      <c r="O291" s="20">
        <f>ABS($E$2-G291)/G291</f>
        <v>0.19444444444444445</v>
      </c>
      <c r="P291" s="20">
        <f>ABS($F$2-H291)/H291</f>
        <v>0.44186046511627919</v>
      </c>
      <c r="Q291" s="20">
        <f>ABS($H$2-J291)/J291</f>
        <v>0.18</v>
      </c>
      <c r="R291" s="20"/>
    </row>
    <row r="292" spans="1:18" ht="15.75" customHeight="1" x14ac:dyDescent="0.2">
      <c r="A292">
        <v>942</v>
      </c>
      <c r="B292" s="1" t="s">
        <v>744</v>
      </c>
      <c r="C292" s="1" t="s">
        <v>745</v>
      </c>
      <c r="D292" s="2"/>
      <c r="E292" s="6" t="s">
        <v>482</v>
      </c>
      <c r="F292" s="1">
        <v>1.1000000000000001</v>
      </c>
      <c r="G292" s="4">
        <v>29</v>
      </c>
      <c r="H292" s="4">
        <v>7.1</v>
      </c>
      <c r="I292" s="4"/>
      <c r="J292" s="4">
        <v>78</v>
      </c>
      <c r="K292" s="4"/>
      <c r="L292" s="4"/>
      <c r="M292" s="21">
        <f>1-AVERAGE(N292:R292)</f>
        <v>0.66583316917823954</v>
      </c>
      <c r="N292" s="20">
        <f>ABS($D$2-F292)/F292</f>
        <v>0.47272727272727272</v>
      </c>
      <c r="O292" s="20">
        <f>ABS($E$2-G292)/G292</f>
        <v>0</v>
      </c>
      <c r="P292" s="20">
        <f>ABS($F$2-H292)/H292</f>
        <v>0.12676056338028163</v>
      </c>
      <c r="Q292" s="20">
        <f>ABS($H$2-J292)/J292</f>
        <v>0.73717948717948723</v>
      </c>
      <c r="R292" s="20"/>
    </row>
    <row r="293" spans="1:18" ht="15.75" customHeight="1" x14ac:dyDescent="0.2">
      <c r="A293">
        <v>407</v>
      </c>
      <c r="B293" s="9" t="s">
        <v>325</v>
      </c>
      <c r="E293" s="6" t="s">
        <v>40</v>
      </c>
      <c r="F293" s="3">
        <v>1.1000000000000001</v>
      </c>
      <c r="G293" s="3">
        <v>23</v>
      </c>
      <c r="H293" s="3">
        <v>4.7</v>
      </c>
      <c r="I293" s="3"/>
      <c r="J293" s="3">
        <v>18</v>
      </c>
      <c r="K293" s="3"/>
      <c r="L293" s="3">
        <v>51</v>
      </c>
      <c r="M293" s="21">
        <f>1-AVERAGE(N293:R293)</f>
        <v>0.66559463602669788</v>
      </c>
      <c r="N293" s="20">
        <f>ABS($D$2-F293)/F293</f>
        <v>0.47272727272727272</v>
      </c>
      <c r="O293" s="20">
        <f>ABS($E$2-G293)/G293</f>
        <v>0.2608695652173913</v>
      </c>
      <c r="P293" s="20">
        <f>ABS($F$2-H293)/H293</f>
        <v>0.31914893617021273</v>
      </c>
      <c r="Q293" s="20">
        <f>ABS($H$2-J293)/J293</f>
        <v>0.1388888888888889</v>
      </c>
      <c r="R293" s="20">
        <f>ABS($J$2-L293)/L293</f>
        <v>0.48039215686274511</v>
      </c>
    </row>
    <row r="294" spans="1:18" ht="15.75" customHeight="1" x14ac:dyDescent="0.2">
      <c r="A294">
        <v>15</v>
      </c>
      <c r="B294" s="6" t="s">
        <v>49</v>
      </c>
      <c r="C294" s="6"/>
      <c r="D294" s="7"/>
      <c r="E294" s="6" t="s">
        <v>40</v>
      </c>
      <c r="F294" s="3">
        <f>(1+1.3)/2</f>
        <v>1.1499999999999999</v>
      </c>
      <c r="G294" s="3">
        <f>(36+40)/2</f>
        <v>38</v>
      </c>
      <c r="H294" s="3">
        <f>(6.5+7.1)/2</f>
        <v>6.8</v>
      </c>
      <c r="I294" s="3"/>
      <c r="J294" s="3">
        <f>(14+18)/2</f>
        <v>16</v>
      </c>
      <c r="K294" s="3"/>
      <c r="L294" s="3">
        <f>(45+50)/2</f>
        <v>47.5</v>
      </c>
      <c r="M294" s="21">
        <f>1-AVERAGE(N294:R294)</f>
        <v>0.66170934849912511</v>
      </c>
      <c r="N294" s="20">
        <f>ABS($D$2-F294)/F294</f>
        <v>0.49565217391304339</v>
      </c>
      <c r="O294" s="20">
        <f>ABS($E$2-G294)/G294</f>
        <v>0.23684210526315788</v>
      </c>
      <c r="P294" s="20">
        <f>ABS($F$2-H294)/H294</f>
        <v>8.8235294117647009E-2</v>
      </c>
      <c r="Q294" s="20">
        <f>ABS($H$2-J294)/J294</f>
        <v>0.28125</v>
      </c>
      <c r="R294" s="20">
        <f>ABS($J$2-L294)/L294</f>
        <v>0.58947368421052626</v>
      </c>
    </row>
    <row r="295" spans="1:18" ht="15.75" customHeight="1" x14ac:dyDescent="0.2">
      <c r="A295">
        <v>725</v>
      </c>
      <c r="B295" s="1" t="s">
        <v>578</v>
      </c>
      <c r="C295" s="1"/>
      <c r="D295" s="2"/>
      <c r="E295" s="6" t="s">
        <v>495</v>
      </c>
      <c r="F295" s="1">
        <v>1</v>
      </c>
      <c r="G295" s="4">
        <v>30</v>
      </c>
      <c r="H295" s="4">
        <v>6.4</v>
      </c>
      <c r="I295" s="4"/>
      <c r="J295" s="4">
        <v>10</v>
      </c>
      <c r="K295" s="4"/>
      <c r="L295" s="4">
        <v>90</v>
      </c>
      <c r="M295" s="21">
        <f>1-AVERAGE(N295:R295)</f>
        <v>0.66086111111111112</v>
      </c>
      <c r="N295" s="20">
        <f>ABS($D$2-F295)/F295</f>
        <v>0.41999999999999993</v>
      </c>
      <c r="O295" s="20">
        <f>ABS($E$2-G295)/G295</f>
        <v>3.3333333333333333E-2</v>
      </c>
      <c r="P295" s="20">
        <f>ABS($F$2-H295)/H295</f>
        <v>3.1250000000000028E-2</v>
      </c>
      <c r="Q295" s="20">
        <f>ABS($H$2-J295)/J295</f>
        <v>1.05</v>
      </c>
      <c r="R295" s="20">
        <f>ABS($J$2-L295)/L295</f>
        <v>0.16111111111111112</v>
      </c>
    </row>
    <row r="296" spans="1:18" ht="15.75" customHeight="1" x14ac:dyDescent="0.2">
      <c r="A296">
        <v>638</v>
      </c>
      <c r="B296" s="6" t="s">
        <v>500</v>
      </c>
      <c r="C296" s="6" t="s">
        <v>513</v>
      </c>
      <c r="D296" s="7"/>
      <c r="E296" s="6" t="s">
        <v>482</v>
      </c>
      <c r="F296" s="1">
        <v>0.5</v>
      </c>
      <c r="G296" s="4">
        <v>32</v>
      </c>
      <c r="H296" s="4">
        <v>5</v>
      </c>
      <c r="I296" s="4"/>
      <c r="J296" s="4">
        <v>11</v>
      </c>
      <c r="K296" s="4"/>
      <c r="L296" s="4"/>
      <c r="M296" s="21">
        <f>1-AVERAGE(N296:R296)</f>
        <v>0.66065340909090908</v>
      </c>
      <c r="N296" s="20">
        <f>ABS($D$2-F296)/F296</f>
        <v>0.16000000000000014</v>
      </c>
      <c r="O296" s="20">
        <f>ABS($E$2-G296)/G296</f>
        <v>9.375E-2</v>
      </c>
      <c r="P296" s="20">
        <f>ABS($F$2-H296)/H296</f>
        <v>0.24000000000000005</v>
      </c>
      <c r="Q296" s="20">
        <f>ABS($H$2-J296)/J296</f>
        <v>0.86363636363636365</v>
      </c>
      <c r="R296" s="20"/>
    </row>
    <row r="297" spans="1:18" ht="15.75" customHeight="1" x14ac:dyDescent="0.2">
      <c r="A297">
        <v>59</v>
      </c>
      <c r="B297" s="1" t="s">
        <v>74</v>
      </c>
      <c r="C297" s="1" t="s">
        <v>75</v>
      </c>
      <c r="D297" s="2"/>
      <c r="E297" s="6" t="s">
        <v>40</v>
      </c>
      <c r="F297" s="3">
        <f>(2.2+3.31)/2</f>
        <v>2.7549999999999999</v>
      </c>
      <c r="G297" s="3">
        <f>(40+49)/2</f>
        <v>44.5</v>
      </c>
      <c r="H297" s="3">
        <v>5.5</v>
      </c>
      <c r="I297" s="3"/>
      <c r="J297" s="3">
        <f>(16+26)/2</f>
        <v>21</v>
      </c>
      <c r="K297" s="3"/>
      <c r="L297" s="3">
        <f>(52+55)/2</f>
        <v>53.5</v>
      </c>
      <c r="M297" s="21">
        <f>1-AVERAGE(N297:R297)</f>
        <v>0.65998290093892431</v>
      </c>
      <c r="N297" s="20">
        <f>ABS($D$2-F297)/F297</f>
        <v>0.78947368421052633</v>
      </c>
      <c r="O297" s="20">
        <f>ABS($E$2-G297)/G297</f>
        <v>0.34831460674157305</v>
      </c>
      <c r="P297" s="20">
        <f>ABS($F$2-H297)/H297</f>
        <v>0.12727272727272732</v>
      </c>
      <c r="Q297" s="20">
        <f>ABS($H$2-J297)/J297</f>
        <v>2.3809523809523808E-2</v>
      </c>
      <c r="R297" s="20">
        <f>ABS($J$2-L297)/L297</f>
        <v>0.41121495327102803</v>
      </c>
    </row>
    <row r="298" spans="1:18" ht="15.75" customHeight="1" x14ac:dyDescent="0.2">
      <c r="A298">
        <v>115</v>
      </c>
      <c r="B298" s="1" t="s">
        <v>109</v>
      </c>
      <c r="C298" s="1"/>
      <c r="D298" s="2"/>
      <c r="E298" s="6" t="s">
        <v>40</v>
      </c>
      <c r="F298" s="3">
        <f>(0.47+0.68)/2</f>
        <v>0.57499999999999996</v>
      </c>
      <c r="G298" s="3">
        <f>(20+38)/2</f>
        <v>29</v>
      </c>
      <c r="H298" s="3">
        <f>(6.6+7.7)/2</f>
        <v>7.15</v>
      </c>
      <c r="I298" s="3"/>
      <c r="J298" s="3">
        <f>(6.2+9.9)/2</f>
        <v>8.0500000000000007</v>
      </c>
      <c r="K298" s="3"/>
      <c r="L298" s="3">
        <f>(72+82)/2</f>
        <v>77</v>
      </c>
      <c r="M298" s="21">
        <f>1-AVERAGE(N298:R298)</f>
        <v>0.65847456890935152</v>
      </c>
      <c r="N298" s="20">
        <f>ABS($D$2-F298)/F298</f>
        <v>8.6956521739132448E-3</v>
      </c>
      <c r="O298" s="20">
        <f>ABS($E$2-G298)/G298</f>
        <v>0</v>
      </c>
      <c r="P298" s="20">
        <f>ABS($F$2-H298)/H298</f>
        <v>0.13286713286713289</v>
      </c>
      <c r="Q298" s="20">
        <f>ABS($H$2-J298)/J298</f>
        <v>1.5465838509316767</v>
      </c>
      <c r="R298" s="20">
        <f>ABS($J$2-L298)/L298</f>
        <v>1.948051948051948E-2</v>
      </c>
    </row>
    <row r="299" spans="1:18" ht="15.75" customHeight="1" x14ac:dyDescent="0.2">
      <c r="A299">
        <v>817</v>
      </c>
      <c r="B299" s="1" t="s">
        <v>654</v>
      </c>
      <c r="C299" s="1"/>
      <c r="D299" s="2"/>
      <c r="E299" s="6" t="s">
        <v>495</v>
      </c>
      <c r="F299" s="1">
        <v>0.86</v>
      </c>
      <c r="G299" s="4">
        <v>21</v>
      </c>
      <c r="H299" s="4">
        <v>3.6</v>
      </c>
      <c r="I299" s="4"/>
      <c r="J299" s="4">
        <v>20</v>
      </c>
      <c r="K299" s="4"/>
      <c r="L299" s="4">
        <v>60</v>
      </c>
      <c r="M299" s="21">
        <f>1-AVERAGE(N299:R299)</f>
        <v>0.65758213362864537</v>
      </c>
      <c r="N299" s="20">
        <f>ABS($D$2-F299)/F299</f>
        <v>0.32558139534883712</v>
      </c>
      <c r="O299" s="20">
        <f>ABS($E$2-G299)/G299</f>
        <v>0.38095238095238093</v>
      </c>
      <c r="P299" s="20">
        <f>ABS($F$2-H299)/H299</f>
        <v>0.72222222222222221</v>
      </c>
      <c r="Q299" s="20">
        <f>ABS($H$2-J299)/J299</f>
        <v>2.5000000000000001E-2</v>
      </c>
      <c r="R299" s="20">
        <f>ABS($J$2-L299)/L299</f>
        <v>0.25833333333333336</v>
      </c>
    </row>
    <row r="300" spans="1:18" ht="15.75" customHeight="1" x14ac:dyDescent="0.2">
      <c r="A300">
        <v>734</v>
      </c>
      <c r="B300" s="1" t="s">
        <v>586</v>
      </c>
      <c r="C300" s="1"/>
      <c r="D300" s="2"/>
      <c r="E300" s="6" t="s">
        <v>495</v>
      </c>
      <c r="F300" s="1">
        <v>0.36</v>
      </c>
      <c r="G300" s="4">
        <v>22</v>
      </c>
      <c r="H300" s="4">
        <v>4.0999999999999996</v>
      </c>
      <c r="I300" s="4"/>
      <c r="J300" s="4">
        <v>18</v>
      </c>
      <c r="K300" s="4"/>
      <c r="L300" s="4">
        <v>87</v>
      </c>
      <c r="M300" s="21">
        <f>1-AVERAGE(N300:R300)</f>
        <v>0.657487830364197</v>
      </c>
      <c r="N300" s="20">
        <f>ABS($D$2-F300)/F300</f>
        <v>0.61111111111111138</v>
      </c>
      <c r="O300" s="20">
        <f>ABS($E$2-G300)/G300</f>
        <v>0.31818181818181818</v>
      </c>
      <c r="P300" s="20">
        <f>ABS($F$2-H300)/H300</f>
        <v>0.51219512195121963</v>
      </c>
      <c r="Q300" s="20">
        <f>ABS($H$2-J300)/J300</f>
        <v>0.1388888888888889</v>
      </c>
      <c r="R300" s="20">
        <f>ABS($J$2-L300)/L300</f>
        <v>0.13218390804597702</v>
      </c>
    </row>
    <row r="301" spans="1:18" ht="15.75" customHeight="1" x14ac:dyDescent="0.2">
      <c r="A301">
        <v>477</v>
      </c>
      <c r="B301" s="9" t="s">
        <v>378</v>
      </c>
      <c r="E301" s="6" t="s">
        <v>40</v>
      </c>
      <c r="F301" s="3">
        <v>1.2</v>
      </c>
      <c r="G301" s="3">
        <v>30</v>
      </c>
      <c r="H301" s="3">
        <v>5.5</v>
      </c>
      <c r="I301" s="3"/>
      <c r="J301" s="3">
        <v>92</v>
      </c>
      <c r="K301" s="3"/>
      <c r="L301" s="3">
        <v>60</v>
      </c>
      <c r="M301" s="21">
        <f>1-AVERAGE(N301:R301)</f>
        <v>0.65744400527009228</v>
      </c>
      <c r="N301" s="20">
        <f>ABS($D$2-F301)/F301</f>
        <v>0.51666666666666661</v>
      </c>
      <c r="O301" s="20">
        <f>ABS($E$2-G301)/G301</f>
        <v>3.3333333333333333E-2</v>
      </c>
      <c r="P301" s="20">
        <f>ABS($F$2-H301)/H301</f>
        <v>0.12727272727272732</v>
      </c>
      <c r="Q301" s="20">
        <f>ABS($H$2-J301)/J301</f>
        <v>0.77717391304347827</v>
      </c>
      <c r="R301" s="20">
        <f>ABS($J$2-L301)/L301</f>
        <v>0.25833333333333336</v>
      </c>
    </row>
    <row r="302" spans="1:18" ht="15.75" customHeight="1" x14ac:dyDescent="0.2">
      <c r="A302">
        <v>215</v>
      </c>
      <c r="B302" s="1" t="s">
        <v>183</v>
      </c>
      <c r="C302" s="1" t="s">
        <v>184</v>
      </c>
      <c r="D302" s="2"/>
      <c r="E302" s="6" t="s">
        <v>40</v>
      </c>
      <c r="F302" s="3">
        <v>0.83</v>
      </c>
      <c r="G302" s="3">
        <v>17</v>
      </c>
      <c r="H302" s="3">
        <v>4.0999999999999996</v>
      </c>
      <c r="I302" s="3"/>
      <c r="J302" s="3">
        <v>19</v>
      </c>
      <c r="K302" s="3"/>
      <c r="L302" s="3">
        <v>85.4</v>
      </c>
      <c r="M302" s="21">
        <f>1-AVERAGE(N302:R302)</f>
        <v>0.65716905577228668</v>
      </c>
      <c r="N302" s="20">
        <f>ABS($D$2-F302)/F302</f>
        <v>0.30120481927710829</v>
      </c>
      <c r="O302" s="20">
        <f>ABS($E$2-G302)/G302</f>
        <v>0.70588235294117652</v>
      </c>
      <c r="P302" s="20">
        <f>ABS($F$2-H302)/H302</f>
        <v>0.51219512195121963</v>
      </c>
      <c r="Q302" s="20">
        <f>ABS($H$2-J302)/J302</f>
        <v>7.8947368421052627E-2</v>
      </c>
      <c r="R302" s="20">
        <f>ABS($J$2-L302)/L302</f>
        <v>0.11592505854800943</v>
      </c>
    </row>
    <row r="303" spans="1:18" ht="15.75" customHeight="1" x14ac:dyDescent="0.2">
      <c r="A303">
        <v>16</v>
      </c>
      <c r="B303" s="6" t="s">
        <v>49</v>
      </c>
      <c r="C303" s="6"/>
      <c r="D303" s="7"/>
      <c r="E303" s="6" t="s">
        <v>41</v>
      </c>
      <c r="F303" s="3">
        <f>(1+1.3)/2</f>
        <v>1.1499999999999999</v>
      </c>
      <c r="G303" s="3">
        <f>(37+41)/2</f>
        <v>39</v>
      </c>
      <c r="H303" s="3">
        <f>(6.5+7.3)/2</f>
        <v>6.9</v>
      </c>
      <c r="I303" s="3"/>
      <c r="J303" s="3">
        <f>(12+15)/2</f>
        <v>13.5</v>
      </c>
      <c r="K303" s="3"/>
      <c r="L303" s="3"/>
      <c r="M303" s="21">
        <f>1-AVERAGE(N303:R303)</f>
        <v>0.65699244394896572</v>
      </c>
      <c r="N303" s="20">
        <f>ABS($D$2-F303)/F303</f>
        <v>0.49565217391304339</v>
      </c>
      <c r="O303" s="20">
        <f>ABS($E$2-G303)/G303</f>
        <v>0.25641025641025639</v>
      </c>
      <c r="P303" s="20">
        <f>ABS($F$2-H303)/H303</f>
        <v>0.10144927536231886</v>
      </c>
      <c r="Q303" s="20">
        <f>ABS($H$2-J303)/J303</f>
        <v>0.51851851851851849</v>
      </c>
      <c r="R303" s="20"/>
    </row>
    <row r="304" spans="1:18" ht="15.75" customHeight="1" x14ac:dyDescent="0.2">
      <c r="A304">
        <v>198</v>
      </c>
      <c r="B304" s="1" t="s">
        <v>166</v>
      </c>
      <c r="C304" s="1" t="s">
        <v>167</v>
      </c>
      <c r="D304" s="2"/>
      <c r="E304" s="6" t="s">
        <v>41</v>
      </c>
      <c r="F304" s="3">
        <v>1</v>
      </c>
      <c r="G304" s="3">
        <v>27</v>
      </c>
      <c r="H304" s="3">
        <v>6.3</v>
      </c>
      <c r="I304" s="3"/>
      <c r="J304" s="3">
        <v>11</v>
      </c>
      <c r="K304" s="3"/>
      <c r="L304" s="3"/>
      <c r="M304" s="21">
        <f>1-AVERAGE(N304:R304)</f>
        <v>0.65660413660413663</v>
      </c>
      <c r="N304" s="20">
        <f>ABS($D$2-F304)/F304</f>
        <v>0.41999999999999993</v>
      </c>
      <c r="O304" s="20">
        <f>ABS($E$2-G304)/G304</f>
        <v>7.407407407407407E-2</v>
      </c>
      <c r="P304" s="20">
        <f>ABS($F$2-H304)/H304</f>
        <v>1.5873015873015817E-2</v>
      </c>
      <c r="Q304" s="20">
        <f>ABS($H$2-J304)/J304</f>
        <v>0.86363636363636365</v>
      </c>
      <c r="R304" s="20"/>
    </row>
    <row r="305" spans="1:18" ht="15.75" customHeight="1" x14ac:dyDescent="0.2">
      <c r="A305">
        <v>920</v>
      </c>
      <c r="B305" s="1" t="s">
        <v>728</v>
      </c>
      <c r="C305" s="1" t="s">
        <v>729</v>
      </c>
      <c r="D305" s="2"/>
      <c r="E305" s="6" t="s">
        <v>482</v>
      </c>
      <c r="F305" s="1">
        <v>1.2</v>
      </c>
      <c r="G305" s="4">
        <v>37</v>
      </c>
      <c r="H305" s="4">
        <v>5.6</v>
      </c>
      <c r="I305" s="4"/>
      <c r="J305" s="4">
        <v>44</v>
      </c>
      <c r="K305" s="4"/>
      <c r="L305" s="4"/>
      <c r="M305" s="21">
        <f>1-AVERAGE(N305:R305)</f>
        <v>0.6564708377208377</v>
      </c>
      <c r="N305" s="20">
        <f>ABS($D$2-F305)/F305</f>
        <v>0.51666666666666661</v>
      </c>
      <c r="O305" s="20">
        <f>ABS($E$2-G305)/G305</f>
        <v>0.21621621621621623</v>
      </c>
      <c r="P305" s="20">
        <f>ABS($F$2-H305)/H305</f>
        <v>0.10714285714285725</v>
      </c>
      <c r="Q305" s="20">
        <f>ABS($H$2-J305)/J305</f>
        <v>0.53409090909090906</v>
      </c>
      <c r="R305" s="20"/>
    </row>
    <row r="306" spans="1:18" ht="15.75" customHeight="1" x14ac:dyDescent="0.2">
      <c r="A306">
        <v>270</v>
      </c>
      <c r="B306" s="9" t="s">
        <v>220</v>
      </c>
      <c r="E306" s="6" t="s">
        <v>40</v>
      </c>
      <c r="F306" s="3">
        <v>0.8</v>
      </c>
      <c r="G306" s="3">
        <v>31</v>
      </c>
      <c r="H306" s="3">
        <v>4</v>
      </c>
      <c r="I306" s="3"/>
      <c r="J306" s="3">
        <v>14</v>
      </c>
      <c r="K306" s="3"/>
      <c r="L306" s="3">
        <v>55</v>
      </c>
      <c r="M306" s="21">
        <f>1-AVERAGE(N306:R306)</f>
        <v>0.65469417679095099</v>
      </c>
      <c r="N306" s="20">
        <f>ABS($D$2-F306)/F306</f>
        <v>0.27499999999999997</v>
      </c>
      <c r="O306" s="20">
        <f>ABS($E$2-G306)/G306</f>
        <v>6.4516129032258063E-2</v>
      </c>
      <c r="P306" s="20">
        <f>ABS($F$2-H306)/H306</f>
        <v>0.55000000000000004</v>
      </c>
      <c r="Q306" s="20">
        <f>ABS($H$2-J306)/J306</f>
        <v>0.4642857142857143</v>
      </c>
      <c r="R306" s="20">
        <f>ABS($J$2-L306)/L306</f>
        <v>0.37272727272727274</v>
      </c>
    </row>
    <row r="307" spans="1:18" ht="15.75" customHeight="1" x14ac:dyDescent="0.2">
      <c r="A307">
        <v>382</v>
      </c>
      <c r="B307" s="9" t="s">
        <v>300</v>
      </c>
      <c r="E307" s="6" t="s">
        <v>41</v>
      </c>
      <c r="F307" s="3">
        <v>1.7</v>
      </c>
      <c r="G307" s="3">
        <v>25</v>
      </c>
      <c r="H307" s="3">
        <v>7</v>
      </c>
      <c r="I307" s="3"/>
      <c r="J307" s="3">
        <f>(35+40)/2</f>
        <v>37.5</v>
      </c>
      <c r="K307" s="10"/>
      <c r="L307" s="10"/>
      <c r="M307" s="21">
        <f>1-AVERAGE(N307:R307)</f>
        <v>0.65338935574229695</v>
      </c>
      <c r="N307" s="20">
        <f>ABS($D$2-F307)/F307</f>
        <v>0.6588235294117647</v>
      </c>
      <c r="O307" s="20">
        <f>ABS($E$2-G307)/G307</f>
        <v>0.16</v>
      </c>
      <c r="P307" s="20">
        <f>ABS($F$2-H307)/H307</f>
        <v>0.11428571428571425</v>
      </c>
      <c r="Q307" s="20">
        <f>ABS($H$2-J307)/J307</f>
        <v>0.45333333333333331</v>
      </c>
      <c r="R307" s="20"/>
    </row>
    <row r="308" spans="1:18" ht="15.75" customHeight="1" x14ac:dyDescent="0.2">
      <c r="A308">
        <v>644</v>
      </c>
      <c r="B308" s="6" t="s">
        <v>516</v>
      </c>
      <c r="C308" s="6"/>
      <c r="D308" s="7"/>
      <c r="E308" s="6" t="s">
        <v>482</v>
      </c>
      <c r="F308" s="1">
        <v>0.8</v>
      </c>
      <c r="G308" s="4">
        <v>34</v>
      </c>
      <c r="H308" s="4">
        <v>6.9</v>
      </c>
      <c r="I308" s="4"/>
      <c r="J308" s="4">
        <v>11</v>
      </c>
      <c r="K308" s="4"/>
      <c r="L308" s="4"/>
      <c r="M308" s="21">
        <f>1-AVERAGE(N308:R308)</f>
        <v>0.65321388436797645</v>
      </c>
      <c r="N308" s="20">
        <f>ABS($D$2-F308)/F308</f>
        <v>0.27499999999999997</v>
      </c>
      <c r="O308" s="20">
        <f>ABS($E$2-G308)/G308</f>
        <v>0.14705882352941177</v>
      </c>
      <c r="P308" s="20">
        <f>ABS($F$2-H308)/H308</f>
        <v>0.10144927536231886</v>
      </c>
      <c r="Q308" s="20">
        <f>ABS($H$2-J308)/J308</f>
        <v>0.86363636363636365</v>
      </c>
      <c r="R308" s="20"/>
    </row>
    <row r="309" spans="1:18" ht="15.75" customHeight="1" x14ac:dyDescent="0.2">
      <c r="A309">
        <v>891</v>
      </c>
      <c r="B309" s="1" t="s">
        <v>708</v>
      </c>
      <c r="C309" s="1"/>
      <c r="D309" s="2"/>
      <c r="E309" s="6" t="s">
        <v>482</v>
      </c>
      <c r="F309" s="1">
        <v>0.8</v>
      </c>
      <c r="G309" s="4">
        <v>25</v>
      </c>
      <c r="H309" s="4">
        <v>4</v>
      </c>
      <c r="I309" s="4"/>
      <c r="J309" s="4">
        <v>35</v>
      </c>
      <c r="K309" s="4"/>
      <c r="L309" s="4"/>
      <c r="M309" s="21">
        <f>1-AVERAGE(N309:R309)</f>
        <v>0.65017857142857149</v>
      </c>
      <c r="N309" s="20">
        <f>ABS($D$2-F309)/F309</f>
        <v>0.27499999999999997</v>
      </c>
      <c r="O309" s="20">
        <f>ABS($E$2-G309)/G309</f>
        <v>0.16</v>
      </c>
      <c r="P309" s="20">
        <f>ABS($F$2-H309)/H309</f>
        <v>0.55000000000000004</v>
      </c>
      <c r="Q309" s="20">
        <f>ABS($H$2-J309)/J309</f>
        <v>0.41428571428571431</v>
      </c>
      <c r="R309" s="20"/>
    </row>
    <row r="310" spans="1:18" ht="15.75" customHeight="1" x14ac:dyDescent="0.2">
      <c r="A310">
        <v>284</v>
      </c>
      <c r="B310" s="9" t="s">
        <v>228</v>
      </c>
      <c r="E310" s="6" t="s">
        <v>41</v>
      </c>
      <c r="F310" s="3">
        <f>(0.7+0.75)/2</f>
        <v>0.72499999999999998</v>
      </c>
      <c r="G310" s="3">
        <f>(23+25)/2</f>
        <v>24</v>
      </c>
      <c r="H310" s="3">
        <v>4.4000000000000004</v>
      </c>
      <c r="I310" s="3"/>
      <c r="J310" s="3">
        <v>50</v>
      </c>
      <c r="K310" s="3"/>
      <c r="L310" s="3"/>
      <c r="M310" s="21">
        <f>1-AVERAGE(N310:R310)</f>
        <v>0.64814393939393944</v>
      </c>
      <c r="N310" s="20">
        <f>ABS($D$2-F310)/F310</f>
        <v>0.19999999999999987</v>
      </c>
      <c r="O310" s="20">
        <f>ABS($E$2-G310)/G310</f>
        <v>0.20833333333333334</v>
      </c>
      <c r="P310" s="20">
        <f>ABS($F$2-H310)/H310</f>
        <v>0.40909090909090901</v>
      </c>
      <c r="Q310" s="20">
        <f>ABS($H$2-J310)/J310</f>
        <v>0.59</v>
      </c>
      <c r="R310" s="20"/>
    </row>
    <row r="311" spans="1:18" ht="15.75" customHeight="1" x14ac:dyDescent="0.2">
      <c r="A311">
        <v>327</v>
      </c>
      <c r="B311" s="9" t="s">
        <v>260</v>
      </c>
      <c r="E311" s="6" t="s">
        <v>40</v>
      </c>
      <c r="F311" s="3">
        <f>(1.1+1.21)/2</f>
        <v>1.155</v>
      </c>
      <c r="G311" s="3">
        <f>(85+93)/2</f>
        <v>89</v>
      </c>
      <c r="H311" s="3">
        <f>(4.4+4.5)/2</f>
        <v>4.45</v>
      </c>
      <c r="I311" s="3"/>
      <c r="J311" s="3">
        <f>(20+22)/2</f>
        <v>21</v>
      </c>
      <c r="K311" s="3"/>
      <c r="L311" s="3">
        <f>(63+66)/2</f>
        <v>64.5</v>
      </c>
      <c r="M311" s="21">
        <f>1-AVERAGE(N311:R311)</f>
        <v>0.648079322471797</v>
      </c>
      <c r="N311" s="20">
        <f>ABS($D$2-F311)/F311</f>
        <v>0.4978354978354978</v>
      </c>
      <c r="O311" s="20">
        <f>ABS($E$2-G311)/G311</f>
        <v>0.6741573033707865</v>
      </c>
      <c r="P311" s="20">
        <f>ABS($F$2-H311)/H311</f>
        <v>0.3932584269662921</v>
      </c>
      <c r="Q311" s="20">
        <f>ABS($H$2-J311)/J311</f>
        <v>2.3809523809523808E-2</v>
      </c>
      <c r="R311" s="20">
        <f>ABS($J$2-L311)/L311</f>
        <v>0.17054263565891473</v>
      </c>
    </row>
    <row r="312" spans="1:18" ht="15.75" customHeight="1" x14ac:dyDescent="0.2">
      <c r="A312">
        <v>187</v>
      </c>
      <c r="B312" s="1" t="s">
        <v>158</v>
      </c>
      <c r="C312" s="1"/>
      <c r="D312" s="2"/>
      <c r="E312" s="6" t="s">
        <v>40</v>
      </c>
      <c r="F312" s="3">
        <f>(0.81+1.02)/2</f>
        <v>0.91500000000000004</v>
      </c>
      <c r="G312" s="3">
        <f>(21+23)/2</f>
        <v>22</v>
      </c>
      <c r="H312" s="3">
        <f>(6.3+7.3)/2</f>
        <v>6.8</v>
      </c>
      <c r="I312" s="3"/>
      <c r="J312" s="3">
        <f>(12+14)/2</f>
        <v>13</v>
      </c>
      <c r="K312" s="3"/>
      <c r="L312" s="3">
        <f>(50+57)/2</f>
        <v>53.5</v>
      </c>
      <c r="M312" s="21">
        <f>1-AVERAGE(N312:R312)</f>
        <v>0.64786492778543903</v>
      </c>
      <c r="N312" s="20">
        <f>ABS($D$2-F312)/F312</f>
        <v>0.36612021857923494</v>
      </c>
      <c r="O312" s="20">
        <f>ABS($E$2-G312)/G312</f>
        <v>0.31818181818181818</v>
      </c>
      <c r="P312" s="20">
        <f>ABS($F$2-H312)/H312</f>
        <v>8.8235294117647009E-2</v>
      </c>
      <c r="Q312" s="20">
        <f>ABS($H$2-J312)/J312</f>
        <v>0.57692307692307687</v>
      </c>
      <c r="R312" s="20">
        <f>ABS($J$2-L312)/L312</f>
        <v>0.41121495327102803</v>
      </c>
    </row>
    <row r="313" spans="1:18" ht="15.75" customHeight="1" x14ac:dyDescent="0.2">
      <c r="A313">
        <v>819</v>
      </c>
      <c r="B313" s="1" t="s">
        <v>657</v>
      </c>
      <c r="C313" s="1"/>
      <c r="D313" s="2"/>
      <c r="E313" s="6" t="s">
        <v>495</v>
      </c>
      <c r="F313" s="1">
        <v>1</v>
      </c>
      <c r="G313" s="4">
        <v>37</v>
      </c>
      <c r="H313" s="4">
        <v>4.8</v>
      </c>
      <c r="I313" s="4"/>
      <c r="J313" s="4">
        <v>32</v>
      </c>
      <c r="K313" s="4"/>
      <c r="L313" s="4">
        <v>51</v>
      </c>
      <c r="M313" s="21">
        <f>1-AVERAGE(N313:R313)</f>
        <v>0.64646999205087441</v>
      </c>
      <c r="N313" s="20">
        <f>ABS($D$2-F313)/F313</f>
        <v>0.41999999999999993</v>
      </c>
      <c r="O313" s="20">
        <f>ABS($E$2-G313)/G313</f>
        <v>0.21621621621621623</v>
      </c>
      <c r="P313" s="20">
        <f>ABS($F$2-H313)/H313</f>
        <v>0.29166666666666674</v>
      </c>
      <c r="Q313" s="20">
        <f>ABS($H$2-J313)/J313</f>
        <v>0.359375</v>
      </c>
      <c r="R313" s="20">
        <f>ABS($J$2-L313)/L313</f>
        <v>0.48039215686274511</v>
      </c>
    </row>
    <row r="314" spans="1:18" ht="15.75" customHeight="1" x14ac:dyDescent="0.2">
      <c r="A314">
        <v>836</v>
      </c>
      <c r="B314" s="1" t="s">
        <v>669</v>
      </c>
      <c r="C314" s="1"/>
      <c r="D314" s="2"/>
      <c r="E314" s="6" t="s">
        <v>495</v>
      </c>
      <c r="F314" s="1">
        <v>1.5</v>
      </c>
      <c r="G314" s="4">
        <v>32</v>
      </c>
      <c r="H314" s="4">
        <v>5</v>
      </c>
      <c r="I314" s="4"/>
      <c r="J314" s="4">
        <v>16</v>
      </c>
      <c r="K314" s="4"/>
      <c r="L314" s="1">
        <v>49</v>
      </c>
      <c r="M314" s="21">
        <f>1-AVERAGE(N314:R314)</f>
        <v>0.64617006802721089</v>
      </c>
      <c r="N314" s="20">
        <f>ABS($D$2-F314)/F314</f>
        <v>0.61333333333333329</v>
      </c>
      <c r="O314" s="20">
        <f>ABS($E$2-G314)/G314</f>
        <v>9.375E-2</v>
      </c>
      <c r="P314" s="20">
        <f>ABS($F$2-H314)/H314</f>
        <v>0.24000000000000005</v>
      </c>
      <c r="Q314" s="20">
        <f>ABS($H$2-J314)/J314</f>
        <v>0.28125</v>
      </c>
      <c r="R314" s="20">
        <f>ABS($J$2-L314)/L314</f>
        <v>0.54081632653061229</v>
      </c>
    </row>
    <row r="315" spans="1:18" ht="15.75" customHeight="1" x14ac:dyDescent="0.2">
      <c r="A315">
        <v>299</v>
      </c>
      <c r="B315" s="9" t="s">
        <v>237</v>
      </c>
      <c r="E315" s="6" t="s">
        <v>40</v>
      </c>
      <c r="F315" s="10">
        <v>0.5</v>
      </c>
      <c r="G315" s="10">
        <v>21</v>
      </c>
      <c r="H315" s="10">
        <v>3.6</v>
      </c>
      <c r="I315" s="10"/>
      <c r="J315" s="10">
        <v>15</v>
      </c>
      <c r="K315" s="10"/>
      <c r="L315" s="10">
        <v>66</v>
      </c>
      <c r="M315" s="21">
        <f>1-AVERAGE(N315:R315)</f>
        <v>0.64524386724386718</v>
      </c>
      <c r="N315" s="20">
        <f>ABS($D$2-F315)/F315</f>
        <v>0.16000000000000014</v>
      </c>
      <c r="O315" s="20">
        <f>ABS($E$2-G315)/G315</f>
        <v>0.38095238095238093</v>
      </c>
      <c r="P315" s="20">
        <f>ABS($F$2-H315)/H315</f>
        <v>0.72222222222222221</v>
      </c>
      <c r="Q315" s="20">
        <f>ABS($H$2-J315)/J315</f>
        <v>0.36666666666666664</v>
      </c>
      <c r="R315" s="20">
        <f>ABS($J$2-L315)/L315</f>
        <v>0.14393939393939395</v>
      </c>
    </row>
    <row r="316" spans="1:18" ht="15.75" customHeight="1" x14ac:dyDescent="0.2">
      <c r="A316">
        <v>45</v>
      </c>
      <c r="B316" s="1" t="s">
        <v>66</v>
      </c>
      <c r="C316" s="1"/>
      <c r="D316" s="2"/>
      <c r="E316" s="6" t="s">
        <v>41</v>
      </c>
      <c r="F316" s="3">
        <f>(0.37+0.44)/2</f>
        <v>0.40500000000000003</v>
      </c>
      <c r="G316" s="3">
        <f>(24+30)/2</f>
        <v>27</v>
      </c>
      <c r="H316" s="3">
        <f>(3.4+4.3)/2</f>
        <v>3.8499999999999996</v>
      </c>
      <c r="I316" s="3"/>
      <c r="J316" s="3">
        <f>(23+36)/2</f>
        <v>29.5</v>
      </c>
      <c r="K316" s="3"/>
      <c r="L316" s="3"/>
      <c r="M316" s="21">
        <f>1-AVERAGE(N316:R316)</f>
        <v>0.64458820108537618</v>
      </c>
      <c r="N316" s="20">
        <f>ABS($D$2-F316)/F316</f>
        <v>0.43209876543209885</v>
      </c>
      <c r="O316" s="20">
        <f>ABS($E$2-G316)/G316</f>
        <v>7.407407407407407E-2</v>
      </c>
      <c r="P316" s="20">
        <f>ABS($F$2-H316)/H316</f>
        <v>0.61038961038961059</v>
      </c>
      <c r="Q316" s="20">
        <f>ABS($H$2-J316)/J316</f>
        <v>0.30508474576271188</v>
      </c>
      <c r="R316" s="20"/>
    </row>
    <row r="317" spans="1:18" ht="15.75" customHeight="1" x14ac:dyDescent="0.2">
      <c r="A317">
        <v>485</v>
      </c>
      <c r="B317" s="9" t="s">
        <v>382</v>
      </c>
      <c r="E317" s="6" t="s">
        <v>41</v>
      </c>
      <c r="F317" s="3">
        <v>1.2</v>
      </c>
      <c r="G317" s="3">
        <v>22</v>
      </c>
      <c r="H317" s="3">
        <v>6.5</v>
      </c>
      <c r="I317" s="3"/>
      <c r="J317" s="3">
        <f>(40+50)/2</f>
        <v>45</v>
      </c>
      <c r="K317" s="10"/>
      <c r="L317" s="10"/>
      <c r="M317" s="21">
        <f>1-AVERAGE(N317:R317)</f>
        <v>0.64363830613830619</v>
      </c>
      <c r="N317" s="20">
        <f>ABS($D$2-F317)/F317</f>
        <v>0.51666666666666661</v>
      </c>
      <c r="O317" s="20">
        <f>ABS($E$2-G317)/G317</f>
        <v>0.31818181818181818</v>
      </c>
      <c r="P317" s="20">
        <f>ABS($F$2-H317)/H317</f>
        <v>4.6153846153846129E-2</v>
      </c>
      <c r="Q317" s="20">
        <f>ABS($H$2-J317)/J317</f>
        <v>0.5444444444444444</v>
      </c>
      <c r="R317" s="20"/>
    </row>
    <row r="318" spans="1:18" ht="15.75" customHeight="1" x14ac:dyDescent="0.2">
      <c r="A318">
        <v>214</v>
      </c>
      <c r="B318" s="1" t="s">
        <v>181</v>
      </c>
      <c r="C318" s="1" t="s">
        <v>182</v>
      </c>
      <c r="D318" s="2"/>
      <c r="E318" s="6" t="s">
        <v>41</v>
      </c>
      <c r="F318" s="3">
        <f>(1.02+1.1)/2</f>
        <v>1.06</v>
      </c>
      <c r="G318" s="3">
        <f>(15+18)/2</f>
        <v>16.5</v>
      </c>
      <c r="H318" s="3">
        <f>(5.2+5.7)/2</f>
        <v>5.45</v>
      </c>
      <c r="I318" s="3"/>
      <c r="J318" s="3">
        <f>(18+20)/2</f>
        <v>19</v>
      </c>
      <c r="K318" s="3"/>
      <c r="L318" s="3"/>
      <c r="M318" s="21">
        <f>1-AVERAGE(N318:R318)</f>
        <v>0.64325800160621549</v>
      </c>
      <c r="N318" s="20">
        <f>ABS($D$2-F318)/F318</f>
        <v>0.45283018867924524</v>
      </c>
      <c r="O318" s="20">
        <f>ABS($E$2-G318)/G318</f>
        <v>0.75757575757575757</v>
      </c>
      <c r="P318" s="20">
        <f>ABS($F$2-H318)/H318</f>
        <v>0.13761467889908258</v>
      </c>
      <c r="Q318" s="20">
        <f>ABS($H$2-J318)/J318</f>
        <v>7.8947368421052627E-2</v>
      </c>
      <c r="R318" s="20"/>
    </row>
    <row r="319" spans="1:18" ht="15.75" customHeight="1" x14ac:dyDescent="0.2">
      <c r="A319">
        <v>335</v>
      </c>
      <c r="B319" s="9" t="s">
        <v>264</v>
      </c>
      <c r="E319" s="6" t="s">
        <v>41</v>
      </c>
      <c r="F319" s="3">
        <v>0.57999999999999996</v>
      </c>
      <c r="G319" s="3">
        <v>30</v>
      </c>
      <c r="H319" s="3">
        <v>4.3</v>
      </c>
      <c r="I319" s="3"/>
      <c r="J319" s="3">
        <v>10.5</v>
      </c>
      <c r="K319" s="3"/>
      <c r="L319" s="3"/>
      <c r="M319" s="21">
        <f>1-AVERAGE(N319:R319)</f>
        <v>0.64310631229235871</v>
      </c>
      <c r="N319" s="20">
        <f>ABS($D$2-F319)/F319</f>
        <v>1.9141776286640631E-16</v>
      </c>
      <c r="O319" s="20">
        <f>ABS($E$2-G319)/G319</f>
        <v>3.3333333333333333E-2</v>
      </c>
      <c r="P319" s="20">
        <f>ABS($F$2-H319)/H319</f>
        <v>0.44186046511627919</v>
      </c>
      <c r="Q319" s="20">
        <f>ABS($H$2-J319)/J319</f>
        <v>0.95238095238095233</v>
      </c>
      <c r="R319" s="20"/>
    </row>
    <row r="320" spans="1:18" ht="15.75" customHeight="1" x14ac:dyDescent="0.2">
      <c r="A320">
        <v>237</v>
      </c>
      <c r="B320" s="9" t="s">
        <v>200</v>
      </c>
      <c r="E320" s="6" t="s">
        <v>40</v>
      </c>
      <c r="F320" s="3">
        <f>(0.5+0.68)/2</f>
        <v>0.59000000000000008</v>
      </c>
      <c r="G320" s="3">
        <f>(19+22)/2</f>
        <v>20.5</v>
      </c>
      <c r="H320" s="3">
        <f>(4.6+5.5)/2</f>
        <v>5.05</v>
      </c>
      <c r="I320" s="3"/>
      <c r="J320" s="3">
        <f>(10+13)/2</f>
        <v>11.5</v>
      </c>
      <c r="K320" s="3"/>
      <c r="L320" s="3">
        <f>(54+58)/2</f>
        <v>56</v>
      </c>
      <c r="M320" s="21">
        <f>1-AVERAGE(N320:R320)</f>
        <v>0.64197418949449525</v>
      </c>
      <c r="N320" s="20">
        <f>ABS($D$2-F320)/F320</f>
        <v>1.6949152542372895E-2</v>
      </c>
      <c r="O320" s="20">
        <f>ABS($E$2-G320)/G320</f>
        <v>0.41463414634146339</v>
      </c>
      <c r="P320" s="20">
        <f>ABS($F$2-H320)/H320</f>
        <v>0.22772277227722781</v>
      </c>
      <c r="Q320" s="20">
        <f>ABS($H$2-J320)/J320</f>
        <v>0.78260869565217395</v>
      </c>
      <c r="R320" s="20">
        <f>ABS($J$2-L320)/L320</f>
        <v>0.3482142857142857</v>
      </c>
    </row>
    <row r="321" spans="1:18" ht="15.75" customHeight="1" x14ac:dyDescent="0.2">
      <c r="A321">
        <v>272</v>
      </c>
      <c r="B321" s="9" t="s">
        <v>221</v>
      </c>
      <c r="E321" s="6" t="s">
        <v>40</v>
      </c>
      <c r="F321" s="3">
        <f>(0.65+0.75)/2</f>
        <v>0.7</v>
      </c>
      <c r="G321" s="3">
        <f>(23+31)/2</f>
        <v>27</v>
      </c>
      <c r="H321" s="3">
        <f>(4.2+4.5)/2</f>
        <v>4.3499999999999996</v>
      </c>
      <c r="I321" s="3"/>
      <c r="J321" s="3">
        <v>9.6999999999999993</v>
      </c>
      <c r="K321" s="3"/>
      <c r="L321" s="3">
        <f>(74+75)/2</f>
        <v>74.5</v>
      </c>
      <c r="M321" s="21">
        <f>1-AVERAGE(N321:R321)</f>
        <v>0.64047702350557978</v>
      </c>
      <c r="N321" s="20">
        <f>ABS($D$2-F321)/F321</f>
        <v>0.17142857142857126</v>
      </c>
      <c r="O321" s="20">
        <f>ABS($E$2-G321)/G321</f>
        <v>7.407407407407407E-2</v>
      </c>
      <c r="P321" s="20">
        <f>ABS($F$2-H321)/H321</f>
        <v>0.42528735632183923</v>
      </c>
      <c r="Q321" s="20">
        <f>ABS($H$2-J321)/J321</f>
        <v>1.1134020618556704</v>
      </c>
      <c r="R321" s="20">
        <f>ABS($J$2-L321)/L321</f>
        <v>1.3422818791946308E-2</v>
      </c>
    </row>
    <row r="322" spans="1:18" ht="15.75" customHeight="1" x14ac:dyDescent="0.2">
      <c r="A322">
        <v>495</v>
      </c>
      <c r="B322" s="9" t="s">
        <v>390</v>
      </c>
      <c r="E322" s="6" t="s">
        <v>40</v>
      </c>
      <c r="F322" s="3">
        <f>(2.1+2.6)/2</f>
        <v>2.35</v>
      </c>
      <c r="G322" s="3">
        <f>(26+34)/2</f>
        <v>30</v>
      </c>
      <c r="H322" s="3">
        <f>(4+4.5)/2</f>
        <v>4.25</v>
      </c>
      <c r="I322" s="3"/>
      <c r="J322" s="3">
        <f>(14+16)/2</f>
        <v>15</v>
      </c>
      <c r="K322" s="3"/>
      <c r="L322" s="3">
        <f>(61+66)/2</f>
        <v>63.5</v>
      </c>
      <c r="M322" s="21">
        <f>1-AVERAGE(N322:R322)</f>
        <v>0.63980172065475549</v>
      </c>
      <c r="N322" s="20">
        <f>ABS($D$2-F322)/F322</f>
        <v>0.7531914893617021</v>
      </c>
      <c r="O322" s="20">
        <f>ABS($E$2-G322)/G322</f>
        <v>3.3333333333333333E-2</v>
      </c>
      <c r="P322" s="20">
        <f>ABS($F$2-H322)/H322</f>
        <v>0.45882352941176474</v>
      </c>
      <c r="Q322" s="20">
        <f>ABS($H$2-J322)/J322</f>
        <v>0.36666666666666664</v>
      </c>
      <c r="R322" s="20">
        <f>ABS($J$2-L322)/L322</f>
        <v>0.1889763779527559</v>
      </c>
    </row>
    <row r="323" spans="1:18" ht="15.75" customHeight="1" x14ac:dyDescent="0.2">
      <c r="A323">
        <v>924</v>
      </c>
      <c r="B323" s="1" t="s">
        <v>731</v>
      </c>
      <c r="C323" s="1" t="s">
        <v>732</v>
      </c>
      <c r="D323" s="2"/>
      <c r="E323" s="6" t="s">
        <v>482</v>
      </c>
      <c r="F323" s="1">
        <v>1.2</v>
      </c>
      <c r="G323" s="4">
        <v>42</v>
      </c>
      <c r="H323" s="4">
        <v>4.5999999999999996</v>
      </c>
      <c r="I323" s="4"/>
      <c r="J323" s="4">
        <v>28</v>
      </c>
      <c r="K323" s="4"/>
      <c r="L323" s="4"/>
      <c r="M323" s="21">
        <f>1-AVERAGE(N323:R323)</f>
        <v>0.63953157349896483</v>
      </c>
      <c r="N323" s="20">
        <f>ABS($D$2-F323)/F323</f>
        <v>0.51666666666666661</v>
      </c>
      <c r="O323" s="20">
        <f>ABS($E$2-G323)/G323</f>
        <v>0.30952380952380953</v>
      </c>
      <c r="P323" s="20">
        <f>ABS($F$2-H323)/H323</f>
        <v>0.3478260869565219</v>
      </c>
      <c r="Q323" s="20">
        <f>ABS($H$2-J323)/J323</f>
        <v>0.26785714285714285</v>
      </c>
      <c r="R323" s="20"/>
    </row>
    <row r="324" spans="1:18" ht="15.75" customHeight="1" x14ac:dyDescent="0.2">
      <c r="A324">
        <v>674</v>
      </c>
      <c r="B324" s="1" t="s">
        <v>540</v>
      </c>
      <c r="C324" s="1"/>
      <c r="D324" s="2"/>
      <c r="E324" s="6" t="s">
        <v>495</v>
      </c>
      <c r="F324" s="1">
        <v>1</v>
      </c>
      <c r="G324" s="4">
        <v>39</v>
      </c>
      <c r="H324" s="4">
        <v>7.1</v>
      </c>
      <c r="I324" s="4"/>
      <c r="J324" s="4">
        <v>13</v>
      </c>
      <c r="K324" s="4"/>
      <c r="L324" s="4">
        <v>53</v>
      </c>
      <c r="M324" s="21">
        <f>1-AVERAGE(N324:R324)</f>
        <v>0.63907556027991852</v>
      </c>
      <c r="N324" s="20">
        <f>ABS($D$2-F324)/F324</f>
        <v>0.41999999999999993</v>
      </c>
      <c r="O324" s="20">
        <f>ABS($E$2-G324)/G324</f>
        <v>0.25641025641025639</v>
      </c>
      <c r="P324" s="20">
        <f>ABS($F$2-H324)/H324</f>
        <v>0.12676056338028163</v>
      </c>
      <c r="Q324" s="20">
        <f>ABS($H$2-J324)/J324</f>
        <v>0.57692307692307687</v>
      </c>
      <c r="R324" s="20">
        <f>ABS($J$2-L324)/L324</f>
        <v>0.42452830188679247</v>
      </c>
    </row>
    <row r="325" spans="1:18" ht="15.75" customHeight="1" x14ac:dyDescent="0.2">
      <c r="A325">
        <v>397</v>
      </c>
      <c r="B325" s="9" t="s">
        <v>317</v>
      </c>
      <c r="C325" s="9" t="s">
        <v>318</v>
      </c>
      <c r="E325" s="6" t="s">
        <v>40</v>
      </c>
      <c r="F325" s="3">
        <v>0.83</v>
      </c>
      <c r="G325" s="3">
        <v>19</v>
      </c>
      <c r="H325" s="3">
        <v>3.8</v>
      </c>
      <c r="I325" s="3"/>
      <c r="J325" s="3">
        <v>23</v>
      </c>
      <c r="K325" s="3"/>
      <c r="L325" s="3">
        <v>61</v>
      </c>
      <c r="M325" s="21">
        <f>1-AVERAGE(N325:R325)</f>
        <v>0.6388999747348173</v>
      </c>
      <c r="N325" s="20">
        <f>ABS($D$2-F325)/F325</f>
        <v>0.30120481927710829</v>
      </c>
      <c r="O325" s="20">
        <f>ABS($E$2-G325)/G325</f>
        <v>0.52631578947368418</v>
      </c>
      <c r="P325" s="20">
        <f>ABS($F$2-H325)/H325</f>
        <v>0.63157894736842113</v>
      </c>
      <c r="Q325" s="20">
        <f>ABS($H$2-J325)/J325</f>
        <v>0.10869565217391304</v>
      </c>
      <c r="R325" s="20">
        <f>ABS($J$2-L325)/L325</f>
        <v>0.23770491803278687</v>
      </c>
    </row>
    <row r="326" spans="1:18" ht="15.75" customHeight="1" x14ac:dyDescent="0.2">
      <c r="A326">
        <v>416</v>
      </c>
      <c r="B326" s="9" t="s">
        <v>330</v>
      </c>
      <c r="E326" s="6" t="s">
        <v>40</v>
      </c>
      <c r="F326" s="3">
        <f>(0.9+1.4)/2</f>
        <v>1.1499999999999999</v>
      </c>
      <c r="G326" s="3">
        <v>33</v>
      </c>
      <c r="H326" s="3">
        <v>4.5</v>
      </c>
      <c r="I326" s="3"/>
      <c r="J326" s="3">
        <v>27</v>
      </c>
      <c r="K326" s="3"/>
      <c r="L326" s="3">
        <v>48</v>
      </c>
      <c r="M326" s="21">
        <f>1-AVERAGE(N326:R326)</f>
        <v>0.63834010393793006</v>
      </c>
      <c r="N326" s="20">
        <f>ABS($D$2-F326)/F326</f>
        <v>0.49565217391304339</v>
      </c>
      <c r="O326" s="20">
        <f>ABS($E$2-G326)/G326</f>
        <v>0.12121212121212122</v>
      </c>
      <c r="P326" s="20">
        <f>ABS($F$2-H326)/H326</f>
        <v>0.37777777777777782</v>
      </c>
      <c r="Q326" s="20">
        <f>ABS($H$2-J326)/J326</f>
        <v>0.24074074074074073</v>
      </c>
      <c r="R326" s="20">
        <f>ABS($J$2-L326)/L326</f>
        <v>0.57291666666666663</v>
      </c>
    </row>
    <row r="327" spans="1:18" ht="15.75" customHeight="1" x14ac:dyDescent="0.2">
      <c r="A327">
        <v>494</v>
      </c>
      <c r="B327" s="9" t="s">
        <v>388</v>
      </c>
      <c r="C327" s="9" t="s">
        <v>389</v>
      </c>
      <c r="E327" s="6" t="s">
        <v>41</v>
      </c>
      <c r="F327" s="3">
        <f>(1.4+1.6)/2</f>
        <v>1.5</v>
      </c>
      <c r="G327" s="3">
        <v>27</v>
      </c>
      <c r="H327" s="3">
        <f>(3.7+4.1)/2</f>
        <v>3.9</v>
      </c>
      <c r="I327" s="3"/>
      <c r="J327" s="3">
        <f>(17+18)/2</f>
        <v>17.5</v>
      </c>
      <c r="K327" s="10"/>
      <c r="L327" s="10"/>
      <c r="M327" s="21">
        <f>1-AVERAGE(N327:R327)</f>
        <v>0.63785510785510779</v>
      </c>
      <c r="N327" s="20">
        <f>ABS($D$2-F327)/F327</f>
        <v>0.61333333333333329</v>
      </c>
      <c r="O327" s="20">
        <f>ABS($E$2-G327)/G327</f>
        <v>7.407407407407407E-2</v>
      </c>
      <c r="P327" s="20">
        <f>ABS($F$2-H327)/H327</f>
        <v>0.58974358974358987</v>
      </c>
      <c r="Q327" s="20">
        <f>ABS($H$2-J327)/J327</f>
        <v>0.17142857142857143</v>
      </c>
      <c r="R327" s="20"/>
    </row>
    <row r="328" spans="1:18" ht="15.75" customHeight="1" x14ac:dyDescent="0.2">
      <c r="A328">
        <v>97</v>
      </c>
      <c r="B328" s="1" t="s">
        <v>100</v>
      </c>
      <c r="C328" s="1"/>
      <c r="D328" s="2"/>
      <c r="E328" s="6" t="s">
        <v>41</v>
      </c>
      <c r="F328" s="3">
        <f>(0.94+1.33)/2</f>
        <v>1.135</v>
      </c>
      <c r="G328" s="3">
        <f>(16+23)/2</f>
        <v>19.5</v>
      </c>
      <c r="H328" s="3">
        <f>(6.6+8)/2</f>
        <v>7.3</v>
      </c>
      <c r="I328" s="3"/>
      <c r="J328" s="3">
        <f>(13+18)/2</f>
        <v>15.5</v>
      </c>
      <c r="K328" s="3"/>
      <c r="L328" s="3"/>
      <c r="M328" s="21">
        <f>1-AVERAGE(N328:R328)</f>
        <v>0.63764203800285113</v>
      </c>
      <c r="N328" s="20">
        <f>ABS($D$2-F328)/F328</f>
        <v>0.48898678414096908</v>
      </c>
      <c r="O328" s="20">
        <f>ABS($E$2-G328)/G328</f>
        <v>0.48717948717948717</v>
      </c>
      <c r="P328" s="20">
        <f>ABS($F$2-H328)/H328</f>
        <v>0.15068493150684928</v>
      </c>
      <c r="Q328" s="20">
        <f>ABS($H$2-J328)/J328</f>
        <v>0.32258064516129031</v>
      </c>
      <c r="R328" s="20"/>
    </row>
    <row r="329" spans="1:18" ht="15.75" customHeight="1" x14ac:dyDescent="0.2">
      <c r="A329">
        <v>493</v>
      </c>
      <c r="B329" s="9" t="s">
        <v>388</v>
      </c>
      <c r="C329" s="9" t="s">
        <v>389</v>
      </c>
      <c r="E329" s="6" t="s">
        <v>40</v>
      </c>
      <c r="F329" s="3">
        <f>(1.3+1.4)/2</f>
        <v>1.35</v>
      </c>
      <c r="G329" s="3">
        <f>(23+24)/2</f>
        <v>23.5</v>
      </c>
      <c r="H329" s="3">
        <f>(3.7+4.1)/2</f>
        <v>3.9</v>
      </c>
      <c r="I329" s="3"/>
      <c r="J329" s="3">
        <f>(16+19)/2</f>
        <v>17.5</v>
      </c>
      <c r="K329" s="3"/>
      <c r="L329" s="3">
        <f>(60+61)/2</f>
        <v>60.5</v>
      </c>
      <c r="M329" s="21">
        <f>1-AVERAGE(N329:R329)</f>
        <v>0.63729620619369165</v>
      </c>
      <c r="N329" s="20">
        <f>ABS($D$2-F329)/F329</f>
        <v>0.57037037037037031</v>
      </c>
      <c r="O329" s="20">
        <f>ABS($E$2-G329)/G329</f>
        <v>0.23404255319148937</v>
      </c>
      <c r="P329" s="20">
        <f>ABS($F$2-H329)/H329</f>
        <v>0.58974358974358987</v>
      </c>
      <c r="Q329" s="20">
        <f>ABS($H$2-J329)/J329</f>
        <v>0.17142857142857143</v>
      </c>
      <c r="R329" s="20">
        <f>ABS($J$2-L329)/L329</f>
        <v>0.24793388429752067</v>
      </c>
    </row>
    <row r="330" spans="1:18" ht="15.75" customHeight="1" x14ac:dyDescent="0.2">
      <c r="A330">
        <v>107</v>
      </c>
      <c r="B330" s="1" t="s">
        <v>105</v>
      </c>
      <c r="C330" s="1"/>
      <c r="D330" s="2"/>
      <c r="E330" s="6" t="s">
        <v>41</v>
      </c>
      <c r="F330" s="3">
        <f>(0.94+2.15)/2</f>
        <v>1.5449999999999999</v>
      </c>
      <c r="G330" s="3">
        <f>(40+50)/2</f>
        <v>45</v>
      </c>
      <c r="H330" s="3"/>
      <c r="I330" s="3"/>
      <c r="J330" s="3">
        <f>(15+22)/2</f>
        <v>18.5</v>
      </c>
      <c r="K330" s="3"/>
      <c r="L330" s="3"/>
      <c r="M330" s="21">
        <f>1-AVERAGE(N330:R330)</f>
        <v>0.6372469556935576</v>
      </c>
      <c r="N330" s="20">
        <f>ABS($D$2-F330)/F330</f>
        <v>0.62459546925566334</v>
      </c>
      <c r="O330" s="20">
        <f>ABS($E$2-G330)/G330</f>
        <v>0.35555555555555557</v>
      </c>
      <c r="P330" s="20"/>
      <c r="Q330" s="20">
        <f>ABS($H$2-J330)/J330</f>
        <v>0.10810810810810811</v>
      </c>
      <c r="R330" s="20"/>
    </row>
    <row r="331" spans="1:18" ht="15.75" customHeight="1" x14ac:dyDescent="0.2">
      <c r="A331">
        <v>267</v>
      </c>
      <c r="B331" s="9" t="s">
        <v>218</v>
      </c>
      <c r="E331" s="6" t="s">
        <v>40</v>
      </c>
      <c r="F331" s="3">
        <v>0.75</v>
      </c>
      <c r="G331" s="3">
        <v>19</v>
      </c>
      <c r="H331" s="3">
        <v>6.2</v>
      </c>
      <c r="I331" s="3"/>
      <c r="J331" s="3">
        <v>10</v>
      </c>
      <c r="K331" s="3"/>
      <c r="L331" s="3">
        <v>74</v>
      </c>
      <c r="M331" s="21">
        <f>1-AVERAGE(N331:R331)</f>
        <v>0.63534945471787574</v>
      </c>
      <c r="N331" s="20">
        <f>ABS($D$2-F331)/F331</f>
        <v>0.22666666666666657</v>
      </c>
      <c r="O331" s="20">
        <f>ABS($E$2-G331)/G331</f>
        <v>0.52631578947368418</v>
      </c>
      <c r="P331" s="20">
        <f>ABS($F$2-H331)/H331</f>
        <v>0</v>
      </c>
      <c r="Q331" s="20">
        <f>ABS($H$2-J331)/J331</f>
        <v>1.05</v>
      </c>
      <c r="R331" s="20">
        <f>ABS($J$2-L331)/L331</f>
        <v>2.0270270270270271E-2</v>
      </c>
    </row>
    <row r="332" spans="1:18" ht="15.75" customHeight="1" x14ac:dyDescent="0.2">
      <c r="A332">
        <v>446</v>
      </c>
      <c r="B332" s="9" t="s">
        <v>352</v>
      </c>
      <c r="E332" s="6" t="s">
        <v>40</v>
      </c>
      <c r="F332" s="3">
        <v>1</v>
      </c>
      <c r="G332" s="3">
        <v>31</v>
      </c>
      <c r="H332" s="3">
        <v>4.7</v>
      </c>
      <c r="I332" s="3"/>
      <c r="J332" s="3">
        <v>63</v>
      </c>
      <c r="K332" s="3"/>
      <c r="L332" s="3">
        <v>56</v>
      </c>
      <c r="M332" s="21">
        <f>1-AVERAGE(N332:R332)</f>
        <v>0.63470349489601374</v>
      </c>
      <c r="N332" s="20">
        <f>ABS($D$2-F332)/F332</f>
        <v>0.41999999999999993</v>
      </c>
      <c r="O332" s="20">
        <f>ABS($E$2-G332)/G332</f>
        <v>6.4516129032258063E-2</v>
      </c>
      <c r="P332" s="20">
        <f>ABS($F$2-H332)/H332</f>
        <v>0.31914893617021273</v>
      </c>
      <c r="Q332" s="20">
        <f>ABS($H$2-J332)/J332</f>
        <v>0.67460317460317465</v>
      </c>
      <c r="R332" s="20">
        <f>ABS($J$2-L332)/L332</f>
        <v>0.3482142857142857</v>
      </c>
    </row>
    <row r="333" spans="1:18" ht="15.75" customHeight="1" x14ac:dyDescent="0.2">
      <c r="A333">
        <v>133</v>
      </c>
      <c r="B333" s="1" t="s">
        <v>119</v>
      </c>
      <c r="C333" s="1"/>
      <c r="D333" s="2"/>
      <c r="E333" s="6" t="s">
        <v>41</v>
      </c>
      <c r="F333" s="3">
        <f>(0.44+0.49)/2</f>
        <v>0.46499999999999997</v>
      </c>
      <c r="G333" s="3">
        <f>(17+20)/2</f>
        <v>18.5</v>
      </c>
      <c r="H333" s="3">
        <f>(10.8+11.1)/2</f>
        <v>10.95</v>
      </c>
      <c r="I333" s="3"/>
      <c r="J333" s="3">
        <f>(16.7+17)/2</f>
        <v>16.850000000000001</v>
      </c>
      <c r="K333" s="3"/>
      <c r="L333" s="3"/>
      <c r="M333" s="21">
        <f>1-AVERAGE(N333:R333)</f>
        <v>0.63367835986376275</v>
      </c>
      <c r="N333" s="20">
        <f>ABS($D$2-F333)/F333</f>
        <v>0.24731182795698947</v>
      </c>
      <c r="O333" s="20">
        <f>ABS($E$2-G333)/G333</f>
        <v>0.56756756756756754</v>
      </c>
      <c r="P333" s="20">
        <f>ABS($F$2-H333)/H333</f>
        <v>0.43378995433789946</v>
      </c>
      <c r="Q333" s="20">
        <f>ABS($H$2-J333)/J333</f>
        <v>0.21661721068249248</v>
      </c>
      <c r="R333" s="20"/>
    </row>
    <row r="334" spans="1:18" ht="15.75" customHeight="1" x14ac:dyDescent="0.2">
      <c r="A334">
        <v>287</v>
      </c>
      <c r="B334" s="9" t="s">
        <v>230</v>
      </c>
      <c r="E334" s="6" t="s">
        <v>40</v>
      </c>
      <c r="F334" s="3">
        <f>(0.7+1)/2</f>
        <v>0.85</v>
      </c>
      <c r="G334" s="3">
        <f>(18+23)/2</f>
        <v>20.5</v>
      </c>
      <c r="H334" s="3">
        <f>(4+4.5)/2</f>
        <v>4.25</v>
      </c>
      <c r="I334" s="3"/>
      <c r="J334" s="3">
        <f>(13+16)/2</f>
        <v>14.5</v>
      </c>
      <c r="K334" s="3"/>
      <c r="L334" s="3">
        <f>(60+63)/2</f>
        <v>61.5</v>
      </c>
      <c r="M334" s="21">
        <f>1-AVERAGE(N334:R334)</f>
        <v>0.63349197711044059</v>
      </c>
      <c r="N334" s="20">
        <f>ABS($D$2-F334)/F334</f>
        <v>0.31764705882352934</v>
      </c>
      <c r="O334" s="20">
        <f>ABS($E$2-G334)/G334</f>
        <v>0.41463414634146339</v>
      </c>
      <c r="P334" s="20">
        <f>ABS($F$2-H334)/H334</f>
        <v>0.45882352941176474</v>
      </c>
      <c r="Q334" s="20">
        <f>ABS($H$2-J334)/J334</f>
        <v>0.41379310344827586</v>
      </c>
      <c r="R334" s="20">
        <f>ABS($J$2-L334)/L334</f>
        <v>0.22764227642276422</v>
      </c>
    </row>
    <row r="335" spans="1:18" ht="15.75" customHeight="1" x14ac:dyDescent="0.2">
      <c r="A335">
        <v>401</v>
      </c>
      <c r="B335" s="9" t="s">
        <v>320</v>
      </c>
      <c r="E335" s="6" t="s">
        <v>41</v>
      </c>
      <c r="F335" s="3">
        <f>(1.5+2.1)/2</f>
        <v>1.8</v>
      </c>
      <c r="G335" s="3">
        <f>(28+39)/2</f>
        <v>33.5</v>
      </c>
      <c r="H335" s="3">
        <f>(4.8+5.6)/2</f>
        <v>5.1999999999999993</v>
      </c>
      <c r="I335" s="3"/>
      <c r="J335" s="3">
        <f>(12+16)/2</f>
        <v>14</v>
      </c>
      <c r="K335" s="10"/>
      <c r="L335" s="10"/>
      <c r="M335" s="21">
        <f>1-AVERAGE(N335:R335)</f>
        <v>0.63282511435496502</v>
      </c>
      <c r="N335" s="20">
        <f>ABS($D$2-F335)/F335</f>
        <v>0.6777777777777777</v>
      </c>
      <c r="O335" s="20">
        <f>ABS($E$2-G335)/G335</f>
        <v>0.13432835820895522</v>
      </c>
      <c r="P335" s="20">
        <f>ABS($F$2-H335)/H335</f>
        <v>0.19230769230769251</v>
      </c>
      <c r="Q335" s="20">
        <f>ABS($H$2-J335)/J335</f>
        <v>0.4642857142857143</v>
      </c>
      <c r="R335" s="20"/>
    </row>
    <row r="336" spans="1:18" ht="15.75" customHeight="1" x14ac:dyDescent="0.2">
      <c r="A336">
        <v>808</v>
      </c>
      <c r="B336" s="1" t="s">
        <v>326</v>
      </c>
      <c r="C336" s="1"/>
      <c r="D336" s="2"/>
      <c r="E336" s="6" t="s">
        <v>495</v>
      </c>
      <c r="F336" s="1">
        <v>1.8</v>
      </c>
      <c r="G336" s="4">
        <v>26</v>
      </c>
      <c r="H336" s="4">
        <v>4.5</v>
      </c>
      <c r="I336" s="4"/>
      <c r="J336" s="4">
        <v>20</v>
      </c>
      <c r="K336" s="4"/>
      <c r="L336" s="4">
        <v>46</v>
      </c>
      <c r="M336" s="21">
        <f>1-AVERAGE(N336:R336)</f>
        <v>0.63255109624674843</v>
      </c>
      <c r="N336" s="20">
        <f>ABS($D$2-F336)/F336</f>
        <v>0.6777777777777777</v>
      </c>
      <c r="O336" s="20">
        <f>ABS($E$2-G336)/G336</f>
        <v>0.11538461538461539</v>
      </c>
      <c r="P336" s="20">
        <f>ABS($F$2-H336)/H336</f>
        <v>0.37777777777777782</v>
      </c>
      <c r="Q336" s="20">
        <f>ABS($H$2-J336)/J336</f>
        <v>2.5000000000000001E-2</v>
      </c>
      <c r="R336" s="20">
        <f>ABS($J$2-L336)/L336</f>
        <v>0.64130434782608692</v>
      </c>
    </row>
    <row r="337" spans="1:18" ht="15.75" customHeight="1" x14ac:dyDescent="0.2">
      <c r="A337">
        <v>515</v>
      </c>
      <c r="B337" s="9" t="s">
        <v>404</v>
      </c>
      <c r="E337" s="6" t="s">
        <v>40</v>
      </c>
      <c r="F337" s="3">
        <v>2</v>
      </c>
      <c r="G337" s="3">
        <v>50</v>
      </c>
      <c r="H337" s="3">
        <v>5</v>
      </c>
      <c r="I337" s="3"/>
      <c r="J337" s="3">
        <v>21</v>
      </c>
      <c r="K337" s="3"/>
      <c r="L337" s="3">
        <v>52</v>
      </c>
      <c r="M337" s="21">
        <f>1-AVERAGE(N337:R337)</f>
        <v>0.63085347985347995</v>
      </c>
      <c r="N337" s="20">
        <f>ABS($D$2-F337)/F337</f>
        <v>0.71</v>
      </c>
      <c r="O337" s="20">
        <f>ABS($E$2-G337)/G337</f>
        <v>0.42</v>
      </c>
      <c r="P337" s="20">
        <f>ABS($F$2-H337)/H337</f>
        <v>0.24000000000000005</v>
      </c>
      <c r="Q337" s="20">
        <f>ABS($H$2-J337)/J337</f>
        <v>2.3809523809523808E-2</v>
      </c>
      <c r="R337" s="20">
        <f>ABS($J$2-L337)/L337</f>
        <v>0.45192307692307693</v>
      </c>
    </row>
    <row r="338" spans="1:18" ht="15.75" customHeight="1" x14ac:dyDescent="0.2">
      <c r="A338">
        <v>320</v>
      </c>
      <c r="B338" s="9" t="s">
        <v>255</v>
      </c>
      <c r="E338" s="6" t="s">
        <v>40</v>
      </c>
      <c r="F338" s="3">
        <v>0.75</v>
      </c>
      <c r="G338" s="3">
        <v>17</v>
      </c>
      <c r="H338" s="3">
        <v>7.5</v>
      </c>
      <c r="I338" s="3"/>
      <c r="J338" s="3">
        <v>17</v>
      </c>
      <c r="K338" s="3"/>
      <c r="L338" s="3">
        <v>49</v>
      </c>
      <c r="M338" s="21">
        <f>1-AVERAGE(N338:R338)</f>
        <v>0.62948379351740702</v>
      </c>
      <c r="N338" s="20">
        <f>ABS($D$2-F338)/F338</f>
        <v>0.22666666666666657</v>
      </c>
      <c r="O338" s="20">
        <f>ABS($E$2-G338)/G338</f>
        <v>0.70588235294117652</v>
      </c>
      <c r="P338" s="20">
        <f>ABS($F$2-H338)/H338</f>
        <v>0.17333333333333331</v>
      </c>
      <c r="Q338" s="20">
        <f>ABS($H$2-J338)/J338</f>
        <v>0.20588235294117646</v>
      </c>
      <c r="R338" s="20">
        <f>ABS($J$2-L338)/L338</f>
        <v>0.54081632653061229</v>
      </c>
    </row>
    <row r="339" spans="1:18" ht="15.75" customHeight="1" x14ac:dyDescent="0.2">
      <c r="A339">
        <v>410</v>
      </c>
      <c r="B339" s="9" t="s">
        <v>326</v>
      </c>
      <c r="E339" s="6" t="s">
        <v>41</v>
      </c>
      <c r="F339" s="3">
        <f>(1.5+2)/2</f>
        <v>1.75</v>
      </c>
      <c r="G339" s="3">
        <v>33</v>
      </c>
      <c r="H339" s="3">
        <v>4</v>
      </c>
      <c r="I339" s="3"/>
      <c r="J339" s="3">
        <v>24</v>
      </c>
      <c r="K339" s="10"/>
      <c r="L339" s="10"/>
      <c r="M339" s="21">
        <f>1-AVERAGE(N339:R339)</f>
        <v>0.62859577922077925</v>
      </c>
      <c r="N339" s="20">
        <f>ABS($D$2-F339)/F339</f>
        <v>0.66857142857142848</v>
      </c>
      <c r="O339" s="20">
        <f>ABS($E$2-G339)/G339</f>
        <v>0.12121212121212122</v>
      </c>
      <c r="P339" s="20">
        <f>ABS($F$2-H339)/H339</f>
        <v>0.55000000000000004</v>
      </c>
      <c r="Q339" s="20">
        <f>ABS($H$2-J339)/J339</f>
        <v>0.14583333333333334</v>
      </c>
      <c r="R339" s="20"/>
    </row>
    <row r="340" spans="1:18" ht="15.75" customHeight="1" x14ac:dyDescent="0.2">
      <c r="A340">
        <v>403</v>
      </c>
      <c r="B340" s="9" t="s">
        <v>321</v>
      </c>
      <c r="C340" s="9" t="s">
        <v>322</v>
      </c>
      <c r="E340" s="6" t="s">
        <v>41</v>
      </c>
      <c r="F340" s="3">
        <v>3.8</v>
      </c>
      <c r="G340" s="3">
        <f>(50+60)/2</f>
        <v>55</v>
      </c>
      <c r="H340" s="3">
        <v>6</v>
      </c>
      <c r="I340" s="3"/>
      <c r="J340" s="3">
        <f>(14+22)/2</f>
        <v>18</v>
      </c>
      <c r="K340" s="10"/>
      <c r="L340" s="10"/>
      <c r="M340" s="21">
        <f>1-AVERAGE(N340:R340)</f>
        <v>0.62692052099946838</v>
      </c>
      <c r="N340" s="20">
        <f>ABS($D$2-F340)/F340</f>
        <v>0.84736842105263155</v>
      </c>
      <c r="O340" s="20">
        <f>ABS($E$2-G340)/G340</f>
        <v>0.47272727272727272</v>
      </c>
      <c r="P340" s="20">
        <f>ABS($F$2-H340)/H340</f>
        <v>3.3333333333333361E-2</v>
      </c>
      <c r="Q340" s="20">
        <f>ABS($H$2-J340)/J340</f>
        <v>0.1388888888888889</v>
      </c>
      <c r="R340" s="20"/>
    </row>
    <row r="341" spans="1:18" ht="15.75" customHeight="1" x14ac:dyDescent="0.2">
      <c r="A341">
        <v>755</v>
      </c>
      <c r="B341" s="1" t="s">
        <v>600</v>
      </c>
      <c r="C341" s="1"/>
      <c r="D341" s="2"/>
      <c r="E341" s="6" t="s">
        <v>495</v>
      </c>
      <c r="F341" s="1">
        <v>0.5</v>
      </c>
      <c r="G341" s="4">
        <v>54</v>
      </c>
      <c r="H341" s="4">
        <v>7</v>
      </c>
      <c r="I341" s="4"/>
      <c r="J341" s="4">
        <v>10</v>
      </c>
      <c r="K341" s="4"/>
      <c r="L341" s="4">
        <v>82</v>
      </c>
      <c r="M341" s="21">
        <f>1-AVERAGE(N341:R341)</f>
        <v>0.62669660601367916</v>
      </c>
      <c r="N341" s="20">
        <f>ABS($D$2-F341)/F341</f>
        <v>0.16000000000000014</v>
      </c>
      <c r="O341" s="20">
        <f>ABS($E$2-G341)/G341</f>
        <v>0.46296296296296297</v>
      </c>
      <c r="P341" s="20">
        <f>ABS($F$2-H341)/H341</f>
        <v>0.11428571428571425</v>
      </c>
      <c r="Q341" s="20">
        <f>ABS($H$2-J341)/J341</f>
        <v>1.05</v>
      </c>
      <c r="R341" s="20">
        <f>ABS($J$2-L341)/L341</f>
        <v>7.926829268292683E-2</v>
      </c>
    </row>
    <row r="342" spans="1:18" ht="15.75" customHeight="1" x14ac:dyDescent="0.2">
      <c r="A342">
        <v>220</v>
      </c>
      <c r="B342" s="9" t="s">
        <v>187</v>
      </c>
      <c r="C342" s="9" t="s">
        <v>188</v>
      </c>
      <c r="E342" s="6" t="s">
        <v>41</v>
      </c>
      <c r="F342" s="3">
        <f>(0.62+0.79)/2</f>
        <v>0.70500000000000007</v>
      </c>
      <c r="G342" s="3">
        <f>(16+18)/2</f>
        <v>17</v>
      </c>
      <c r="H342" s="3">
        <f>(4.6+4.9)/2</f>
        <v>4.75</v>
      </c>
      <c r="I342" s="3"/>
      <c r="J342" s="3">
        <f>(26+33)/2</f>
        <v>29.5</v>
      </c>
      <c r="K342" s="3"/>
      <c r="L342" s="3"/>
      <c r="M342" s="21">
        <f>1-AVERAGE(N342:R342)</f>
        <v>0.62661619471559193</v>
      </c>
      <c r="N342" s="20">
        <f>ABS($D$2-F342)/F342</f>
        <v>0.17730496453900707</v>
      </c>
      <c r="O342" s="20">
        <f>ABS($E$2-G342)/G342</f>
        <v>0.70588235294117652</v>
      </c>
      <c r="P342" s="20">
        <f>ABS($F$2-H342)/H342</f>
        <v>0.3052631578947369</v>
      </c>
      <c r="Q342" s="20">
        <f>ABS($H$2-J342)/J342</f>
        <v>0.30508474576271188</v>
      </c>
      <c r="R342" s="20"/>
    </row>
    <row r="343" spans="1:18" ht="15.75" customHeight="1" x14ac:dyDescent="0.2">
      <c r="A343">
        <v>328</v>
      </c>
      <c r="B343" s="9" t="s">
        <v>260</v>
      </c>
      <c r="E343" s="6" t="s">
        <v>41</v>
      </c>
      <c r="F343" s="3">
        <f>(0.97+1.11)/2</f>
        <v>1.04</v>
      </c>
      <c r="G343" s="3">
        <f>(72+80)/2</f>
        <v>76</v>
      </c>
      <c r="H343" s="3">
        <f>(4+4.8)/2</f>
        <v>4.4000000000000004</v>
      </c>
      <c r="I343" s="3"/>
      <c r="J343" s="3">
        <f>(19+21)/2</f>
        <v>20</v>
      </c>
      <c r="K343" s="3"/>
      <c r="L343" s="3"/>
      <c r="M343" s="21">
        <f>1-AVERAGE(N343:R343)</f>
        <v>0.62629508649245502</v>
      </c>
      <c r="N343" s="20">
        <f>ABS($D$2-F343)/F343</f>
        <v>0.44230769230769224</v>
      </c>
      <c r="O343" s="20">
        <f>ABS($E$2-G343)/G343</f>
        <v>0.61842105263157898</v>
      </c>
      <c r="P343" s="20">
        <f>ABS($F$2-H343)/H343</f>
        <v>0.40909090909090901</v>
      </c>
      <c r="Q343" s="20">
        <f>ABS($H$2-J343)/J343</f>
        <v>2.5000000000000001E-2</v>
      </c>
      <c r="R343" s="20"/>
    </row>
    <row r="344" spans="1:18" ht="15.75" customHeight="1" x14ac:dyDescent="0.2">
      <c r="A344">
        <v>78</v>
      </c>
      <c r="B344" s="1" t="s">
        <v>88</v>
      </c>
      <c r="C344" s="1"/>
      <c r="D344" s="2"/>
      <c r="E344" s="6" t="s">
        <v>40</v>
      </c>
      <c r="F344" s="3">
        <f>(0.26+0.5)/2</f>
        <v>0.38</v>
      </c>
      <c r="G344" s="3">
        <f>(11+26)/2</f>
        <v>18.5</v>
      </c>
      <c r="H344" s="3">
        <f>(2.6+6.2)/2</f>
        <v>4.4000000000000004</v>
      </c>
      <c r="I344" s="3"/>
      <c r="J344" s="3">
        <f>(11+21)/2</f>
        <v>16</v>
      </c>
      <c r="K344" s="3"/>
      <c r="L344" s="3">
        <f>(78+88)/2</f>
        <v>83</v>
      </c>
      <c r="M344" s="21">
        <f>1-AVERAGE(N344:R344)</f>
        <v>0.62508285761694127</v>
      </c>
      <c r="N344" s="20">
        <f>ABS($D$2-F344)/F344</f>
        <v>0.5263157894736844</v>
      </c>
      <c r="O344" s="20">
        <f>ABS($E$2-G344)/G344</f>
        <v>0.56756756756756754</v>
      </c>
      <c r="P344" s="20">
        <f>ABS($F$2-H344)/H344</f>
        <v>0.40909090909090901</v>
      </c>
      <c r="Q344" s="20">
        <f>ABS($H$2-J344)/J344</f>
        <v>0.28125</v>
      </c>
      <c r="R344" s="20">
        <f>ABS($J$2-L344)/L344</f>
        <v>9.036144578313253E-2</v>
      </c>
    </row>
    <row r="345" spans="1:18" ht="15.75" customHeight="1" x14ac:dyDescent="0.2">
      <c r="A345">
        <v>805</v>
      </c>
      <c r="B345" s="1" t="s">
        <v>639</v>
      </c>
      <c r="C345" s="1" t="s">
        <v>640</v>
      </c>
      <c r="D345" s="2"/>
      <c r="E345" s="6" t="s">
        <v>482</v>
      </c>
      <c r="F345" s="1">
        <v>1.7</v>
      </c>
      <c r="G345" s="4">
        <v>27</v>
      </c>
      <c r="H345" s="4">
        <v>4.2</v>
      </c>
      <c r="I345" s="4"/>
      <c r="J345" s="4">
        <v>29</v>
      </c>
      <c r="K345" s="4"/>
      <c r="L345" s="4"/>
      <c r="M345" s="21">
        <f>1-AVERAGE(N345:R345)</f>
        <v>0.62445211801195577</v>
      </c>
      <c r="N345" s="20">
        <f>ABS($D$2-F345)/F345</f>
        <v>0.6588235294117647</v>
      </c>
      <c r="O345" s="20">
        <f>ABS($E$2-G345)/G345</f>
        <v>7.407407407407407E-2</v>
      </c>
      <c r="P345" s="20">
        <f>ABS($F$2-H345)/H345</f>
        <v>0.47619047619047616</v>
      </c>
      <c r="Q345" s="20">
        <f>ABS($H$2-J345)/J345</f>
        <v>0.29310344827586204</v>
      </c>
      <c r="R345" s="20"/>
    </row>
    <row r="346" spans="1:18" ht="15.75" customHeight="1" x14ac:dyDescent="0.2">
      <c r="A346">
        <v>624</v>
      </c>
      <c r="B346" s="6" t="s">
        <v>496</v>
      </c>
      <c r="C346" s="6" t="s">
        <v>497</v>
      </c>
      <c r="D346" s="7"/>
      <c r="E346" s="6" t="s">
        <v>495</v>
      </c>
      <c r="F346" s="1">
        <v>0.66</v>
      </c>
      <c r="G346" s="4">
        <v>30</v>
      </c>
      <c r="H346" s="4">
        <v>7.3</v>
      </c>
      <c r="I346" s="4"/>
      <c r="J346" s="4">
        <v>8.1999999999999993</v>
      </c>
      <c r="K346" s="4"/>
      <c r="L346" s="4">
        <v>70</v>
      </c>
      <c r="M346" s="21">
        <f>1-AVERAGE(N346:R346)</f>
        <v>0.62323963707525354</v>
      </c>
      <c r="N346" s="20">
        <f>ABS($D$2-F346)/F346</f>
        <v>0.12121212121212115</v>
      </c>
      <c r="O346" s="20">
        <f>ABS($E$2-G346)/G346</f>
        <v>3.3333333333333333E-2</v>
      </c>
      <c r="P346" s="20">
        <f>ABS($F$2-H346)/H346</f>
        <v>0.15068493150684928</v>
      </c>
      <c r="Q346" s="20">
        <f>ABS($H$2-J346)/J346</f>
        <v>1.5000000000000002</v>
      </c>
      <c r="R346" s="20">
        <f>ABS($J$2-L346)/L346</f>
        <v>7.857142857142857E-2</v>
      </c>
    </row>
    <row r="347" spans="1:18" ht="15.75" customHeight="1" x14ac:dyDescent="0.2">
      <c r="A347">
        <v>806</v>
      </c>
      <c r="B347" s="1" t="s">
        <v>641</v>
      </c>
      <c r="C347" s="1"/>
      <c r="D347" s="2"/>
      <c r="E347" s="6" t="s">
        <v>495</v>
      </c>
      <c r="F347" s="1">
        <v>1.6</v>
      </c>
      <c r="G347" s="4">
        <v>24</v>
      </c>
      <c r="H347" s="4">
        <v>4.5</v>
      </c>
      <c r="I347" s="4"/>
      <c r="J347" s="4">
        <v>31</v>
      </c>
      <c r="K347" s="4"/>
      <c r="L347" s="4">
        <v>57</v>
      </c>
      <c r="M347" s="21">
        <f>1-AVERAGE(N347:R347)</f>
        <v>0.62262356159215249</v>
      </c>
      <c r="N347" s="20">
        <f>ABS($D$2-F347)/F347</f>
        <v>0.63749999999999996</v>
      </c>
      <c r="O347" s="20">
        <f>ABS($E$2-G347)/G347</f>
        <v>0.20833333333333334</v>
      </c>
      <c r="P347" s="20">
        <f>ABS($F$2-H347)/H347</f>
        <v>0.37777777777777782</v>
      </c>
      <c r="Q347" s="20">
        <f>ABS($H$2-J347)/J347</f>
        <v>0.33870967741935482</v>
      </c>
      <c r="R347" s="20">
        <f>ABS($J$2-L347)/L347</f>
        <v>0.32456140350877194</v>
      </c>
    </row>
    <row r="348" spans="1:18" ht="15.75" customHeight="1" x14ac:dyDescent="0.2">
      <c r="A348">
        <v>518</v>
      </c>
      <c r="B348" s="9" t="s">
        <v>406</v>
      </c>
      <c r="E348" s="6" t="s">
        <v>40</v>
      </c>
      <c r="F348" s="3">
        <v>1.6</v>
      </c>
      <c r="G348" s="3">
        <v>30</v>
      </c>
      <c r="H348" s="3">
        <f>(8+12)/2</f>
        <v>10</v>
      </c>
      <c r="I348" s="3"/>
      <c r="J348" s="3">
        <f>(30+40)/2</f>
        <v>35</v>
      </c>
      <c r="K348" s="3"/>
      <c r="L348" s="3">
        <v>53</v>
      </c>
      <c r="M348" s="21">
        <f>1-AVERAGE(N348:R348)</f>
        <v>0.62207053009883195</v>
      </c>
      <c r="N348" s="20">
        <f>ABS($D$2-F348)/F348</f>
        <v>0.63749999999999996</v>
      </c>
      <c r="O348" s="20">
        <f>ABS($E$2-G348)/G348</f>
        <v>3.3333333333333333E-2</v>
      </c>
      <c r="P348" s="20">
        <f>ABS($F$2-H348)/H348</f>
        <v>0.38</v>
      </c>
      <c r="Q348" s="20">
        <f>ABS($H$2-J348)/J348</f>
        <v>0.41428571428571431</v>
      </c>
      <c r="R348" s="20">
        <f>ABS($J$2-L348)/L348</f>
        <v>0.42452830188679247</v>
      </c>
    </row>
    <row r="349" spans="1:18" ht="15.75" customHeight="1" x14ac:dyDescent="0.2">
      <c r="A349">
        <v>922</v>
      </c>
      <c r="B349" s="1" t="s">
        <v>380</v>
      </c>
      <c r="C349" s="1" t="s">
        <v>730</v>
      </c>
      <c r="D349" s="2"/>
      <c r="E349" s="6" t="s">
        <v>482</v>
      </c>
      <c r="F349" s="1">
        <f>(1.2+1.5)/2</f>
        <v>1.35</v>
      </c>
      <c r="G349" s="4">
        <v>41</v>
      </c>
      <c r="H349" s="4">
        <v>5.5</v>
      </c>
      <c r="I349" s="4"/>
      <c r="J349" s="4">
        <v>43</v>
      </c>
      <c r="K349" s="4"/>
      <c r="L349" s="4"/>
      <c r="M349" s="21">
        <f>1-AVERAGE(N349:R349)</f>
        <v>0.62160454039353641</v>
      </c>
      <c r="N349" s="20">
        <f>ABS($D$2-F349)/F349</f>
        <v>0.57037037037037031</v>
      </c>
      <c r="O349" s="20">
        <f>ABS($E$2-G349)/G349</f>
        <v>0.29268292682926828</v>
      </c>
      <c r="P349" s="20">
        <f>ABS($F$2-H349)/H349</f>
        <v>0.12727272727272732</v>
      </c>
      <c r="Q349" s="20">
        <f>ABS($H$2-J349)/J349</f>
        <v>0.52325581395348841</v>
      </c>
      <c r="R349" s="20"/>
    </row>
    <row r="350" spans="1:18" ht="15.75" customHeight="1" x14ac:dyDescent="0.2">
      <c r="A350">
        <v>930</v>
      </c>
      <c r="B350" s="1" t="s">
        <v>737</v>
      </c>
      <c r="C350" s="1"/>
      <c r="D350" s="2"/>
      <c r="E350" s="6" t="s">
        <v>495</v>
      </c>
      <c r="F350" s="1">
        <v>0.7</v>
      </c>
      <c r="G350" s="4">
        <v>28</v>
      </c>
      <c r="H350" s="4">
        <v>4.7</v>
      </c>
      <c r="I350" s="4"/>
      <c r="J350" s="4">
        <v>24</v>
      </c>
      <c r="K350" s="4"/>
      <c r="L350" s="4">
        <v>34</v>
      </c>
      <c r="M350" s="21">
        <f>1-AVERAGE(N350:R350)</f>
        <v>0.62145732761189587</v>
      </c>
      <c r="N350" s="20">
        <f>ABS($D$2-F350)/F350</f>
        <v>0.17142857142857126</v>
      </c>
      <c r="O350" s="20">
        <f>ABS($E$2-G350)/G350</f>
        <v>3.5714285714285712E-2</v>
      </c>
      <c r="P350" s="20">
        <f>ABS($F$2-H350)/H350</f>
        <v>0.31914893617021273</v>
      </c>
      <c r="Q350" s="20">
        <f>ABS($H$2-J350)/J350</f>
        <v>0.14583333333333334</v>
      </c>
      <c r="R350" s="20">
        <f>ABS($J$2-L350)/L350</f>
        <v>1.2205882352941178</v>
      </c>
    </row>
    <row r="351" spans="1:18" ht="15.75" customHeight="1" x14ac:dyDescent="0.2">
      <c r="A351">
        <v>405</v>
      </c>
      <c r="B351" s="9" t="s">
        <v>324</v>
      </c>
      <c r="E351" s="6" t="s">
        <v>40</v>
      </c>
      <c r="F351" s="3">
        <v>4.8</v>
      </c>
      <c r="G351" s="3">
        <v>30</v>
      </c>
      <c r="H351" s="3">
        <v>5</v>
      </c>
      <c r="I351" s="3"/>
      <c r="J351" s="3">
        <v>20</v>
      </c>
      <c r="K351" s="3"/>
      <c r="L351" s="3">
        <v>44</v>
      </c>
      <c r="M351" s="21">
        <f>1-AVERAGE(N351:R351)</f>
        <v>0.62131818181818177</v>
      </c>
      <c r="N351" s="20">
        <f>ABS($D$2-F351)/F351</f>
        <v>0.87916666666666665</v>
      </c>
      <c r="O351" s="20">
        <f>ABS($E$2-G351)/G351</f>
        <v>3.3333333333333333E-2</v>
      </c>
      <c r="P351" s="20">
        <f>ABS($F$2-H351)/H351</f>
        <v>0.24000000000000005</v>
      </c>
      <c r="Q351" s="20">
        <f>ABS($H$2-J351)/J351</f>
        <v>2.5000000000000001E-2</v>
      </c>
      <c r="R351" s="20">
        <f>ABS($J$2-L351)/L351</f>
        <v>0.71590909090909094</v>
      </c>
    </row>
    <row r="352" spans="1:18" ht="15.75" customHeight="1" x14ac:dyDescent="0.2">
      <c r="A352">
        <v>102</v>
      </c>
      <c r="B352" s="1" t="s">
        <v>103</v>
      </c>
      <c r="C352" s="1"/>
      <c r="D352" s="2"/>
      <c r="E352" s="6" t="s">
        <v>40</v>
      </c>
      <c r="F352" s="3">
        <f>(0.54+1.02)/2</f>
        <v>0.78</v>
      </c>
      <c r="G352" s="3">
        <f>(96+197)/2</f>
        <v>146.5</v>
      </c>
      <c r="H352" s="3">
        <f>(3.8+7.7)/2</f>
        <v>5.75</v>
      </c>
      <c r="I352" s="3"/>
      <c r="J352" s="3">
        <f>(10.4+13.1)/2</f>
        <v>11.75</v>
      </c>
      <c r="K352" s="3"/>
      <c r="L352" s="3">
        <f>(69+79)/2</f>
        <v>74</v>
      </c>
      <c r="M352" s="21">
        <f>1-AVERAGE(N352:R352)</f>
        <v>0.61966599422409208</v>
      </c>
      <c r="N352" s="20">
        <f>ABS($D$2-F352)/F352</f>
        <v>0.25641025641025633</v>
      </c>
      <c r="O352" s="20">
        <f>ABS($E$2-G352)/G352</f>
        <v>0.80204778156996592</v>
      </c>
      <c r="P352" s="20">
        <f>ABS($F$2-H352)/H352</f>
        <v>7.8260869565217425E-2</v>
      </c>
      <c r="Q352" s="20">
        <f>ABS($H$2-J352)/J352</f>
        <v>0.74468085106382975</v>
      </c>
      <c r="R352" s="20">
        <f>ABS($J$2-L352)/L352</f>
        <v>2.0270270270270271E-2</v>
      </c>
    </row>
    <row r="353" spans="1:18" ht="15.75" customHeight="1" x14ac:dyDescent="0.2">
      <c r="A353">
        <v>750</v>
      </c>
      <c r="B353" s="1" t="s">
        <v>597</v>
      </c>
      <c r="C353" s="1"/>
      <c r="D353" s="2"/>
      <c r="E353" s="6" t="s">
        <v>482</v>
      </c>
      <c r="F353" s="1">
        <v>43</v>
      </c>
      <c r="G353" s="4">
        <v>29</v>
      </c>
      <c r="H353" s="4">
        <v>6.1</v>
      </c>
      <c r="I353" s="4"/>
      <c r="J353" s="4">
        <v>13.5</v>
      </c>
      <c r="K353" s="4"/>
      <c r="L353" s="4"/>
      <c r="M353" s="21">
        <f>1-AVERAGE(N353:R353)</f>
        <v>0.6196441027378885</v>
      </c>
      <c r="N353" s="20">
        <f>ABS($D$2-F353)/F353</f>
        <v>0.98651162790697677</v>
      </c>
      <c r="O353" s="20">
        <f>ABS($E$2-G353)/G353</f>
        <v>0</v>
      </c>
      <c r="P353" s="20">
        <f>ABS($F$2-H353)/H353</f>
        <v>1.6393442622950907E-2</v>
      </c>
      <c r="Q353" s="20">
        <f>ABS($H$2-J353)/J353</f>
        <v>0.51851851851851849</v>
      </c>
      <c r="R353" s="20"/>
    </row>
    <row r="354" spans="1:18" ht="15.75" customHeight="1" x14ac:dyDescent="0.2">
      <c r="A354">
        <v>807</v>
      </c>
      <c r="B354" s="1" t="s">
        <v>641</v>
      </c>
      <c r="C354" s="1"/>
      <c r="D354" s="2"/>
      <c r="E354" s="6" t="s">
        <v>482</v>
      </c>
      <c r="F354" s="1">
        <v>1.5</v>
      </c>
      <c r="G354" s="4">
        <v>26</v>
      </c>
      <c r="H354" s="4">
        <v>4.2</v>
      </c>
      <c r="I354" s="4"/>
      <c r="J354" s="4">
        <v>30</v>
      </c>
      <c r="K354" s="4"/>
      <c r="L354" s="4"/>
      <c r="M354" s="21">
        <f>1-AVERAGE(N354:R354)</f>
        <v>0.61960622710622704</v>
      </c>
      <c r="N354" s="20">
        <f>ABS($D$2-F354)/F354</f>
        <v>0.61333333333333329</v>
      </c>
      <c r="O354" s="20">
        <f>ABS($E$2-G354)/G354</f>
        <v>0.11538461538461539</v>
      </c>
      <c r="P354" s="20">
        <f>ABS($F$2-H354)/H354</f>
        <v>0.47619047619047616</v>
      </c>
      <c r="Q354" s="20">
        <f>ABS($H$2-J354)/J354</f>
        <v>0.31666666666666665</v>
      </c>
      <c r="R354" s="20"/>
    </row>
    <row r="355" spans="1:18" ht="15.75" customHeight="1" x14ac:dyDescent="0.2">
      <c r="A355">
        <v>57</v>
      </c>
      <c r="B355" s="1" t="s">
        <v>73</v>
      </c>
      <c r="C355" s="1"/>
      <c r="D355" s="2"/>
      <c r="E355" s="6" t="s">
        <v>40</v>
      </c>
      <c r="F355" s="3">
        <f>(0.65+0.7)/2</f>
        <v>0.67500000000000004</v>
      </c>
      <c r="G355" s="3">
        <f>(26+28)/2</f>
        <v>27</v>
      </c>
      <c r="H355" s="3">
        <f>(6.5+6.9)/2</f>
        <v>6.7</v>
      </c>
      <c r="I355" s="3"/>
      <c r="J355" s="3">
        <f>(8+10)/2</f>
        <v>9</v>
      </c>
      <c r="K355" s="3"/>
      <c r="L355" s="3">
        <f>(54+59)/2</f>
        <v>56.5</v>
      </c>
      <c r="M355" s="21">
        <f>1-AVERAGE(N355:R355)</f>
        <v>0.61929947117901152</v>
      </c>
      <c r="N355" s="20">
        <f>ABS($D$2-F355)/F355</f>
        <v>0.14074074074074069</v>
      </c>
      <c r="O355" s="20">
        <f>ABS($E$2-G355)/G355</f>
        <v>7.407407407407407E-2</v>
      </c>
      <c r="P355" s="20">
        <f>ABS($F$2-H355)/H355</f>
        <v>7.4626865671641784E-2</v>
      </c>
      <c r="Q355" s="20">
        <f>ABS($H$2-J355)/J355</f>
        <v>1.2777777777777777</v>
      </c>
      <c r="R355" s="20">
        <f>ABS($J$2-L355)/L355</f>
        <v>0.33628318584070799</v>
      </c>
    </row>
    <row r="356" spans="1:18" ht="15.75" customHeight="1" x14ac:dyDescent="0.2">
      <c r="A356">
        <v>711</v>
      </c>
      <c r="B356" s="1" t="s">
        <v>94</v>
      </c>
      <c r="C356" s="1"/>
      <c r="D356" s="2"/>
      <c r="E356" s="6" t="s">
        <v>482</v>
      </c>
      <c r="F356" s="1">
        <v>0.7</v>
      </c>
      <c r="G356" s="1">
        <v>35</v>
      </c>
      <c r="H356" s="1">
        <v>6.5</v>
      </c>
      <c r="I356" s="4"/>
      <c r="J356" s="1">
        <v>9.6</v>
      </c>
      <c r="K356" s="1"/>
      <c r="L356" s="4"/>
      <c r="M356" s="21">
        <f>1-AVERAGE(N356:R356)</f>
        <v>0.61889308608058613</v>
      </c>
      <c r="N356" s="20">
        <f>ABS($D$2-F356)/F356</f>
        <v>0.17142857142857126</v>
      </c>
      <c r="O356" s="20">
        <f>ABS($E$2-G356)/G356</f>
        <v>0.17142857142857143</v>
      </c>
      <c r="P356" s="20">
        <f>ABS($F$2-H356)/H356</f>
        <v>4.6153846153846129E-2</v>
      </c>
      <c r="Q356" s="20">
        <f>ABS($H$2-J356)/J356</f>
        <v>1.1354166666666667</v>
      </c>
      <c r="R356" s="20"/>
    </row>
    <row r="357" spans="1:18" ht="15.75" customHeight="1" x14ac:dyDescent="0.2">
      <c r="A357">
        <v>26</v>
      </c>
      <c r="B357" s="6" t="s">
        <v>57</v>
      </c>
      <c r="C357" s="6"/>
      <c r="D357" s="7"/>
      <c r="E357" s="6" t="s">
        <v>40</v>
      </c>
      <c r="F357" s="3">
        <f>(0.43+0.84)/2</f>
        <v>0.63500000000000001</v>
      </c>
      <c r="G357" s="3">
        <f>(26+38)/2</f>
        <v>32</v>
      </c>
      <c r="H357" s="3">
        <f>(4.9+6.5)/2</f>
        <v>5.7</v>
      </c>
      <c r="I357" s="3"/>
      <c r="J357" s="3">
        <f>(6.5+10)/2</f>
        <v>8.25</v>
      </c>
      <c r="K357" s="3"/>
      <c r="L357" s="3">
        <f>(62+69)/2</f>
        <v>65.5</v>
      </c>
      <c r="M357" s="21">
        <f>1-AVERAGE(N357:R357)</f>
        <v>0.6188792575904728</v>
      </c>
      <c r="N357" s="20">
        <f>ABS($D$2-F357)/F357</f>
        <v>8.6614173228346358E-2</v>
      </c>
      <c r="O357" s="20">
        <f>ABS($E$2-G357)/G357</f>
        <v>9.375E-2</v>
      </c>
      <c r="P357" s="20">
        <f>ABS($F$2-H357)/H357</f>
        <v>8.771929824561403E-2</v>
      </c>
      <c r="Q357" s="20">
        <f>ABS($H$2-J357)/J357</f>
        <v>1.4848484848484849</v>
      </c>
      <c r="R357" s="20">
        <f>ABS($J$2-L357)/L357</f>
        <v>0.15267175572519084</v>
      </c>
    </row>
    <row r="358" spans="1:18" ht="15.75" customHeight="1" x14ac:dyDescent="0.2">
      <c r="A358">
        <v>58</v>
      </c>
      <c r="B358" s="1" t="s">
        <v>73</v>
      </c>
      <c r="C358" s="1"/>
      <c r="D358" s="2"/>
      <c r="E358" s="6" t="s">
        <v>41</v>
      </c>
      <c r="F358" s="3">
        <f>(0.5+0.65)/2</f>
        <v>0.57499999999999996</v>
      </c>
      <c r="G358" s="3">
        <f>(29+30)/2</f>
        <v>29.5</v>
      </c>
      <c r="H358" s="3">
        <f>(6.7+6.9)/2</f>
        <v>6.8000000000000007</v>
      </c>
      <c r="I358" s="3"/>
      <c r="J358" s="3">
        <f>(8+9)/2</f>
        <v>8.5</v>
      </c>
      <c r="K358" s="3"/>
      <c r="L358" s="3"/>
      <c r="M358" s="21">
        <f>1-AVERAGE(N358:R358)</f>
        <v>0.61858879882092843</v>
      </c>
      <c r="N358" s="20">
        <f>ABS($D$2-F358)/F358</f>
        <v>8.6956521739132448E-3</v>
      </c>
      <c r="O358" s="20">
        <f>ABS($E$2-G358)/G358</f>
        <v>1.6949152542372881E-2</v>
      </c>
      <c r="P358" s="20">
        <f>ABS($F$2-H358)/H358</f>
        <v>8.8235294117647134E-2</v>
      </c>
      <c r="Q358" s="20">
        <f>ABS($H$2-J358)/J358</f>
        <v>1.411764705882353</v>
      </c>
      <c r="R358" s="20"/>
    </row>
    <row r="359" spans="1:18" ht="15.75" customHeight="1" x14ac:dyDescent="0.2">
      <c r="A359">
        <v>36</v>
      </c>
      <c r="B359" s="1" t="s">
        <v>62</v>
      </c>
      <c r="C359" s="1"/>
      <c r="D359" s="2"/>
      <c r="E359" s="6" t="s">
        <v>40</v>
      </c>
      <c r="F359" s="3">
        <f>(1.5+1.6)/2</f>
        <v>1.55</v>
      </c>
      <c r="G359" s="3">
        <f>(30+37)/2</f>
        <v>33.5</v>
      </c>
      <c r="H359" s="3">
        <f>(6+8)/2</f>
        <v>7</v>
      </c>
      <c r="I359" s="3"/>
      <c r="J359" s="3">
        <f>(63+67)/2</f>
        <v>65</v>
      </c>
      <c r="K359" s="3"/>
      <c r="L359" s="3">
        <f>(55+57)/2</f>
        <v>56</v>
      </c>
      <c r="M359" s="21">
        <f>1-AVERAGE(N359:R359)</f>
        <v>0.61854996111255145</v>
      </c>
      <c r="N359" s="20">
        <f>ABS($D$2-F359)/F359</f>
        <v>0.62580645161290316</v>
      </c>
      <c r="O359" s="20">
        <f>ABS($E$2-G359)/G359</f>
        <v>0.13432835820895522</v>
      </c>
      <c r="P359" s="20">
        <f>ABS($F$2-H359)/H359</f>
        <v>0.11428571428571425</v>
      </c>
      <c r="Q359" s="20">
        <f>ABS($H$2-J359)/J359</f>
        <v>0.68461538461538463</v>
      </c>
      <c r="R359" s="20">
        <f>ABS($J$2-L359)/L359</f>
        <v>0.3482142857142857</v>
      </c>
    </row>
    <row r="360" spans="1:18" ht="15.75" customHeight="1" x14ac:dyDescent="0.2">
      <c r="A360">
        <v>923</v>
      </c>
      <c r="B360" s="1" t="s">
        <v>731</v>
      </c>
      <c r="C360" s="1" t="s">
        <v>732</v>
      </c>
      <c r="D360" s="2"/>
      <c r="E360" s="6" t="s">
        <v>495</v>
      </c>
      <c r="F360" s="1">
        <v>1.4</v>
      </c>
      <c r="G360" s="4">
        <v>38</v>
      </c>
      <c r="H360" s="4">
        <v>5.8</v>
      </c>
      <c r="I360" s="4"/>
      <c r="J360" s="4">
        <v>31</v>
      </c>
      <c r="K360" s="4"/>
      <c r="L360" s="4">
        <v>45</v>
      </c>
      <c r="M360" s="21">
        <f>1-AVERAGE(N360:R360)</f>
        <v>0.61839812731680888</v>
      </c>
      <c r="N360" s="20">
        <f>ABS($D$2-F360)/F360</f>
        <v>0.58571428571428563</v>
      </c>
      <c r="O360" s="20">
        <f>ABS($E$2-G360)/G360</f>
        <v>0.23684210526315788</v>
      </c>
      <c r="P360" s="20">
        <f>ABS($F$2-H360)/H360</f>
        <v>6.8965517241379379E-2</v>
      </c>
      <c r="Q360" s="20">
        <f>ABS($H$2-J360)/J360</f>
        <v>0.33870967741935482</v>
      </c>
      <c r="R360" s="20">
        <f>ABS($J$2-L360)/L360</f>
        <v>0.67777777777777781</v>
      </c>
    </row>
    <row r="361" spans="1:18" ht="15.75" customHeight="1" x14ac:dyDescent="0.2">
      <c r="A361">
        <v>801</v>
      </c>
      <c r="B361" s="1" t="s">
        <v>636</v>
      </c>
      <c r="C361" s="1" t="s">
        <v>637</v>
      </c>
      <c r="D361" s="2"/>
      <c r="E361" s="6" t="s">
        <v>482</v>
      </c>
      <c r="F361" s="1">
        <v>1.6</v>
      </c>
      <c r="G361" s="4">
        <v>28</v>
      </c>
      <c r="H361" s="4">
        <v>3.9</v>
      </c>
      <c r="I361" s="4"/>
      <c r="J361" s="4">
        <v>28</v>
      </c>
      <c r="K361" s="4"/>
      <c r="L361" s="4"/>
      <c r="M361" s="21">
        <f>1-AVERAGE(N361:R361)</f>
        <v>0.61729624542124539</v>
      </c>
      <c r="N361" s="20">
        <f>ABS($D$2-F361)/F361</f>
        <v>0.63749999999999996</v>
      </c>
      <c r="O361" s="20">
        <f>ABS($E$2-G361)/G361</f>
        <v>3.5714285714285712E-2</v>
      </c>
      <c r="P361" s="20">
        <f>ABS($F$2-H361)/H361</f>
        <v>0.58974358974358987</v>
      </c>
      <c r="Q361" s="20">
        <f>ABS($H$2-J361)/J361</f>
        <v>0.26785714285714285</v>
      </c>
      <c r="R361" s="20"/>
    </row>
    <row r="362" spans="1:18" ht="15.75" customHeight="1" x14ac:dyDescent="0.2">
      <c r="A362">
        <v>300</v>
      </c>
      <c r="B362" s="9" t="s">
        <v>237</v>
      </c>
      <c r="E362" s="6" t="s">
        <v>41</v>
      </c>
      <c r="F362" s="10">
        <v>0.46</v>
      </c>
      <c r="G362" s="10">
        <v>23</v>
      </c>
      <c r="H362" s="10">
        <v>4</v>
      </c>
      <c r="I362" s="10"/>
      <c r="J362" s="10">
        <v>14</v>
      </c>
      <c r="K362" s="10"/>
      <c r="L362" s="10"/>
      <c r="M362" s="21">
        <f>1-AVERAGE(N362:R362)</f>
        <v>0.61599378881987576</v>
      </c>
      <c r="N362" s="20">
        <f>ABS($D$2-F362)/F362</f>
        <v>0.26086956521739141</v>
      </c>
      <c r="O362" s="20">
        <f>ABS($E$2-G362)/G362</f>
        <v>0.2608695652173913</v>
      </c>
      <c r="P362" s="20">
        <f>ABS($F$2-H362)/H362</f>
        <v>0.55000000000000004</v>
      </c>
      <c r="Q362" s="20">
        <f>ABS($H$2-J362)/J362</f>
        <v>0.4642857142857143</v>
      </c>
      <c r="R362" s="20"/>
    </row>
    <row r="363" spans="1:18" ht="15.75" customHeight="1" x14ac:dyDescent="0.2">
      <c r="A363">
        <v>329</v>
      </c>
      <c r="B363" s="9" t="s">
        <v>261</v>
      </c>
      <c r="E363" s="6" t="s">
        <v>40</v>
      </c>
      <c r="F363" s="3">
        <v>1.3</v>
      </c>
      <c r="G363" s="3">
        <f>(30+35)/2</f>
        <v>32.5</v>
      </c>
      <c r="H363" s="3">
        <f>(7+9)/2</f>
        <v>8</v>
      </c>
      <c r="I363" s="3"/>
      <c r="J363" s="3">
        <f>(10+12)/2</f>
        <v>11</v>
      </c>
      <c r="K363" s="3"/>
      <c r="L363" s="3">
        <f>(63+66)/2</f>
        <v>64.5</v>
      </c>
      <c r="M363" s="21">
        <f>1-AVERAGE(N363:R363)</f>
        <v>0.61585650783325208</v>
      </c>
      <c r="N363" s="20">
        <f>ABS($D$2-F363)/F363</f>
        <v>0.55384615384615377</v>
      </c>
      <c r="O363" s="20">
        <f>ABS($E$2-G363)/G363</f>
        <v>0.1076923076923077</v>
      </c>
      <c r="P363" s="20">
        <f>ABS($F$2-H363)/H363</f>
        <v>0.22499999999999998</v>
      </c>
      <c r="Q363" s="20">
        <f>ABS($H$2-J363)/J363</f>
        <v>0.86363636363636365</v>
      </c>
      <c r="R363" s="20">
        <f>ABS($J$2-L363)/L363</f>
        <v>0.17054263565891473</v>
      </c>
    </row>
    <row r="364" spans="1:18" ht="15.75" customHeight="1" x14ac:dyDescent="0.2">
      <c r="A364">
        <v>921</v>
      </c>
      <c r="B364" s="1" t="s">
        <v>380</v>
      </c>
      <c r="C364" s="1" t="s">
        <v>730</v>
      </c>
      <c r="D364" s="2"/>
      <c r="E364" s="6" t="s">
        <v>495</v>
      </c>
      <c r="F364" s="1">
        <f>(1.2+1.6)/2</f>
        <v>1.4</v>
      </c>
      <c r="G364" s="4">
        <v>36</v>
      </c>
      <c r="H364" s="4">
        <v>5.6</v>
      </c>
      <c r="I364" s="4"/>
      <c r="J364" s="4">
        <f>(31+45)/2</f>
        <v>38</v>
      </c>
      <c r="K364" s="4"/>
      <c r="L364" s="4">
        <v>48</v>
      </c>
      <c r="M364" s="21">
        <f>1-AVERAGE(N364:R364)</f>
        <v>0.61585108604845451</v>
      </c>
      <c r="N364" s="20">
        <f>ABS($D$2-F364)/F364</f>
        <v>0.58571428571428563</v>
      </c>
      <c r="O364" s="20">
        <f>ABS($E$2-G364)/G364</f>
        <v>0.19444444444444445</v>
      </c>
      <c r="P364" s="20">
        <f>ABS($F$2-H364)/H364</f>
        <v>0.10714285714285725</v>
      </c>
      <c r="Q364" s="20">
        <f>ABS($H$2-J364)/J364</f>
        <v>0.46052631578947367</v>
      </c>
      <c r="R364" s="20">
        <f>ABS($J$2-L364)/L364</f>
        <v>0.57291666666666663</v>
      </c>
    </row>
    <row r="365" spans="1:18" ht="15.75" customHeight="1" x14ac:dyDescent="0.2">
      <c r="A365">
        <v>718</v>
      </c>
      <c r="B365" s="1" t="s">
        <v>95</v>
      </c>
      <c r="C365" s="1"/>
      <c r="D365" s="2"/>
      <c r="E365" s="6" t="s">
        <v>495</v>
      </c>
      <c r="F365" s="1">
        <v>0.5</v>
      </c>
      <c r="G365" s="4">
        <v>21</v>
      </c>
      <c r="H365" s="4">
        <v>5</v>
      </c>
      <c r="I365" s="4"/>
      <c r="J365" s="4">
        <v>10</v>
      </c>
      <c r="K365" s="4"/>
      <c r="L365" s="4">
        <v>69</v>
      </c>
      <c r="M365" s="21">
        <f>1-AVERAGE(N365:R365)</f>
        <v>0.61496894409937886</v>
      </c>
      <c r="N365" s="20">
        <f>ABS($D$2-F365)/F365</f>
        <v>0.16000000000000014</v>
      </c>
      <c r="O365" s="20">
        <f>ABS($E$2-G365)/G365</f>
        <v>0.38095238095238093</v>
      </c>
      <c r="P365" s="20">
        <f>ABS($F$2-H365)/H365</f>
        <v>0.24000000000000005</v>
      </c>
      <c r="Q365" s="20">
        <f>ABS($H$2-J365)/J365</f>
        <v>1.05</v>
      </c>
      <c r="R365" s="20">
        <f>ABS($J$2-L365)/L365</f>
        <v>9.420289855072464E-2</v>
      </c>
    </row>
    <row r="366" spans="1:18" ht="15.75" customHeight="1" x14ac:dyDescent="0.2">
      <c r="A366">
        <v>519</v>
      </c>
      <c r="B366" s="9" t="s">
        <v>406</v>
      </c>
      <c r="E366" s="6" t="s">
        <v>41</v>
      </c>
      <c r="F366" s="3">
        <v>1.5</v>
      </c>
      <c r="G366" s="3">
        <v>32</v>
      </c>
      <c r="H366" s="3">
        <v>11</v>
      </c>
      <c r="I366" s="3"/>
      <c r="J366" s="3">
        <f>(30+38)/2</f>
        <v>34</v>
      </c>
      <c r="K366" s="10"/>
      <c r="L366" s="10"/>
      <c r="M366" s="21">
        <f>1-AVERAGE(N366:R366)</f>
        <v>0.61487355169340474</v>
      </c>
      <c r="N366" s="20">
        <f>ABS($D$2-F366)/F366</f>
        <v>0.61333333333333329</v>
      </c>
      <c r="O366" s="20">
        <f>ABS($E$2-G366)/G366</f>
        <v>9.375E-2</v>
      </c>
      <c r="P366" s="20">
        <f>ABS($F$2-H366)/H366</f>
        <v>0.43636363636363634</v>
      </c>
      <c r="Q366" s="20">
        <f>ABS($H$2-J366)/J366</f>
        <v>0.39705882352941174</v>
      </c>
      <c r="R366" s="20"/>
    </row>
    <row r="367" spans="1:18" ht="15.75" customHeight="1" x14ac:dyDescent="0.2">
      <c r="A367">
        <v>44</v>
      </c>
      <c r="B367" s="1" t="s">
        <v>66</v>
      </c>
      <c r="C367" s="1"/>
      <c r="D367" s="2"/>
      <c r="E367" s="6" t="s">
        <v>40</v>
      </c>
      <c r="F367" s="3">
        <f>(0.43+0.53)/2</f>
        <v>0.48</v>
      </c>
      <c r="G367" s="3">
        <f>(18+22)/2</f>
        <v>20</v>
      </c>
      <c r="H367" s="3">
        <f>(3.6+4.4)/2</f>
        <v>4</v>
      </c>
      <c r="I367" s="3"/>
      <c r="J367" s="3">
        <f>(36+55)/2</f>
        <v>45.5</v>
      </c>
      <c r="K367" s="3"/>
      <c r="L367" s="3">
        <f>(90+92)/2</f>
        <v>91</v>
      </c>
      <c r="M367" s="21">
        <f>1-AVERAGE(N367:R367)</f>
        <v>0.6143772893772893</v>
      </c>
      <c r="N367" s="20">
        <f>ABS($D$2-F367)/F367</f>
        <v>0.20833333333333354</v>
      </c>
      <c r="O367" s="20">
        <f>ABS($E$2-G367)/G367</f>
        <v>0.45</v>
      </c>
      <c r="P367" s="20">
        <f>ABS($F$2-H367)/H367</f>
        <v>0.55000000000000004</v>
      </c>
      <c r="Q367" s="20">
        <f>ABS($H$2-J367)/J367</f>
        <v>0.5494505494505495</v>
      </c>
      <c r="R367" s="20">
        <f>ABS($J$2-L367)/L367</f>
        <v>0.17032967032967034</v>
      </c>
    </row>
    <row r="368" spans="1:18" ht="15.75" customHeight="1" x14ac:dyDescent="0.2">
      <c r="A368">
        <v>800</v>
      </c>
      <c r="B368" s="1" t="s">
        <v>636</v>
      </c>
      <c r="C368" s="1" t="s">
        <v>637</v>
      </c>
      <c r="D368" s="2"/>
      <c r="E368" s="6" t="s">
        <v>495</v>
      </c>
      <c r="F368" s="1">
        <v>1.8</v>
      </c>
      <c r="G368" s="4">
        <v>30</v>
      </c>
      <c r="H368" s="4">
        <v>4.3</v>
      </c>
      <c r="I368" s="4"/>
      <c r="J368" s="4">
        <v>36</v>
      </c>
      <c r="K368" s="4"/>
      <c r="L368" s="4">
        <v>56</v>
      </c>
      <c r="M368" s="21">
        <f>1-AVERAGE(N368:R368)</f>
        <v>0.61365171650055372</v>
      </c>
      <c r="N368" s="20">
        <f>ABS($D$2-F368)/F368</f>
        <v>0.6777777777777777</v>
      </c>
      <c r="O368" s="20">
        <f>ABS($E$2-G368)/G368</f>
        <v>3.3333333333333333E-2</v>
      </c>
      <c r="P368" s="20">
        <f>ABS($F$2-H368)/H368</f>
        <v>0.44186046511627919</v>
      </c>
      <c r="Q368" s="20">
        <f>ABS($H$2-J368)/J368</f>
        <v>0.43055555555555558</v>
      </c>
      <c r="R368" s="20">
        <f>ABS($J$2-L368)/L368</f>
        <v>0.3482142857142857</v>
      </c>
    </row>
    <row r="369" spans="1:18" ht="15.75" customHeight="1" x14ac:dyDescent="0.2">
      <c r="A369">
        <v>23</v>
      </c>
      <c r="B369" s="6" t="s">
        <v>55</v>
      </c>
      <c r="C369" s="6"/>
      <c r="D369" s="7"/>
      <c r="E369" s="6" t="s">
        <v>41</v>
      </c>
      <c r="F369" s="3">
        <f>(2+2.5)/2</f>
        <v>2.25</v>
      </c>
      <c r="G369" s="3">
        <f>(25+29)/2</f>
        <v>27</v>
      </c>
      <c r="H369" s="3">
        <f>(12+13)/2</f>
        <v>12.5</v>
      </c>
      <c r="I369" s="3"/>
      <c r="J369" s="3">
        <f>(25+28)/2</f>
        <v>26.5</v>
      </c>
      <c r="K369" s="3"/>
      <c r="L369" s="3"/>
      <c r="M369" s="21">
        <f>1-AVERAGE(N369:R369)</f>
        <v>0.61332215234102028</v>
      </c>
      <c r="N369" s="20">
        <f>ABS($D$2-F369)/F369</f>
        <v>0.74222222222222223</v>
      </c>
      <c r="O369" s="20">
        <f>ABS($E$2-G369)/G369</f>
        <v>7.407407407407407E-2</v>
      </c>
      <c r="P369" s="20">
        <f>ABS($F$2-H369)/H369</f>
        <v>0.504</v>
      </c>
      <c r="Q369" s="20">
        <f>ABS($H$2-J369)/J369</f>
        <v>0.22641509433962265</v>
      </c>
      <c r="R369" s="20"/>
    </row>
    <row r="370" spans="1:18" ht="15.75" customHeight="1" x14ac:dyDescent="0.2">
      <c r="A370">
        <v>87</v>
      </c>
      <c r="B370" s="1" t="s">
        <v>94</v>
      </c>
      <c r="C370" s="1"/>
      <c r="D370" s="2"/>
      <c r="E370" s="6" t="s">
        <v>41</v>
      </c>
      <c r="F370" s="3">
        <v>0.7</v>
      </c>
      <c r="G370" s="3">
        <v>35</v>
      </c>
      <c r="H370" s="3">
        <v>6.5</v>
      </c>
      <c r="I370" s="3"/>
      <c r="J370" s="3">
        <v>9.5</v>
      </c>
      <c r="K370" s="3"/>
      <c r="L370" s="3"/>
      <c r="M370" s="21">
        <f>1-AVERAGE(N370:R370)</f>
        <v>0.61327356853672643</v>
      </c>
      <c r="N370" s="20">
        <f>ABS($D$2-F370)/F370</f>
        <v>0.17142857142857126</v>
      </c>
      <c r="O370" s="20">
        <f>ABS($E$2-G370)/G370</f>
        <v>0.17142857142857143</v>
      </c>
      <c r="P370" s="20">
        <f>ABS($F$2-H370)/H370</f>
        <v>4.6153846153846129E-2</v>
      </c>
      <c r="Q370" s="20">
        <f>ABS($H$2-J370)/J370</f>
        <v>1.1578947368421053</v>
      </c>
      <c r="R370" s="20"/>
    </row>
    <row r="371" spans="1:18" ht="15.75" customHeight="1" x14ac:dyDescent="0.2">
      <c r="A371">
        <v>803</v>
      </c>
      <c r="B371" s="1" t="s">
        <v>638</v>
      </c>
      <c r="C371" s="1"/>
      <c r="D371" s="2"/>
      <c r="E371" s="6" t="s">
        <v>482</v>
      </c>
      <c r="F371" s="1">
        <v>1.3</v>
      </c>
      <c r="G371" s="4">
        <v>29</v>
      </c>
      <c r="H371" s="4">
        <v>4</v>
      </c>
      <c r="I371" s="4"/>
      <c r="J371" s="4">
        <v>37</v>
      </c>
      <c r="K371" s="4"/>
      <c r="L371" s="4"/>
      <c r="M371" s="21">
        <f>1-AVERAGE(N371:R371)</f>
        <v>0.61255197505197501</v>
      </c>
      <c r="N371" s="20">
        <f>ABS($D$2-F371)/F371</f>
        <v>0.55384615384615377</v>
      </c>
      <c r="O371" s="20">
        <f>ABS($E$2-G371)/G371</f>
        <v>0</v>
      </c>
      <c r="P371" s="20">
        <f>ABS($F$2-H371)/H371</f>
        <v>0.55000000000000004</v>
      </c>
      <c r="Q371" s="20">
        <f>ABS($H$2-J371)/J371</f>
        <v>0.44594594594594594</v>
      </c>
      <c r="R371" s="20"/>
    </row>
    <row r="372" spans="1:18" ht="15.75" customHeight="1" x14ac:dyDescent="0.2">
      <c r="A372">
        <v>499</v>
      </c>
      <c r="B372" s="9" t="s">
        <v>393</v>
      </c>
      <c r="E372" s="6" t="s">
        <v>40</v>
      </c>
      <c r="F372" s="3">
        <f>(1.9+2.2)/2</f>
        <v>2.0499999999999998</v>
      </c>
      <c r="G372" s="3">
        <f>(24+30)/2</f>
        <v>27</v>
      </c>
      <c r="H372" s="3">
        <f>(5+5.5)/2</f>
        <v>5.25</v>
      </c>
      <c r="I372" s="3"/>
      <c r="J372" s="3">
        <f>(52+61)/2</f>
        <v>56.5</v>
      </c>
      <c r="K372" s="3"/>
      <c r="L372" s="3">
        <f>(54+59)/2</f>
        <v>56.5</v>
      </c>
      <c r="M372" s="21">
        <f>1-AVERAGE(N372:R372)</f>
        <v>0.61088980936164183</v>
      </c>
      <c r="N372" s="20">
        <f>ABS($D$2-F372)/F372</f>
        <v>0.71707317073170729</v>
      </c>
      <c r="O372" s="20">
        <f>ABS($E$2-G372)/G372</f>
        <v>7.407407407407407E-2</v>
      </c>
      <c r="P372" s="20">
        <f>ABS($F$2-H372)/H372</f>
        <v>0.18095238095238098</v>
      </c>
      <c r="Q372" s="20">
        <f>ABS($H$2-J372)/J372</f>
        <v>0.63716814159292035</v>
      </c>
      <c r="R372" s="20">
        <f>ABS($J$2-L372)/L372</f>
        <v>0.33628318584070799</v>
      </c>
    </row>
    <row r="373" spans="1:18" ht="15.75" customHeight="1" x14ac:dyDescent="0.2">
      <c r="A373">
        <v>92</v>
      </c>
      <c r="B373" s="1" t="s">
        <v>97</v>
      </c>
      <c r="C373" s="1"/>
      <c r="D373" s="2"/>
      <c r="E373" s="6" t="s">
        <v>40</v>
      </c>
      <c r="F373" s="3">
        <f>(1.25+1.45)/2</f>
        <v>1.35</v>
      </c>
      <c r="G373" s="3">
        <f>(45+50)/2</f>
        <v>47.5</v>
      </c>
      <c r="H373" s="3">
        <f>(5.7+6)/2</f>
        <v>5.85</v>
      </c>
      <c r="I373" s="3"/>
      <c r="J373" s="3">
        <f>(11+13)/2</f>
        <v>12</v>
      </c>
      <c r="K373" s="3"/>
      <c r="L373" s="3">
        <f>(60+64)/2</f>
        <v>62</v>
      </c>
      <c r="M373" s="21">
        <f>1-AVERAGE(N373:R373)</f>
        <v>0.6108503233545679</v>
      </c>
      <c r="N373" s="20">
        <f>ABS($D$2-F373)/F373</f>
        <v>0.57037037037037031</v>
      </c>
      <c r="O373" s="20">
        <f>ABS($E$2-G373)/G373</f>
        <v>0.38947368421052631</v>
      </c>
      <c r="P373" s="20">
        <f>ABS($F$2-H373)/H373</f>
        <v>5.9829059829059922E-2</v>
      </c>
      <c r="Q373" s="20">
        <f>ABS($H$2-J373)/J373</f>
        <v>0.70833333333333337</v>
      </c>
      <c r="R373" s="20">
        <f>ABS($J$2-L373)/L373</f>
        <v>0.21774193548387097</v>
      </c>
    </row>
    <row r="374" spans="1:18" ht="15.75" customHeight="1" x14ac:dyDescent="0.2">
      <c r="A374">
        <v>201</v>
      </c>
      <c r="B374" s="1" t="s">
        <v>169</v>
      </c>
      <c r="C374" s="1" t="s">
        <v>170</v>
      </c>
      <c r="D374" s="2"/>
      <c r="E374" s="6" t="s">
        <v>40</v>
      </c>
      <c r="F374" s="3">
        <f>(0.66+0.81)/2</f>
        <v>0.7350000000000001</v>
      </c>
      <c r="G374" s="3">
        <f>(31+45)/2</f>
        <v>38</v>
      </c>
      <c r="H374" s="3">
        <f>(4.6+5.2)/2</f>
        <v>4.9000000000000004</v>
      </c>
      <c r="I374" s="3"/>
      <c r="J374" s="3">
        <f>(11.2+11.3)/2</f>
        <v>11.25</v>
      </c>
      <c r="K374" s="3"/>
      <c r="L374" s="3">
        <f>(52+55)/2</f>
        <v>53.5</v>
      </c>
      <c r="M374" s="21">
        <f>1-AVERAGE(N374:R374)</f>
        <v>0.61070604861062316</v>
      </c>
      <c r="N374" s="20">
        <f>ABS($D$2-F374)/F374</f>
        <v>0.21088435374149661</v>
      </c>
      <c r="O374" s="20">
        <f>ABS($E$2-G374)/G374</f>
        <v>0.23684210526315788</v>
      </c>
      <c r="P374" s="20">
        <f>ABS($F$2-H374)/H374</f>
        <v>0.26530612244897955</v>
      </c>
      <c r="Q374" s="20">
        <f>ABS($H$2-J374)/J374</f>
        <v>0.82222222222222219</v>
      </c>
      <c r="R374" s="20">
        <f>ABS($J$2-L374)/L374</f>
        <v>0.41121495327102803</v>
      </c>
    </row>
    <row r="375" spans="1:18" ht="15.75" customHeight="1" x14ac:dyDescent="0.2">
      <c r="A375">
        <v>150</v>
      </c>
      <c r="B375" s="1" t="s">
        <v>130</v>
      </c>
      <c r="C375" s="1" t="s">
        <v>131</v>
      </c>
      <c r="D375" s="2"/>
      <c r="E375" s="6" t="s">
        <v>40</v>
      </c>
      <c r="F375" s="3">
        <f>(1.05+1.27)/2</f>
        <v>1.1600000000000001</v>
      </c>
      <c r="G375" s="3">
        <f>(25+26)/2</f>
        <v>25.5</v>
      </c>
      <c r="H375" s="3">
        <f>(6.2+6.3)/2</f>
        <v>6.25</v>
      </c>
      <c r="I375" s="3"/>
      <c r="J375" s="3">
        <v>11</v>
      </c>
      <c r="K375" s="3"/>
      <c r="L375" s="3">
        <f>(52+53)/2</f>
        <v>52.5</v>
      </c>
      <c r="M375" s="21">
        <f>1-AVERAGE(N375:R375)</f>
        <v>0.61060269926152277</v>
      </c>
      <c r="N375" s="20">
        <f>ABS($D$2-F375)/F375</f>
        <v>0.5</v>
      </c>
      <c r="O375" s="20">
        <f>ABS($E$2-G375)/G375</f>
        <v>0.13725490196078433</v>
      </c>
      <c r="P375" s="20">
        <f>ABS($F$2-H375)/H375</f>
        <v>7.9999999999999724E-3</v>
      </c>
      <c r="Q375" s="20">
        <f>ABS($H$2-J375)/J375</f>
        <v>0.86363636363636365</v>
      </c>
      <c r="R375" s="20">
        <f>ABS($J$2-L375)/L375</f>
        <v>0.43809523809523809</v>
      </c>
    </row>
    <row r="376" spans="1:18" ht="15.75" customHeight="1" x14ac:dyDescent="0.2">
      <c r="A376">
        <v>127</v>
      </c>
      <c r="B376" s="1" t="s">
        <v>116</v>
      </c>
      <c r="C376" s="1"/>
      <c r="D376" s="2"/>
      <c r="E376" s="6" t="s">
        <v>41</v>
      </c>
      <c r="F376" s="3">
        <f>(0.84+1.16)/2</f>
        <v>1</v>
      </c>
      <c r="G376" s="3">
        <f>(100+179)/2</f>
        <v>139.5</v>
      </c>
      <c r="H376" s="3">
        <v>6.5</v>
      </c>
      <c r="I376" s="3"/>
      <c r="J376" s="3">
        <f>(24+35)/2</f>
        <v>29.5</v>
      </c>
      <c r="K376" s="3"/>
      <c r="L376" s="3"/>
      <c r="M376" s="21">
        <f>1-AVERAGE(N376:R376)</f>
        <v>0.60916167818573497</v>
      </c>
      <c r="N376" s="20">
        <f>ABS($D$2-F376)/F376</f>
        <v>0.41999999999999993</v>
      </c>
      <c r="O376" s="20">
        <f>ABS($E$2-G376)/G376</f>
        <v>0.79211469534050183</v>
      </c>
      <c r="P376" s="20">
        <f>ABS($F$2-H376)/H376</f>
        <v>4.6153846153846129E-2</v>
      </c>
      <c r="Q376" s="20">
        <f>ABS($H$2-J376)/J376</f>
        <v>0.30508474576271188</v>
      </c>
      <c r="R376" s="20"/>
    </row>
    <row r="377" spans="1:18" ht="15.75" customHeight="1" x14ac:dyDescent="0.2">
      <c r="A377">
        <v>684</v>
      </c>
      <c r="B377" s="1" t="s">
        <v>62</v>
      </c>
      <c r="C377" s="1"/>
      <c r="D377" s="2"/>
      <c r="E377" s="6" t="s">
        <v>495</v>
      </c>
      <c r="F377" s="1">
        <f>(1.1+1.5)/2</f>
        <v>1.3</v>
      </c>
      <c r="G377" s="4">
        <f>(22+26)/2</f>
        <v>24</v>
      </c>
      <c r="H377" s="4">
        <f>(7.4+8.6)/2</f>
        <v>8</v>
      </c>
      <c r="I377" s="4"/>
      <c r="J377" s="4">
        <f>(48+54)/2</f>
        <v>51</v>
      </c>
      <c r="K377" s="4"/>
      <c r="L377" s="4">
        <v>55</v>
      </c>
      <c r="M377" s="21">
        <f>1-AVERAGE(N377:R377)</f>
        <v>0.6084108048813931</v>
      </c>
      <c r="N377" s="20">
        <f>ABS($D$2-F377)/F377</f>
        <v>0.55384615384615377</v>
      </c>
      <c r="O377" s="20">
        <f>ABS($E$2-G377)/G377</f>
        <v>0.20833333333333334</v>
      </c>
      <c r="P377" s="20">
        <f>ABS($F$2-H377)/H377</f>
        <v>0.22499999999999998</v>
      </c>
      <c r="Q377" s="20">
        <f>ABS($H$2-J377)/J377</f>
        <v>0.59803921568627449</v>
      </c>
      <c r="R377" s="20">
        <f>ABS($J$2-L377)/L377</f>
        <v>0.37272727272727274</v>
      </c>
    </row>
    <row r="378" spans="1:18" ht="15.75" customHeight="1" x14ac:dyDescent="0.2">
      <c r="A378">
        <v>326</v>
      </c>
      <c r="B378" s="9" t="s">
        <v>259</v>
      </c>
      <c r="E378" s="6" t="s">
        <v>41</v>
      </c>
      <c r="F378" s="3">
        <v>0.92</v>
      </c>
      <c r="G378" s="3">
        <f>(48+60)/2</f>
        <v>54</v>
      </c>
      <c r="H378" s="3">
        <f>(5+5.2)/2</f>
        <v>5.0999999999999996</v>
      </c>
      <c r="I378" s="3"/>
      <c r="J378" s="3">
        <f>(13+14)/2</f>
        <v>13.5</v>
      </c>
      <c r="K378" s="10"/>
      <c r="L378" s="10"/>
      <c r="M378" s="21">
        <f>1-AVERAGE(N378:R378)</f>
        <v>0.60831675665435259</v>
      </c>
      <c r="N378" s="20">
        <f>ABS($D$2-F378)/F378</f>
        <v>0.36956521739130432</v>
      </c>
      <c r="O378" s="20">
        <f>ABS($E$2-G378)/G378</f>
        <v>0.46296296296296297</v>
      </c>
      <c r="P378" s="20">
        <f>ABS($F$2-H378)/H378</f>
        <v>0.21568627450980404</v>
      </c>
      <c r="Q378" s="20">
        <f>ABS($H$2-J378)/J378</f>
        <v>0.51851851851851849</v>
      </c>
      <c r="R378" s="20"/>
    </row>
    <row r="379" spans="1:18" ht="15.75" customHeight="1" x14ac:dyDescent="0.2">
      <c r="A379">
        <v>469</v>
      </c>
      <c r="B379" s="9" t="s">
        <v>370</v>
      </c>
      <c r="C379" s="9" t="s">
        <v>371</v>
      </c>
      <c r="E379" s="6" t="s">
        <v>40</v>
      </c>
      <c r="F379" s="3">
        <f>(0.8+0.84)/2</f>
        <v>0.82000000000000006</v>
      </c>
      <c r="G379" s="3">
        <f>(37+39)/2</f>
        <v>38</v>
      </c>
      <c r="H379" s="3">
        <f>(3.2+3.4)/2</f>
        <v>3.3</v>
      </c>
      <c r="I379" s="3"/>
      <c r="J379" s="3">
        <f>(26+27)/2</f>
        <v>26.5</v>
      </c>
      <c r="K379" s="3"/>
      <c r="L379" s="3">
        <f>(55+59)/2</f>
        <v>57</v>
      </c>
      <c r="M379" s="21">
        <f>1-AVERAGE(N379:R379)</f>
        <v>0.60814211825426012</v>
      </c>
      <c r="N379" s="20">
        <f>ABS($D$2-F379)/F379</f>
        <v>0.29268292682926828</v>
      </c>
      <c r="O379" s="20">
        <f>ABS($E$2-G379)/G379</f>
        <v>0.23684210526315788</v>
      </c>
      <c r="P379" s="20">
        <f>ABS($F$2-H379)/H379</f>
        <v>0.8787878787878789</v>
      </c>
      <c r="Q379" s="20">
        <f>ABS($H$2-J379)/J379</f>
        <v>0.22641509433962265</v>
      </c>
      <c r="R379" s="20">
        <f>ABS($J$2-L379)/L379</f>
        <v>0.32456140350877194</v>
      </c>
    </row>
    <row r="380" spans="1:18" ht="15.75" customHeight="1" x14ac:dyDescent="0.2">
      <c r="A380">
        <v>415</v>
      </c>
      <c r="B380" s="9" t="s">
        <v>329</v>
      </c>
      <c r="E380" s="6" t="s">
        <v>41</v>
      </c>
      <c r="F380" s="3">
        <f>(1+1.25)/2</f>
        <v>1.125</v>
      </c>
      <c r="G380" s="3">
        <f>(21+31)/2</f>
        <v>26</v>
      </c>
      <c r="H380" s="3">
        <f>(4+4.3)/2</f>
        <v>4.1500000000000004</v>
      </c>
      <c r="I380" s="3"/>
      <c r="J380" s="3">
        <f>(33+45)/2</f>
        <v>39</v>
      </c>
      <c r="K380" s="10"/>
      <c r="L380" s="10"/>
      <c r="M380" s="21">
        <f>1-AVERAGE(N380:R380)</f>
        <v>0.60795901554937704</v>
      </c>
      <c r="N380" s="20">
        <f>ABS($D$2-F380)/F380</f>
        <v>0.4844444444444444</v>
      </c>
      <c r="O380" s="20">
        <f>ABS($E$2-G380)/G380</f>
        <v>0.11538461538461539</v>
      </c>
      <c r="P380" s="20">
        <f>ABS($F$2-H380)/H380</f>
        <v>0.49397590361445776</v>
      </c>
      <c r="Q380" s="20">
        <f>ABS($H$2-J380)/J380</f>
        <v>0.47435897435897434</v>
      </c>
      <c r="R380" s="20"/>
    </row>
    <row r="381" spans="1:18" ht="15.75" customHeight="1" x14ac:dyDescent="0.2">
      <c r="A381">
        <v>496</v>
      </c>
      <c r="B381" s="9" t="s">
        <v>390</v>
      </c>
      <c r="E381" s="6" t="s">
        <v>41</v>
      </c>
      <c r="F381" s="3">
        <f>(2.16+2.24)/2</f>
        <v>2.2000000000000002</v>
      </c>
      <c r="G381" s="3">
        <v>36</v>
      </c>
      <c r="H381" s="3">
        <f>(4+4.1)/2</f>
        <v>4.05</v>
      </c>
      <c r="I381" s="3"/>
      <c r="J381" s="3">
        <f>(18+19)/2</f>
        <v>18.5</v>
      </c>
      <c r="K381" s="10"/>
      <c r="L381" s="10"/>
      <c r="M381" s="21">
        <f>1-AVERAGE(N381:R381)</f>
        <v>0.6075549033882367</v>
      </c>
      <c r="N381" s="20">
        <f>ABS($D$2-F381)/F381</f>
        <v>0.73636363636363633</v>
      </c>
      <c r="O381" s="20">
        <f>ABS($E$2-G381)/G381</f>
        <v>0.19444444444444445</v>
      </c>
      <c r="P381" s="20">
        <f>ABS($F$2-H381)/H381</f>
        <v>0.53086419753086433</v>
      </c>
      <c r="Q381" s="20">
        <f>ABS($H$2-J381)/J381</f>
        <v>0.10810810810810811</v>
      </c>
      <c r="R381" s="20"/>
    </row>
    <row r="382" spans="1:18" ht="15.75" customHeight="1" x14ac:dyDescent="0.2">
      <c r="A382">
        <v>846</v>
      </c>
      <c r="B382" s="1" t="s">
        <v>678</v>
      </c>
      <c r="C382" s="1"/>
      <c r="D382" s="2"/>
      <c r="E382" s="6" t="s">
        <v>495</v>
      </c>
      <c r="F382" s="1">
        <v>2.1</v>
      </c>
      <c r="G382" s="1">
        <v>42</v>
      </c>
      <c r="H382" s="1">
        <v>5</v>
      </c>
      <c r="I382" s="4"/>
      <c r="J382" s="1">
        <v>28</v>
      </c>
      <c r="K382" s="4"/>
      <c r="L382" s="4">
        <v>53</v>
      </c>
      <c r="M382" s="21">
        <f>1-AVERAGE(N382:R382)</f>
        <v>0.60685624438454633</v>
      </c>
      <c r="N382" s="20">
        <f>ABS($D$2-F382)/F382</f>
        <v>0.72380952380952379</v>
      </c>
      <c r="O382" s="20">
        <f>ABS($E$2-G382)/G382</f>
        <v>0.30952380952380953</v>
      </c>
      <c r="P382" s="20">
        <f>ABS($F$2-H382)/H382</f>
        <v>0.24000000000000005</v>
      </c>
      <c r="Q382" s="20">
        <f>ABS($H$2-J382)/J382</f>
        <v>0.26785714285714285</v>
      </c>
      <c r="R382" s="20">
        <f>ABS($J$2-L382)/L382</f>
        <v>0.42452830188679247</v>
      </c>
    </row>
    <row r="383" spans="1:18" ht="15.75" customHeight="1" x14ac:dyDescent="0.2">
      <c r="A383">
        <v>831</v>
      </c>
      <c r="B383" s="6" t="s">
        <v>666</v>
      </c>
      <c r="C383" s="1"/>
      <c r="D383" s="2"/>
      <c r="E383" s="6" t="s">
        <v>482</v>
      </c>
      <c r="F383" s="6">
        <v>1.2</v>
      </c>
      <c r="G383" s="4">
        <v>38</v>
      </c>
      <c r="H383" s="4">
        <v>5.2</v>
      </c>
      <c r="I383" s="4"/>
      <c r="J383" s="4">
        <v>55</v>
      </c>
      <c r="K383" s="4"/>
      <c r="L383" s="4"/>
      <c r="M383" s="21">
        <f>1-AVERAGE(N383:R383)</f>
        <v>0.60672770212243898</v>
      </c>
      <c r="N383" s="20">
        <f>ABS($D$2-F383)/F383</f>
        <v>0.51666666666666661</v>
      </c>
      <c r="O383" s="20">
        <f>ABS($E$2-G383)/G383</f>
        <v>0.23684210526315788</v>
      </c>
      <c r="P383" s="20">
        <f>ABS($F$2-H383)/H383</f>
        <v>0.19230769230769229</v>
      </c>
      <c r="Q383" s="20">
        <f>ABS($H$2-J383)/J383</f>
        <v>0.62727272727272732</v>
      </c>
      <c r="R383" s="20"/>
    </row>
    <row r="384" spans="1:18" ht="15.75" customHeight="1" x14ac:dyDescent="0.2">
      <c r="A384">
        <v>40</v>
      </c>
      <c r="B384" s="1" t="s">
        <v>64</v>
      </c>
      <c r="C384" s="1"/>
      <c r="D384" s="2"/>
      <c r="E384" s="6" t="s">
        <v>40</v>
      </c>
      <c r="F384" s="3">
        <v>1.4</v>
      </c>
      <c r="G384" s="3">
        <v>31</v>
      </c>
      <c r="H384" s="3">
        <v>7.1</v>
      </c>
      <c r="I384" s="3"/>
      <c r="J384" s="3">
        <f>(80+120)/2</f>
        <v>100</v>
      </c>
      <c r="K384" s="3"/>
      <c r="L384" s="3">
        <v>54</v>
      </c>
      <c r="M384" s="21">
        <f>1-AVERAGE(N384:R384)</f>
        <v>0.60597217474500531</v>
      </c>
      <c r="N384" s="20">
        <f>ABS($D$2-F384)/F384</f>
        <v>0.58571428571428563</v>
      </c>
      <c r="O384" s="20">
        <f>ABS($E$2-G384)/G384</f>
        <v>6.4516129032258063E-2</v>
      </c>
      <c r="P384" s="20">
        <f>ABS($F$2-H384)/H384</f>
        <v>0.12676056338028163</v>
      </c>
      <c r="Q384" s="20">
        <f>ABS($H$2-J384)/J384</f>
        <v>0.79500000000000004</v>
      </c>
      <c r="R384" s="20">
        <f>ABS($J$2-L384)/L384</f>
        <v>0.39814814814814814</v>
      </c>
    </row>
    <row r="385" spans="1:18" ht="15.75" customHeight="1" x14ac:dyDescent="0.2">
      <c r="A385">
        <v>41</v>
      </c>
      <c r="B385" s="1" t="s">
        <v>64</v>
      </c>
      <c r="C385" s="1"/>
      <c r="D385" s="2"/>
      <c r="E385" s="6" t="s">
        <v>41</v>
      </c>
      <c r="F385" s="3">
        <v>1.4</v>
      </c>
      <c r="G385" s="3">
        <v>38</v>
      </c>
      <c r="H385" s="3">
        <v>7.5</v>
      </c>
      <c r="I385" s="3"/>
      <c r="J385" s="3">
        <v>49</v>
      </c>
      <c r="K385" s="3"/>
      <c r="L385" s="3"/>
      <c r="M385" s="21">
        <f>1-AVERAGE(N385:R385)</f>
        <v>0.60561940565699968</v>
      </c>
      <c r="N385" s="20">
        <f>ABS($D$2-F385)/F385</f>
        <v>0.58571428571428563</v>
      </c>
      <c r="O385" s="20">
        <f>ABS($E$2-G385)/G385</f>
        <v>0.23684210526315788</v>
      </c>
      <c r="P385" s="20">
        <f>ABS($F$2-H385)/H385</f>
        <v>0.17333333333333331</v>
      </c>
      <c r="Q385" s="20">
        <f>ABS($H$2-J385)/J385</f>
        <v>0.58163265306122447</v>
      </c>
      <c r="R385" s="20"/>
    </row>
    <row r="386" spans="1:18" ht="15.75" customHeight="1" x14ac:dyDescent="0.2">
      <c r="A386">
        <v>402</v>
      </c>
      <c r="B386" s="9" t="s">
        <v>321</v>
      </c>
      <c r="C386" s="9" t="s">
        <v>322</v>
      </c>
      <c r="E386" s="6" t="s">
        <v>40</v>
      </c>
      <c r="F386" s="3">
        <f>(2.7+3.8)/2</f>
        <v>3.25</v>
      </c>
      <c r="G386" s="3">
        <f>(50+60)/2</f>
        <v>55</v>
      </c>
      <c r="H386" s="3">
        <v>6</v>
      </c>
      <c r="I386" s="3"/>
      <c r="J386" s="3">
        <f>(14+22)/2</f>
        <v>18</v>
      </c>
      <c r="K386" s="3"/>
      <c r="L386" s="3">
        <v>50</v>
      </c>
      <c r="M386" s="21">
        <f>1-AVERAGE(N386:R386)</f>
        <v>0.60470240870240866</v>
      </c>
      <c r="N386" s="20">
        <f>ABS($D$2-F386)/F386</f>
        <v>0.82153846153846155</v>
      </c>
      <c r="O386" s="20">
        <f>ABS($E$2-G386)/G386</f>
        <v>0.47272727272727272</v>
      </c>
      <c r="P386" s="20">
        <f>ABS($F$2-H386)/H386</f>
        <v>3.3333333333333361E-2</v>
      </c>
      <c r="Q386" s="20">
        <f>ABS($H$2-J386)/J386</f>
        <v>0.1388888888888889</v>
      </c>
      <c r="R386" s="20">
        <f>ABS($J$2-L386)/L386</f>
        <v>0.51</v>
      </c>
    </row>
    <row r="387" spans="1:18" ht="15.75" customHeight="1" x14ac:dyDescent="0.2">
      <c r="A387">
        <v>797</v>
      </c>
      <c r="B387" s="1" t="s">
        <v>633</v>
      </c>
      <c r="C387" s="1"/>
      <c r="D387" s="2"/>
      <c r="E387" s="6" t="s">
        <v>495</v>
      </c>
      <c r="F387" s="1">
        <v>1.5</v>
      </c>
      <c r="G387" s="4">
        <v>25</v>
      </c>
      <c r="H387" s="4">
        <v>4.5</v>
      </c>
      <c r="I387" s="4"/>
      <c r="J387" s="4">
        <v>30</v>
      </c>
      <c r="K387" s="4"/>
      <c r="L387" s="4">
        <v>50</v>
      </c>
      <c r="M387" s="21">
        <f>1-AVERAGE(N387:R387)</f>
        <v>0.60444444444444445</v>
      </c>
      <c r="N387" s="20">
        <f>ABS($D$2-F387)/F387</f>
        <v>0.61333333333333329</v>
      </c>
      <c r="O387" s="20">
        <f>ABS($E$2-G387)/G387</f>
        <v>0.16</v>
      </c>
      <c r="P387" s="20">
        <f>ABS($F$2-H387)/H387</f>
        <v>0.37777777777777782</v>
      </c>
      <c r="Q387" s="20">
        <f>ABS($H$2-J387)/J387</f>
        <v>0.31666666666666665</v>
      </c>
      <c r="R387" s="20">
        <f>ABS($J$2-L387)/L387</f>
        <v>0.51</v>
      </c>
    </row>
    <row r="388" spans="1:18" ht="15.75" customHeight="1" x14ac:dyDescent="0.2">
      <c r="A388">
        <v>917</v>
      </c>
      <c r="B388" s="1" t="s">
        <v>378</v>
      </c>
      <c r="D388" s="2"/>
      <c r="E388" s="6" t="s">
        <v>495</v>
      </c>
      <c r="F388" s="1">
        <v>1.2</v>
      </c>
      <c r="G388" s="4">
        <v>26</v>
      </c>
      <c r="H388" s="4">
        <v>4.5999999999999996</v>
      </c>
      <c r="I388" s="4"/>
      <c r="J388" s="4">
        <v>79</v>
      </c>
      <c r="K388" s="4"/>
      <c r="L388" s="4">
        <v>60</v>
      </c>
      <c r="M388" s="21">
        <f>1-AVERAGE(N388:R388)</f>
        <v>0.60425659370898777</v>
      </c>
      <c r="N388" s="20">
        <f>ABS($D$2-F388)/F388</f>
        <v>0.51666666666666661</v>
      </c>
      <c r="O388" s="20">
        <f>ABS($E$2-G388)/G388</f>
        <v>0.11538461538461539</v>
      </c>
      <c r="P388" s="20">
        <f>ABS($F$2-H388)/H388</f>
        <v>0.3478260869565219</v>
      </c>
      <c r="Q388" s="20">
        <f>ABS($H$2-J388)/J388</f>
        <v>0.740506329113924</v>
      </c>
      <c r="R388" s="20">
        <f>ABS($J$2-L388)/L388</f>
        <v>0.25833333333333336</v>
      </c>
    </row>
    <row r="389" spans="1:18" ht="15.75" customHeight="1" x14ac:dyDescent="0.2">
      <c r="A389">
        <v>449</v>
      </c>
      <c r="B389" s="9" t="s">
        <v>353</v>
      </c>
      <c r="E389" s="6" t="s">
        <v>41</v>
      </c>
      <c r="F389" s="3">
        <v>1.5</v>
      </c>
      <c r="G389" s="3">
        <v>28</v>
      </c>
      <c r="H389" s="3">
        <v>5</v>
      </c>
      <c r="I389" s="3"/>
      <c r="J389" s="3">
        <v>67</v>
      </c>
      <c r="K389" s="10"/>
      <c r="L389" s="10"/>
      <c r="M389" s="21">
        <f>1-AVERAGE(N389:R389)</f>
        <v>0.60423063255152809</v>
      </c>
      <c r="N389" s="20">
        <f>ABS($D$2-F389)/F389</f>
        <v>0.61333333333333329</v>
      </c>
      <c r="O389" s="20">
        <f>ABS($E$2-G389)/G389</f>
        <v>3.5714285714285712E-2</v>
      </c>
      <c r="P389" s="20">
        <f>ABS($F$2-H389)/H389</f>
        <v>0.24000000000000005</v>
      </c>
      <c r="Q389" s="20">
        <f>ABS($H$2-J389)/J389</f>
        <v>0.69402985074626866</v>
      </c>
      <c r="R389" s="20"/>
    </row>
    <row r="390" spans="1:18" ht="15.75" customHeight="1" x14ac:dyDescent="0.2">
      <c r="A390">
        <v>918</v>
      </c>
      <c r="B390" s="1" t="s">
        <v>727</v>
      </c>
      <c r="C390" s="1"/>
      <c r="D390" s="2"/>
      <c r="E390" s="6" t="s">
        <v>495</v>
      </c>
      <c r="F390" s="1">
        <v>1.2</v>
      </c>
      <c r="G390" s="4">
        <v>26</v>
      </c>
      <c r="H390" s="4">
        <v>4.5999999999999996</v>
      </c>
      <c r="I390" s="4"/>
      <c r="J390" s="4">
        <v>69</v>
      </c>
      <c r="K390" s="4"/>
      <c r="L390" s="4">
        <v>58</v>
      </c>
      <c r="M390" s="21">
        <f>1-AVERAGE(N390:R390)</f>
        <v>0.60309998846730473</v>
      </c>
      <c r="N390" s="20">
        <f>ABS($D$2-F390)/F390</f>
        <v>0.51666666666666661</v>
      </c>
      <c r="O390" s="20">
        <f>ABS($E$2-G390)/G390</f>
        <v>0.11538461538461539</v>
      </c>
      <c r="P390" s="20">
        <f>ABS($F$2-H390)/H390</f>
        <v>0.3478260869565219</v>
      </c>
      <c r="Q390" s="20">
        <f>ABS($H$2-J390)/J390</f>
        <v>0.70289855072463769</v>
      </c>
      <c r="R390" s="20">
        <f>ABS($J$2-L390)/L390</f>
        <v>0.30172413793103448</v>
      </c>
    </row>
    <row r="391" spans="1:18" ht="15.75" customHeight="1" x14ac:dyDescent="0.2">
      <c r="A391">
        <v>440</v>
      </c>
      <c r="B391" s="9" t="s">
        <v>347</v>
      </c>
      <c r="C391" s="9" t="s">
        <v>348</v>
      </c>
      <c r="E391" s="6" t="s">
        <v>40</v>
      </c>
      <c r="F391" s="3">
        <v>2.06</v>
      </c>
      <c r="G391" s="3">
        <v>41</v>
      </c>
      <c r="H391" s="3">
        <v>4</v>
      </c>
      <c r="I391" s="3"/>
      <c r="J391" s="3">
        <v>19</v>
      </c>
      <c r="K391" s="3"/>
      <c r="L391" s="3">
        <v>56</v>
      </c>
      <c r="M391" s="21">
        <f>1-AVERAGE(N391:R391)</f>
        <v>0.60234176341872914</v>
      </c>
      <c r="N391" s="20">
        <f>ABS($D$2-F391)/F391</f>
        <v>0.71844660194174759</v>
      </c>
      <c r="O391" s="20">
        <f>ABS($E$2-G391)/G391</f>
        <v>0.29268292682926828</v>
      </c>
      <c r="P391" s="20">
        <f>ABS($F$2-H391)/H391</f>
        <v>0.55000000000000004</v>
      </c>
      <c r="Q391" s="20">
        <f>ABS($H$2-J391)/J391</f>
        <v>7.8947368421052627E-2</v>
      </c>
      <c r="R391" s="20">
        <f>ABS($J$2-L391)/L391</f>
        <v>0.3482142857142857</v>
      </c>
    </row>
    <row r="392" spans="1:18" ht="15.75" customHeight="1" x14ac:dyDescent="0.2">
      <c r="A392">
        <v>794</v>
      </c>
      <c r="B392" s="1" t="s">
        <v>629</v>
      </c>
      <c r="C392" s="1" t="s">
        <v>630</v>
      </c>
      <c r="D392" s="2"/>
      <c r="E392" s="6" t="s">
        <v>495</v>
      </c>
      <c r="F392" s="1">
        <v>1.2</v>
      </c>
      <c r="G392" s="4">
        <v>26</v>
      </c>
      <c r="H392" s="4">
        <v>3.4</v>
      </c>
      <c r="I392" s="4"/>
      <c r="J392" s="4">
        <v>31</v>
      </c>
      <c r="K392" s="4"/>
      <c r="L392" s="4">
        <v>63</v>
      </c>
      <c r="M392" s="21">
        <f>1-AVERAGE(N392:R392)</f>
        <v>0.60145938607039173</v>
      </c>
      <c r="N392" s="20">
        <f>ABS($D$2-F392)/F392</f>
        <v>0.51666666666666661</v>
      </c>
      <c r="O392" s="20">
        <f>ABS($E$2-G392)/G392</f>
        <v>0.11538461538461539</v>
      </c>
      <c r="P392" s="20">
        <f>ABS($F$2-H392)/H392</f>
        <v>0.82352941176470595</v>
      </c>
      <c r="Q392" s="20">
        <f>ABS($H$2-J392)/J392</f>
        <v>0.33870967741935482</v>
      </c>
      <c r="R392" s="20">
        <f>ABS($J$2-L392)/L392</f>
        <v>0.1984126984126984</v>
      </c>
    </row>
    <row r="393" spans="1:18" ht="15.75" customHeight="1" x14ac:dyDescent="0.2">
      <c r="A393">
        <v>168</v>
      </c>
      <c r="B393" s="1" t="s">
        <v>145</v>
      </c>
      <c r="C393" s="1"/>
      <c r="D393" s="2"/>
      <c r="E393" s="6" t="s">
        <v>41</v>
      </c>
      <c r="F393" s="3">
        <f>(0.75+0.88)/2</f>
        <v>0.81499999999999995</v>
      </c>
      <c r="G393" s="3">
        <f>(20+26)/2</f>
        <v>23</v>
      </c>
      <c r="H393" s="3">
        <f>(6+7.7)/2</f>
        <v>6.85</v>
      </c>
      <c r="I393" s="3"/>
      <c r="J393" s="3">
        <f>(9+12)/2</f>
        <v>10.5</v>
      </c>
      <c r="K393" s="3"/>
      <c r="L393" s="3"/>
      <c r="M393" s="21">
        <f>1-AVERAGE(N393:R393)</f>
        <v>0.60087885329263568</v>
      </c>
      <c r="N393" s="20">
        <f>ABS($D$2-F393)/F393</f>
        <v>0.28834355828220848</v>
      </c>
      <c r="O393" s="20">
        <f>ABS($E$2-G393)/G393</f>
        <v>0.2608695652173913</v>
      </c>
      <c r="P393" s="20">
        <f>ABS($F$2-H393)/H393</f>
        <v>9.4890510948905035E-2</v>
      </c>
      <c r="Q393" s="20">
        <f>ABS($H$2-J393)/J393</f>
        <v>0.95238095238095233</v>
      </c>
      <c r="R393" s="20"/>
    </row>
    <row r="394" spans="1:18" ht="15.75" customHeight="1" x14ac:dyDescent="0.2">
      <c r="A394">
        <v>837</v>
      </c>
      <c r="B394" s="1" t="s">
        <v>670</v>
      </c>
      <c r="C394" s="1" t="s">
        <v>671</v>
      </c>
      <c r="D394" s="2"/>
      <c r="E394" s="6" t="s">
        <v>495</v>
      </c>
      <c r="F394" s="1">
        <v>1.7</v>
      </c>
      <c r="G394" s="4">
        <v>30</v>
      </c>
      <c r="H394" s="4">
        <v>5.5</v>
      </c>
      <c r="I394" s="4"/>
      <c r="J394" s="4">
        <v>13</v>
      </c>
      <c r="K394" s="4"/>
      <c r="L394" s="4">
        <v>47</v>
      </c>
      <c r="M394" s="21">
        <f>1-AVERAGE(N394:R394)</f>
        <v>0.59945287086713872</v>
      </c>
      <c r="N394" s="20">
        <f>ABS($D$2-F394)/F394</f>
        <v>0.6588235294117647</v>
      </c>
      <c r="O394" s="20">
        <f>ABS($E$2-G394)/G394</f>
        <v>3.3333333333333333E-2</v>
      </c>
      <c r="P394" s="20">
        <f>ABS($F$2-H394)/H394</f>
        <v>0.12727272727272732</v>
      </c>
      <c r="Q394" s="20">
        <f>ABS($H$2-J394)/J394</f>
        <v>0.57692307692307687</v>
      </c>
      <c r="R394" s="20">
        <f>ABS($J$2-L394)/L394</f>
        <v>0.6063829787234043</v>
      </c>
    </row>
    <row r="395" spans="1:18" ht="15.75" customHeight="1" x14ac:dyDescent="0.2">
      <c r="A395">
        <v>274</v>
      </c>
      <c r="B395" s="9" t="s">
        <v>222</v>
      </c>
      <c r="C395" s="9" t="s">
        <v>223</v>
      </c>
      <c r="E395" s="6" t="s">
        <v>40</v>
      </c>
      <c r="F395" s="3">
        <f>(0.88+0.92)/2</f>
        <v>0.9</v>
      </c>
      <c r="G395" s="3">
        <f>(17+18)/2</f>
        <v>17.5</v>
      </c>
      <c r="H395" s="3">
        <v>6</v>
      </c>
      <c r="I395" s="3"/>
      <c r="J395" s="3">
        <v>11</v>
      </c>
      <c r="K395" s="3"/>
      <c r="L395" s="3">
        <v>69</v>
      </c>
      <c r="M395" s="21">
        <f>1-AVERAGE(N395:R395)</f>
        <v>0.59922579835623313</v>
      </c>
      <c r="N395" s="20">
        <f>ABS($D$2-F395)/F395</f>
        <v>0.35555555555555551</v>
      </c>
      <c r="O395" s="20">
        <f>ABS($E$2-G395)/G395</f>
        <v>0.65714285714285714</v>
      </c>
      <c r="P395" s="20">
        <f>ABS($F$2-H395)/H395</f>
        <v>3.3333333333333361E-2</v>
      </c>
      <c r="Q395" s="20">
        <f>ABS($H$2-J395)/J395</f>
        <v>0.86363636363636365</v>
      </c>
      <c r="R395" s="20">
        <f>ABS($J$2-L395)/L395</f>
        <v>9.420289855072464E-2</v>
      </c>
    </row>
    <row r="396" spans="1:18" ht="15.75" customHeight="1" x14ac:dyDescent="0.2">
      <c r="A396">
        <v>500</v>
      </c>
      <c r="B396" s="9" t="s">
        <v>393</v>
      </c>
      <c r="E396" s="6" t="s">
        <v>41</v>
      </c>
      <c r="F396" s="3">
        <f>(2+2.2)/2</f>
        <v>2.1</v>
      </c>
      <c r="G396" s="3">
        <f>(26+39)/2</f>
        <v>32.5</v>
      </c>
      <c r="H396" s="3">
        <f>(5+5.9)/2</f>
        <v>5.45</v>
      </c>
      <c r="I396" s="3"/>
      <c r="J396" s="3">
        <f>(53+60)/2</f>
        <v>56.5</v>
      </c>
      <c r="K396" s="10"/>
      <c r="L396" s="10"/>
      <c r="M396" s="21">
        <f>1-AVERAGE(N396:R396)</f>
        <v>0.59842883700154137</v>
      </c>
      <c r="N396" s="20">
        <f>ABS($D$2-F396)/F396</f>
        <v>0.72380952380952379</v>
      </c>
      <c r="O396" s="20">
        <f>ABS($E$2-G396)/G396</f>
        <v>0.1076923076923077</v>
      </c>
      <c r="P396" s="20">
        <f>ABS($F$2-H396)/H396</f>
        <v>0.13761467889908258</v>
      </c>
      <c r="Q396" s="20">
        <f>ABS($H$2-J396)/J396</f>
        <v>0.63716814159292035</v>
      </c>
      <c r="R396" s="20"/>
    </row>
    <row r="397" spans="1:18" ht="15.75" customHeight="1" x14ac:dyDescent="0.2">
      <c r="A397">
        <v>255</v>
      </c>
      <c r="B397" s="9" t="s">
        <v>212</v>
      </c>
      <c r="E397" s="6" t="s">
        <v>40</v>
      </c>
      <c r="F397" s="3">
        <f>(0.45+0.51)/2</f>
        <v>0.48</v>
      </c>
      <c r="G397" s="3">
        <f>(12+14)/2</f>
        <v>13</v>
      </c>
      <c r="H397" s="3">
        <f>(5.6+6.5)/2</f>
        <v>6.05</v>
      </c>
      <c r="I397" s="3"/>
      <c r="J397" s="3">
        <f>(17+18)/2</f>
        <v>17.5</v>
      </c>
      <c r="K397" s="3"/>
      <c r="L397" s="3">
        <f>(54+56)/2</f>
        <v>55</v>
      </c>
      <c r="M397" s="21">
        <f>1-AVERAGE(N397:R397)</f>
        <v>0.59838964066236788</v>
      </c>
      <c r="N397" s="20">
        <f>ABS($D$2-F397)/F397</f>
        <v>0.20833333333333354</v>
      </c>
      <c r="O397" s="20">
        <f>ABS($E$2-G397)/G397</f>
        <v>1.2307692307692308</v>
      </c>
      <c r="P397" s="20">
        <f>ABS($F$2-H397)/H397</f>
        <v>2.4793388429752126E-2</v>
      </c>
      <c r="Q397" s="20">
        <f>ABS($H$2-J397)/J397</f>
        <v>0.17142857142857143</v>
      </c>
      <c r="R397" s="20">
        <f>ABS($J$2-L397)/L397</f>
        <v>0.37272727272727274</v>
      </c>
    </row>
    <row r="398" spans="1:18" ht="15.75" customHeight="1" x14ac:dyDescent="0.2">
      <c r="A398">
        <v>738</v>
      </c>
      <c r="B398" s="1" t="s">
        <v>589</v>
      </c>
      <c r="C398" s="1"/>
      <c r="D398" s="2"/>
      <c r="E398" s="6" t="s">
        <v>495</v>
      </c>
      <c r="F398" s="1">
        <v>0.43</v>
      </c>
      <c r="G398" s="4">
        <v>18</v>
      </c>
      <c r="H398" s="4">
        <v>4.3</v>
      </c>
      <c r="I398" s="4"/>
      <c r="J398" s="4">
        <v>14</v>
      </c>
      <c r="K398" s="4"/>
      <c r="L398" s="4">
        <v>88</v>
      </c>
      <c r="M398" s="21">
        <f>1-AVERAGE(N398:R398)</f>
        <v>0.59837200912782307</v>
      </c>
      <c r="N398" s="20">
        <f>ABS($D$2-F398)/F398</f>
        <v>0.34883720930232576</v>
      </c>
      <c r="O398" s="20">
        <f>ABS($E$2-G398)/G398</f>
        <v>0.61111111111111116</v>
      </c>
      <c r="P398" s="20">
        <f>ABS($F$2-H398)/H398</f>
        <v>0.44186046511627919</v>
      </c>
      <c r="Q398" s="20">
        <f>ABS($H$2-J398)/J398</f>
        <v>0.4642857142857143</v>
      </c>
      <c r="R398" s="20">
        <f>ABS($J$2-L398)/L398</f>
        <v>0.14204545454545456</v>
      </c>
    </row>
    <row r="399" spans="1:18" ht="15.75" customHeight="1" x14ac:dyDescent="0.2">
      <c r="A399">
        <v>183</v>
      </c>
      <c r="B399" s="1" t="s">
        <v>156</v>
      </c>
      <c r="C399" s="1"/>
      <c r="D399" s="2"/>
      <c r="E399" s="6" t="s">
        <v>40</v>
      </c>
      <c r="F399" s="3">
        <f>(0.9+1.16)/2</f>
        <v>1.03</v>
      </c>
      <c r="G399" s="3">
        <f>(20+26)/2</f>
        <v>23</v>
      </c>
      <c r="H399" s="3">
        <f>(4.6+5.8)/2</f>
        <v>5.1999999999999993</v>
      </c>
      <c r="I399" s="3"/>
      <c r="J399" s="3">
        <f>(9+15)/2</f>
        <v>12</v>
      </c>
      <c r="K399" s="3"/>
      <c r="L399" s="3">
        <f>(50+57)/2</f>
        <v>53.5</v>
      </c>
      <c r="M399" s="21">
        <f>1-AVERAGE(N399:R399)</f>
        <v>0.59807625039741197</v>
      </c>
      <c r="N399" s="20">
        <f>ABS($D$2-F399)/F399</f>
        <v>0.43689320388349512</v>
      </c>
      <c r="O399" s="20">
        <f>ABS($E$2-G399)/G399</f>
        <v>0.2608695652173913</v>
      </c>
      <c r="P399" s="20">
        <f>ABS($F$2-H399)/H399</f>
        <v>0.19230769230769251</v>
      </c>
      <c r="Q399" s="20">
        <f>ABS($H$2-J399)/J399</f>
        <v>0.70833333333333337</v>
      </c>
      <c r="R399" s="20">
        <f>ABS($J$2-L399)/L399</f>
        <v>0.41121495327102803</v>
      </c>
    </row>
    <row r="400" spans="1:18" ht="15.75" customHeight="1" x14ac:dyDescent="0.2">
      <c r="A400">
        <v>795</v>
      </c>
      <c r="B400" s="1" t="s">
        <v>631</v>
      </c>
      <c r="C400" s="1"/>
      <c r="D400" s="2"/>
      <c r="E400" s="6" t="s">
        <v>495</v>
      </c>
      <c r="F400" s="1">
        <v>1.4</v>
      </c>
      <c r="G400" s="4">
        <v>29</v>
      </c>
      <c r="H400" s="4">
        <v>3.6</v>
      </c>
      <c r="I400" s="4"/>
      <c r="J400" s="4">
        <v>37</v>
      </c>
      <c r="K400" s="4"/>
      <c r="L400" s="4">
        <v>60</v>
      </c>
      <c r="M400" s="21">
        <f>1-AVERAGE(N400:R400)</f>
        <v>0.5975568425568426</v>
      </c>
      <c r="N400" s="20">
        <f>ABS($D$2-F400)/F400</f>
        <v>0.58571428571428563</v>
      </c>
      <c r="O400" s="20">
        <f>ABS($E$2-G400)/G400</f>
        <v>0</v>
      </c>
      <c r="P400" s="20">
        <f>ABS($F$2-H400)/H400</f>
        <v>0.72222222222222221</v>
      </c>
      <c r="Q400" s="20">
        <f>ABS($H$2-J400)/J400</f>
        <v>0.44594594594594594</v>
      </c>
      <c r="R400" s="20">
        <f>ABS($J$2-L400)/L400</f>
        <v>0.25833333333333336</v>
      </c>
    </row>
    <row r="401" spans="1:18" ht="15.75" customHeight="1" x14ac:dyDescent="0.2">
      <c r="A401">
        <v>441</v>
      </c>
      <c r="B401" s="9" t="s">
        <v>347</v>
      </c>
      <c r="C401" s="9" t="s">
        <v>348</v>
      </c>
      <c r="E401" s="6" t="s">
        <v>41</v>
      </c>
      <c r="F401" s="3">
        <v>2.25</v>
      </c>
      <c r="G401" s="3">
        <v>51</v>
      </c>
      <c r="H401" s="3">
        <v>4.8</v>
      </c>
      <c r="I401" s="3"/>
      <c r="J401" s="3">
        <v>24</v>
      </c>
      <c r="K401" s="10"/>
      <c r="L401" s="10"/>
      <c r="M401" s="21">
        <f>1-AVERAGE(N401:R401)</f>
        <v>0.5972263071895425</v>
      </c>
      <c r="N401" s="20">
        <f>ABS($D$2-F401)/F401</f>
        <v>0.74222222222222223</v>
      </c>
      <c r="O401" s="20">
        <f>ABS($E$2-G401)/G401</f>
        <v>0.43137254901960786</v>
      </c>
      <c r="P401" s="20">
        <f>ABS($F$2-H401)/H401</f>
        <v>0.29166666666666674</v>
      </c>
      <c r="Q401" s="20">
        <f>ABS($H$2-J401)/J401</f>
        <v>0.14583333333333334</v>
      </c>
      <c r="R401" s="20"/>
    </row>
    <row r="402" spans="1:18" ht="15.75" customHeight="1" x14ac:dyDescent="0.2">
      <c r="A402">
        <v>816</v>
      </c>
      <c r="B402" s="1" t="s">
        <v>653</v>
      </c>
      <c r="C402" s="1"/>
      <c r="D402" s="2"/>
      <c r="E402" s="6" t="s">
        <v>495</v>
      </c>
      <c r="F402" s="1">
        <v>0.5</v>
      </c>
      <c r="G402" s="4">
        <v>25</v>
      </c>
      <c r="H402" s="4">
        <v>3</v>
      </c>
      <c r="I402" s="4"/>
      <c r="J402" s="4">
        <v>16</v>
      </c>
      <c r="K402" s="4"/>
      <c r="L402" s="4">
        <v>56</v>
      </c>
      <c r="M402" s="21">
        <f>1-AVERAGE(N402:R402)</f>
        <v>0.59677380952380954</v>
      </c>
      <c r="N402" s="20">
        <f>ABS($D$2-F402)/F402</f>
        <v>0.16000000000000014</v>
      </c>
      <c r="O402" s="20">
        <f>ABS($E$2-G402)/G402</f>
        <v>0.16</v>
      </c>
      <c r="P402" s="20">
        <f>ABS($F$2-H402)/H402</f>
        <v>1.0666666666666667</v>
      </c>
      <c r="Q402" s="20">
        <f>ABS($H$2-J402)/J402</f>
        <v>0.28125</v>
      </c>
      <c r="R402" s="20">
        <f>ABS($J$2-L402)/L402</f>
        <v>0.3482142857142857</v>
      </c>
    </row>
    <row r="403" spans="1:18" ht="15.75" customHeight="1" x14ac:dyDescent="0.2">
      <c r="A403">
        <v>865</v>
      </c>
      <c r="B403" s="1" t="s">
        <v>693</v>
      </c>
      <c r="C403" s="1"/>
      <c r="D403" s="2"/>
      <c r="E403" s="6" t="s">
        <v>482</v>
      </c>
      <c r="F403" s="1">
        <v>2</v>
      </c>
      <c r="G403" s="4">
        <v>33</v>
      </c>
      <c r="H403" s="4">
        <v>5</v>
      </c>
      <c r="I403" s="4"/>
      <c r="J403" s="4">
        <v>45</v>
      </c>
      <c r="K403" s="4"/>
      <c r="L403" s="4"/>
      <c r="M403" s="21">
        <f>1-AVERAGE(N403:R403)</f>
        <v>0.59608585858585861</v>
      </c>
      <c r="N403" s="20">
        <f>ABS($D$2-F403)/F403</f>
        <v>0.71</v>
      </c>
      <c r="O403" s="20">
        <f>ABS($E$2-G403)/G403</f>
        <v>0.12121212121212122</v>
      </c>
      <c r="P403" s="20">
        <f>ABS($F$2-H403)/H403</f>
        <v>0.24000000000000005</v>
      </c>
      <c r="Q403" s="20">
        <f>ABS($H$2-J403)/J403</f>
        <v>0.5444444444444444</v>
      </c>
      <c r="R403" s="20"/>
    </row>
    <row r="404" spans="1:18" ht="15.75" customHeight="1" x14ac:dyDescent="0.2">
      <c r="A404">
        <v>330</v>
      </c>
      <c r="B404" s="9" t="s">
        <v>261</v>
      </c>
      <c r="E404" s="6" t="s">
        <v>41</v>
      </c>
      <c r="F404" s="3">
        <v>1</v>
      </c>
      <c r="G404" s="3">
        <f>(30+35)/2</f>
        <v>32.5</v>
      </c>
      <c r="H404" s="3">
        <f>(7+9)/2</f>
        <v>8</v>
      </c>
      <c r="I404" s="3"/>
      <c r="J404" s="3">
        <f>(10+12)/2</f>
        <v>11</v>
      </c>
      <c r="K404" s="3"/>
      <c r="L404" s="3"/>
      <c r="M404" s="21">
        <f>1-AVERAGE(N404:R404)</f>
        <v>0.59591783216783223</v>
      </c>
      <c r="N404" s="20">
        <f>ABS($D$2-F404)/F404</f>
        <v>0.41999999999999993</v>
      </c>
      <c r="O404" s="20">
        <f>ABS($E$2-G404)/G404</f>
        <v>0.1076923076923077</v>
      </c>
      <c r="P404" s="20">
        <f>ABS($F$2-H404)/H404</f>
        <v>0.22499999999999998</v>
      </c>
      <c r="Q404" s="20">
        <f>ABS($H$2-J404)/J404</f>
        <v>0.86363636363636365</v>
      </c>
      <c r="R404" s="20"/>
    </row>
    <row r="405" spans="1:18" ht="15.75" customHeight="1" x14ac:dyDescent="0.2">
      <c r="A405">
        <v>927</v>
      </c>
      <c r="B405" s="1" t="s">
        <v>735</v>
      </c>
      <c r="C405" s="1"/>
      <c r="D405" s="2"/>
      <c r="E405" s="6" t="s">
        <v>495</v>
      </c>
      <c r="F405" s="1">
        <v>1.1000000000000001</v>
      </c>
      <c r="G405" s="4">
        <v>26</v>
      </c>
      <c r="H405" s="4">
        <v>6</v>
      </c>
      <c r="I405" s="4"/>
      <c r="J405" s="4">
        <v>42</v>
      </c>
      <c r="K405" s="4"/>
      <c r="L405" s="4">
        <v>40</v>
      </c>
      <c r="M405" s="21">
        <f>1-AVERAGE(N405:R405)</f>
        <v>0.59583000333000347</v>
      </c>
      <c r="N405" s="20">
        <f>ABS($D$2-F405)/F405</f>
        <v>0.47272727272727272</v>
      </c>
      <c r="O405" s="20">
        <f>ABS($E$2-G405)/G405</f>
        <v>0.11538461538461539</v>
      </c>
      <c r="P405" s="20">
        <f>ABS($F$2-H405)/H405</f>
        <v>3.3333333333333361E-2</v>
      </c>
      <c r="Q405" s="20">
        <f>ABS($H$2-J405)/J405</f>
        <v>0.51190476190476186</v>
      </c>
      <c r="R405" s="20">
        <f>ABS($J$2-L405)/L405</f>
        <v>0.88749999999999996</v>
      </c>
    </row>
    <row r="406" spans="1:18" ht="15.75" customHeight="1" x14ac:dyDescent="0.2">
      <c r="A406">
        <v>890</v>
      </c>
      <c r="B406" s="1" t="s">
        <v>708</v>
      </c>
      <c r="C406" s="1"/>
      <c r="D406" s="2"/>
      <c r="E406" s="6" t="s">
        <v>495</v>
      </c>
      <c r="F406" s="1">
        <v>1.4</v>
      </c>
      <c r="G406" s="4">
        <v>40</v>
      </c>
      <c r="H406" s="4">
        <v>4.5999999999999996</v>
      </c>
      <c r="I406" s="4"/>
      <c r="J406" s="4">
        <v>27</v>
      </c>
      <c r="K406" s="4"/>
      <c r="L406" s="4">
        <v>48</v>
      </c>
      <c r="M406" s="21">
        <f>1-AVERAGE(N406:R406)</f>
        <v>0.59556044398435704</v>
      </c>
      <c r="N406" s="20">
        <f>ABS($D$2-F406)/F406</f>
        <v>0.58571428571428563</v>
      </c>
      <c r="O406" s="20">
        <f>ABS($E$2-G406)/G406</f>
        <v>0.27500000000000002</v>
      </c>
      <c r="P406" s="20">
        <f>ABS($F$2-H406)/H406</f>
        <v>0.3478260869565219</v>
      </c>
      <c r="Q406" s="20">
        <f>ABS($H$2-J406)/J406</f>
        <v>0.24074074074074073</v>
      </c>
      <c r="R406" s="20">
        <f>ABS($J$2-L406)/L406</f>
        <v>0.57291666666666663</v>
      </c>
    </row>
    <row r="407" spans="1:18" ht="15.75" customHeight="1" x14ac:dyDescent="0.2">
      <c r="A407">
        <v>521</v>
      </c>
      <c r="B407" s="9" t="s">
        <v>407</v>
      </c>
      <c r="E407" s="6" t="s">
        <v>41</v>
      </c>
      <c r="F407" s="3">
        <v>1.1000000000000001</v>
      </c>
      <c r="G407" s="3">
        <v>21</v>
      </c>
      <c r="H407" s="3">
        <v>5.6</v>
      </c>
      <c r="I407" s="3"/>
      <c r="J407" s="3">
        <v>60</v>
      </c>
      <c r="K407" s="10"/>
      <c r="L407" s="10"/>
      <c r="M407" s="21">
        <f>1-AVERAGE(N407:R407)</f>
        <v>0.595211038961039</v>
      </c>
      <c r="N407" s="20">
        <f>ABS($D$2-F407)/F407</f>
        <v>0.47272727272727272</v>
      </c>
      <c r="O407" s="20">
        <f>ABS($E$2-G407)/G407</f>
        <v>0.38095238095238093</v>
      </c>
      <c r="P407" s="20">
        <f>ABS($F$2-H407)/H407</f>
        <v>0.10714285714285725</v>
      </c>
      <c r="Q407" s="20">
        <f>ABS($H$2-J407)/J407</f>
        <v>0.65833333333333333</v>
      </c>
      <c r="R407" s="20"/>
    </row>
    <row r="408" spans="1:18" ht="15.75" customHeight="1" x14ac:dyDescent="0.2">
      <c r="A408">
        <v>88</v>
      </c>
      <c r="B408" s="1" t="s">
        <v>95</v>
      </c>
      <c r="C408" s="1"/>
      <c r="D408" s="2"/>
      <c r="E408" s="6" t="s">
        <v>40</v>
      </c>
      <c r="F408" s="3">
        <v>0.6</v>
      </c>
      <c r="G408" s="3">
        <v>31</v>
      </c>
      <c r="H408" s="3">
        <v>5.5</v>
      </c>
      <c r="I408" s="3"/>
      <c r="J408" s="3">
        <v>8</v>
      </c>
      <c r="K408" s="3"/>
      <c r="L408" s="3">
        <v>61</v>
      </c>
      <c r="M408" s="21">
        <f>1-AVERAGE(N408:R408)</f>
        <v>0.59493457846577891</v>
      </c>
      <c r="N408" s="20">
        <f>ABS($D$2-F408)/F408</f>
        <v>3.333333333333318E-2</v>
      </c>
      <c r="O408" s="20">
        <f>ABS($E$2-G408)/G408</f>
        <v>6.4516129032258063E-2</v>
      </c>
      <c r="P408" s="20">
        <f>ABS($F$2-H408)/H408</f>
        <v>0.12727272727272732</v>
      </c>
      <c r="Q408" s="20">
        <f>ABS($H$2-J408)/J408</f>
        <v>1.5625</v>
      </c>
      <c r="R408" s="20">
        <f>ABS($J$2-L408)/L408</f>
        <v>0.23770491803278687</v>
      </c>
    </row>
    <row r="409" spans="1:18" ht="15.75" customHeight="1" x14ac:dyDescent="0.2">
      <c r="A409">
        <v>409</v>
      </c>
      <c r="B409" s="9" t="s">
        <v>326</v>
      </c>
      <c r="E409" s="6" t="s">
        <v>40</v>
      </c>
      <c r="F409" s="3">
        <f>(1.4+2)/2</f>
        <v>1.7</v>
      </c>
      <c r="G409" s="3">
        <v>31</v>
      </c>
      <c r="H409" s="3">
        <v>4</v>
      </c>
      <c r="I409" s="3"/>
      <c r="J409" s="3">
        <v>25</v>
      </c>
      <c r="K409" s="3"/>
      <c r="L409" s="3">
        <v>48</v>
      </c>
      <c r="M409" s="21">
        <f>1-AVERAGE(N409:R409)</f>
        <v>0.59474873497786207</v>
      </c>
      <c r="N409" s="20">
        <f>ABS($D$2-F409)/F409</f>
        <v>0.6588235294117647</v>
      </c>
      <c r="O409" s="20">
        <f>ABS($E$2-G409)/G409</f>
        <v>6.4516129032258063E-2</v>
      </c>
      <c r="P409" s="20">
        <f>ABS($F$2-H409)/H409</f>
        <v>0.55000000000000004</v>
      </c>
      <c r="Q409" s="20">
        <f>ABS($H$2-J409)/J409</f>
        <v>0.18</v>
      </c>
      <c r="R409" s="20">
        <f>ABS($J$2-L409)/L409</f>
        <v>0.57291666666666663</v>
      </c>
    </row>
    <row r="410" spans="1:18" ht="15.75" customHeight="1" x14ac:dyDescent="0.2">
      <c r="A410">
        <v>814</v>
      </c>
      <c r="B410" s="1" t="s">
        <v>649</v>
      </c>
      <c r="C410" s="1" t="s">
        <v>650</v>
      </c>
      <c r="D410" s="2"/>
      <c r="E410" s="6" t="s">
        <v>495</v>
      </c>
      <c r="F410" s="1">
        <v>0.5</v>
      </c>
      <c r="G410" s="4">
        <v>17</v>
      </c>
      <c r="H410" s="4">
        <v>3.3</v>
      </c>
      <c r="I410" s="4"/>
      <c r="J410" s="4">
        <f>(17+23)/2</f>
        <v>20</v>
      </c>
      <c r="K410" s="4"/>
      <c r="L410" s="4">
        <v>60</v>
      </c>
      <c r="M410" s="21">
        <f>1-AVERAGE(N410:R410)</f>
        <v>0.5943992869875222</v>
      </c>
      <c r="N410" s="20">
        <f>ABS($D$2-F410)/F410</f>
        <v>0.16000000000000014</v>
      </c>
      <c r="O410" s="20">
        <f>ABS($E$2-G410)/G410</f>
        <v>0.70588235294117652</v>
      </c>
      <c r="P410" s="20">
        <f>ABS($F$2-H410)/H410</f>
        <v>0.8787878787878789</v>
      </c>
      <c r="Q410" s="20">
        <f>ABS($H$2-J410)/J410</f>
        <v>2.5000000000000001E-2</v>
      </c>
      <c r="R410" s="20">
        <f>ABS($J$2-L410)/L410</f>
        <v>0.25833333333333336</v>
      </c>
    </row>
    <row r="411" spans="1:18" ht="15.75" customHeight="1" x14ac:dyDescent="0.2">
      <c r="A411">
        <v>512</v>
      </c>
      <c r="B411" s="9" t="s">
        <v>402</v>
      </c>
      <c r="E411" s="6" t="s">
        <v>40</v>
      </c>
      <c r="F411" s="3">
        <v>0.9</v>
      </c>
      <c r="G411" s="3">
        <v>22</v>
      </c>
      <c r="H411" s="3">
        <v>4.3</v>
      </c>
      <c r="I411" s="3"/>
      <c r="J411" s="3">
        <v>50</v>
      </c>
      <c r="K411" s="3"/>
      <c r="L411" s="3">
        <v>57</v>
      </c>
      <c r="M411" s="21">
        <f>1-AVERAGE(N411:R411)</f>
        <v>0.59396815152751503</v>
      </c>
      <c r="N411" s="20">
        <f>ABS($D$2-F411)/F411</f>
        <v>0.35555555555555551</v>
      </c>
      <c r="O411" s="20">
        <f>ABS($E$2-G411)/G411</f>
        <v>0.31818181818181818</v>
      </c>
      <c r="P411" s="20">
        <f>ABS($F$2-H411)/H411</f>
        <v>0.44186046511627919</v>
      </c>
      <c r="Q411" s="20">
        <f>ABS($H$2-J411)/J411</f>
        <v>0.59</v>
      </c>
      <c r="R411" s="20">
        <f>ABS($J$2-L411)/L411</f>
        <v>0.32456140350877194</v>
      </c>
    </row>
    <row r="412" spans="1:18" ht="15.75" customHeight="1" x14ac:dyDescent="0.2">
      <c r="A412">
        <v>60</v>
      </c>
      <c r="B412" s="1" t="s">
        <v>74</v>
      </c>
      <c r="C412" s="1" t="s">
        <v>75</v>
      </c>
      <c r="D412" s="2"/>
      <c r="E412" s="6" t="s">
        <v>41</v>
      </c>
      <c r="F412" s="3">
        <f>(2.1+2.4)/2</f>
        <v>2.25</v>
      </c>
      <c r="G412" s="3">
        <f>(44+47)/2</f>
        <v>45.5</v>
      </c>
      <c r="H412" s="3">
        <v>4.3</v>
      </c>
      <c r="I412" s="3"/>
      <c r="J412" s="3">
        <f>(18+20)/2</f>
        <v>19</v>
      </c>
      <c r="K412" s="3"/>
      <c r="L412" s="3"/>
      <c r="M412" s="21">
        <f>1-AVERAGE(N412:R412)</f>
        <v>0.59358314540077084</v>
      </c>
      <c r="N412" s="20">
        <f>ABS($D$2-F412)/F412</f>
        <v>0.74222222222222223</v>
      </c>
      <c r="O412" s="20">
        <f>ABS($E$2-G412)/G412</f>
        <v>0.36263736263736263</v>
      </c>
      <c r="P412" s="20">
        <f>ABS($F$2-H412)/H412</f>
        <v>0.44186046511627919</v>
      </c>
      <c r="Q412" s="20">
        <f>ABS($H$2-J412)/J412</f>
        <v>7.8947368421052627E-2</v>
      </c>
      <c r="R412" s="20"/>
    </row>
    <row r="413" spans="1:18" ht="15.75" customHeight="1" x14ac:dyDescent="0.2">
      <c r="A413">
        <v>444</v>
      </c>
      <c r="B413" s="9" t="s">
        <v>350</v>
      </c>
      <c r="E413" s="6" t="s">
        <v>40</v>
      </c>
      <c r="F413" s="3">
        <v>1.2</v>
      </c>
      <c r="G413" s="3">
        <v>29</v>
      </c>
      <c r="H413" s="3">
        <v>4</v>
      </c>
      <c r="I413" s="3"/>
      <c r="J413" s="3">
        <v>58</v>
      </c>
      <c r="K413" s="3"/>
      <c r="L413" s="3">
        <v>57</v>
      </c>
      <c r="M413" s="21">
        <f>1-AVERAGE(N413:R413)</f>
        <v>0.59244404113732607</v>
      </c>
      <c r="N413" s="20">
        <f>ABS($D$2-F413)/F413</f>
        <v>0.51666666666666661</v>
      </c>
      <c r="O413" s="20">
        <f>ABS($E$2-G413)/G413</f>
        <v>0</v>
      </c>
      <c r="P413" s="20">
        <f>ABS($F$2-H413)/H413</f>
        <v>0.55000000000000004</v>
      </c>
      <c r="Q413" s="20">
        <f>ABS($H$2-J413)/J413</f>
        <v>0.64655172413793105</v>
      </c>
      <c r="R413" s="20">
        <f>ABS($J$2-L413)/L413</f>
        <v>0.32456140350877194</v>
      </c>
    </row>
    <row r="414" spans="1:18" ht="15.75" customHeight="1" x14ac:dyDescent="0.2">
      <c r="A414">
        <v>134</v>
      </c>
      <c r="B414" s="1" t="s">
        <v>120</v>
      </c>
      <c r="C414" s="1" t="s">
        <v>121</v>
      </c>
      <c r="D414" s="2"/>
      <c r="E414" s="6" t="s">
        <v>40</v>
      </c>
      <c r="F414" s="3">
        <f>(1.56+1.67)/2</f>
        <v>1.615</v>
      </c>
      <c r="G414" s="3">
        <f>(43+44.5)/2</f>
        <v>43.75</v>
      </c>
      <c r="H414" s="3">
        <f>(15.9+16.4)/2</f>
        <v>16.149999999999999</v>
      </c>
      <c r="I414" s="3"/>
      <c r="J414" s="3">
        <f>(29+31.7)/2</f>
        <v>30.35</v>
      </c>
      <c r="K414" s="3"/>
      <c r="L414" s="3">
        <f>(85.7+86.3)/2</f>
        <v>86</v>
      </c>
      <c r="M414" s="21">
        <f>1-AVERAGE(N414:R414)</f>
        <v>0.59185024462096614</v>
      </c>
      <c r="N414" s="20">
        <f>ABS($D$2-F414)/F414</f>
        <v>0.64086687306501544</v>
      </c>
      <c r="O414" s="20">
        <f>ABS($E$2-G414)/G414</f>
        <v>0.33714285714285713</v>
      </c>
      <c r="P414" s="20">
        <f>ABS($F$2-H414)/H414</f>
        <v>0.61609907120743035</v>
      </c>
      <c r="Q414" s="20">
        <f>ABS($H$2-J414)/J414</f>
        <v>0.32454695222405278</v>
      </c>
      <c r="R414" s="20">
        <f>ABS($J$2-L414)/L414</f>
        <v>0.12209302325581395</v>
      </c>
    </row>
    <row r="415" spans="1:18" ht="15.75" customHeight="1" x14ac:dyDescent="0.2">
      <c r="A415">
        <v>916</v>
      </c>
      <c r="B415" s="1" t="s">
        <v>725</v>
      </c>
      <c r="C415" s="1" t="s">
        <v>726</v>
      </c>
      <c r="D415" s="2"/>
      <c r="E415" s="6" t="s">
        <v>495</v>
      </c>
      <c r="F415" s="1">
        <v>0.8</v>
      </c>
      <c r="G415" s="4">
        <v>28</v>
      </c>
      <c r="H415" s="4">
        <v>3.3</v>
      </c>
      <c r="I415" s="4"/>
      <c r="J415" s="4">
        <v>36</v>
      </c>
      <c r="K415" s="4"/>
      <c r="L415" s="4">
        <v>53</v>
      </c>
      <c r="M415" s="21">
        <f>1-AVERAGE(N415:R415)</f>
        <v>0.59108279561109744</v>
      </c>
      <c r="N415" s="20">
        <f>ABS($D$2-F415)/F415</f>
        <v>0.27499999999999997</v>
      </c>
      <c r="O415" s="20">
        <f>ABS($E$2-G415)/G415</f>
        <v>3.5714285714285712E-2</v>
      </c>
      <c r="P415" s="20">
        <f>ABS($F$2-H415)/H415</f>
        <v>0.8787878787878789</v>
      </c>
      <c r="Q415" s="20">
        <f>ABS($H$2-J415)/J415</f>
        <v>0.43055555555555558</v>
      </c>
      <c r="R415" s="20">
        <f>ABS($J$2-L415)/L415</f>
        <v>0.42452830188679247</v>
      </c>
    </row>
    <row r="416" spans="1:18" ht="15.75" customHeight="1" x14ac:dyDescent="0.2">
      <c r="A416">
        <v>901</v>
      </c>
      <c r="B416" s="1" t="s">
        <v>714</v>
      </c>
      <c r="C416" s="1"/>
      <c r="D416" s="2"/>
      <c r="E416" s="6" t="s">
        <v>495</v>
      </c>
      <c r="F416" s="1">
        <v>0.64</v>
      </c>
      <c r="G416" s="4">
        <v>25</v>
      </c>
      <c r="H416" s="4">
        <v>3</v>
      </c>
      <c r="I416" s="4"/>
      <c r="J416" s="4">
        <v>64</v>
      </c>
      <c r="K416" s="4"/>
      <c r="L416" s="4">
        <v>72</v>
      </c>
      <c r="M416" s="21">
        <f>1-AVERAGE(N416:R416)</f>
        <v>0.59025694444444443</v>
      </c>
      <c r="N416" s="20">
        <f>ABS($D$2-F416)/F416</f>
        <v>9.3749999999999903E-2</v>
      </c>
      <c r="O416" s="20">
        <f>ABS($E$2-G416)/G416</f>
        <v>0.16</v>
      </c>
      <c r="P416" s="20">
        <f>ABS($F$2-H416)/H416</f>
        <v>1.0666666666666667</v>
      </c>
      <c r="Q416" s="20">
        <f>ABS($H$2-J416)/J416</f>
        <v>0.6796875</v>
      </c>
      <c r="R416" s="20">
        <f>ABS($J$2-L416)/L416</f>
        <v>4.8611111111111112E-2</v>
      </c>
    </row>
    <row r="417" spans="1:18" ht="15.75" customHeight="1" x14ac:dyDescent="0.2">
      <c r="A417">
        <v>799</v>
      </c>
      <c r="B417" s="1" t="s">
        <v>326</v>
      </c>
      <c r="C417" s="1" t="s">
        <v>635</v>
      </c>
      <c r="D417" s="2"/>
      <c r="E417" s="6" t="s">
        <v>495</v>
      </c>
      <c r="F417" s="1">
        <v>1.8</v>
      </c>
      <c r="G417" s="4">
        <v>34</v>
      </c>
      <c r="H417" s="4">
        <v>4.2</v>
      </c>
      <c r="I417" s="4"/>
      <c r="J417" s="4">
        <v>28</v>
      </c>
      <c r="K417" s="4"/>
      <c r="L417" s="4">
        <v>51</v>
      </c>
      <c r="M417" s="21">
        <f>1-AVERAGE(N417:R417)</f>
        <v>0.59014472455648925</v>
      </c>
      <c r="N417" s="20">
        <f>ABS($D$2-F417)/F417</f>
        <v>0.6777777777777777</v>
      </c>
      <c r="O417" s="20">
        <f>ABS($E$2-G417)/G417</f>
        <v>0.14705882352941177</v>
      </c>
      <c r="P417" s="20">
        <f>ABS($F$2-H417)/H417</f>
        <v>0.47619047619047616</v>
      </c>
      <c r="Q417" s="20">
        <f>ABS($H$2-J417)/J417</f>
        <v>0.26785714285714285</v>
      </c>
      <c r="R417" s="20">
        <f>ABS($J$2-L417)/L417</f>
        <v>0.48039215686274511</v>
      </c>
    </row>
    <row r="418" spans="1:18" ht="15.75" customHeight="1" x14ac:dyDescent="0.2">
      <c r="A418">
        <v>503</v>
      </c>
      <c r="B418" s="9" t="s">
        <v>395</v>
      </c>
      <c r="E418" s="6" t="s">
        <v>40</v>
      </c>
      <c r="F418" s="3">
        <f>(0.93+0.96)/2</f>
        <v>0.94500000000000006</v>
      </c>
      <c r="G418" s="3">
        <f>(21+23)/2</f>
        <v>22</v>
      </c>
      <c r="H418" s="3">
        <f>(3+3.1)/2</f>
        <v>3.05</v>
      </c>
      <c r="I418" s="3"/>
      <c r="J418" s="3">
        <v>21</v>
      </c>
      <c r="K418" s="3"/>
      <c r="L418" s="3">
        <f>(58+59)/2</f>
        <v>58.5</v>
      </c>
      <c r="M418" s="21">
        <f>1-AVERAGE(N418:R418)</f>
        <v>0.58967601918421586</v>
      </c>
      <c r="N418" s="20">
        <f>ABS($D$2-F418)/F418</f>
        <v>0.38624338624338622</v>
      </c>
      <c r="O418" s="20">
        <f>ABS($E$2-G418)/G418</f>
        <v>0.31818181818181818</v>
      </c>
      <c r="P418" s="20">
        <f>ABS($F$2-H418)/H418</f>
        <v>1.0327868852459019</v>
      </c>
      <c r="Q418" s="20">
        <f>ABS($H$2-J418)/J418</f>
        <v>2.3809523809523808E-2</v>
      </c>
      <c r="R418" s="20">
        <f>ABS($J$2-L418)/L418</f>
        <v>0.29059829059829062</v>
      </c>
    </row>
    <row r="419" spans="1:18" ht="15.75" customHeight="1" x14ac:dyDescent="0.2">
      <c r="A419">
        <v>431</v>
      </c>
      <c r="B419" s="9" t="s">
        <v>341</v>
      </c>
      <c r="E419" s="6" t="s">
        <v>40</v>
      </c>
      <c r="F419" s="3">
        <v>1.5</v>
      </c>
      <c r="G419" s="3">
        <v>31</v>
      </c>
      <c r="H419" s="3">
        <v>4.7</v>
      </c>
      <c r="I419" s="3"/>
      <c r="J419" s="3">
        <v>50</v>
      </c>
      <c r="K419" s="3"/>
      <c r="L419" s="3">
        <v>51</v>
      </c>
      <c r="M419" s="21">
        <f>1-AVERAGE(N419:R419)</f>
        <v>0.58652188892029022</v>
      </c>
      <c r="N419" s="20">
        <f>ABS($D$2-F419)/F419</f>
        <v>0.61333333333333329</v>
      </c>
      <c r="O419" s="20">
        <f>ABS($E$2-G419)/G419</f>
        <v>6.4516129032258063E-2</v>
      </c>
      <c r="P419" s="20">
        <f>ABS($F$2-H419)/H419</f>
        <v>0.31914893617021273</v>
      </c>
      <c r="Q419" s="20">
        <f>ABS($H$2-J419)/J419</f>
        <v>0.59</v>
      </c>
      <c r="R419" s="20">
        <f>ABS($J$2-L419)/L419</f>
        <v>0.48039215686274511</v>
      </c>
    </row>
    <row r="420" spans="1:18" ht="15.75" customHeight="1" x14ac:dyDescent="0.2">
      <c r="A420">
        <v>804</v>
      </c>
      <c r="B420" s="1" t="s">
        <v>639</v>
      </c>
      <c r="C420" s="1" t="s">
        <v>640</v>
      </c>
      <c r="D420" s="2"/>
      <c r="E420" s="6" t="s">
        <v>495</v>
      </c>
      <c r="F420" s="1">
        <v>1.7</v>
      </c>
      <c r="G420" s="4">
        <v>24</v>
      </c>
      <c r="H420" s="4">
        <v>4.0999999999999996</v>
      </c>
      <c r="I420" s="4"/>
      <c r="J420" s="4">
        <v>30</v>
      </c>
      <c r="K420" s="4"/>
      <c r="L420" s="4">
        <v>55</v>
      </c>
      <c r="M420" s="21">
        <f>1-AVERAGE(N420:R420)</f>
        <v>0.58625081518194855</v>
      </c>
      <c r="N420" s="20">
        <f>ABS($D$2-F420)/F420</f>
        <v>0.6588235294117647</v>
      </c>
      <c r="O420" s="20">
        <f>ABS($E$2-G420)/G420</f>
        <v>0.20833333333333334</v>
      </c>
      <c r="P420" s="20">
        <f>ABS($F$2-H420)/H420</f>
        <v>0.51219512195121963</v>
      </c>
      <c r="Q420" s="20">
        <f>ABS($H$2-J420)/J420</f>
        <v>0.31666666666666665</v>
      </c>
      <c r="R420" s="20">
        <f>ABS($J$2-L420)/L420</f>
        <v>0.37272727272727274</v>
      </c>
    </row>
    <row r="421" spans="1:18" ht="15.75" customHeight="1" x14ac:dyDescent="0.2">
      <c r="A421">
        <v>447</v>
      </c>
      <c r="B421" s="9" t="s">
        <v>352</v>
      </c>
      <c r="E421" s="6" t="s">
        <v>41</v>
      </c>
      <c r="F421" s="3">
        <v>1</v>
      </c>
      <c r="G421" s="3">
        <v>33</v>
      </c>
      <c r="H421" s="3">
        <v>4.3</v>
      </c>
      <c r="I421" s="3"/>
      <c r="J421" s="3">
        <v>63</v>
      </c>
      <c r="K421" s="10"/>
      <c r="L421" s="10"/>
      <c r="M421" s="21">
        <f>1-AVERAGE(N421:R421)</f>
        <v>0.58558105976710628</v>
      </c>
      <c r="N421" s="20">
        <f>ABS($D$2-F421)/F421</f>
        <v>0.41999999999999993</v>
      </c>
      <c r="O421" s="20">
        <f>ABS($E$2-G421)/G421</f>
        <v>0.12121212121212122</v>
      </c>
      <c r="P421" s="20">
        <f>ABS($F$2-H421)/H421</f>
        <v>0.44186046511627919</v>
      </c>
      <c r="Q421" s="20">
        <f>ABS($H$2-J421)/J421</f>
        <v>0.67460317460317465</v>
      </c>
      <c r="R421" s="20"/>
    </row>
    <row r="422" spans="1:18" ht="15.75" customHeight="1" x14ac:dyDescent="0.2">
      <c r="A422">
        <v>723</v>
      </c>
      <c r="B422" s="1" t="s">
        <v>575</v>
      </c>
      <c r="C422" s="1"/>
      <c r="D422" s="2"/>
      <c r="E422" s="6" t="s">
        <v>495</v>
      </c>
      <c r="F422" s="1">
        <v>0.7</v>
      </c>
      <c r="G422" s="4">
        <v>29</v>
      </c>
      <c r="H422" s="4">
        <v>5.3</v>
      </c>
      <c r="I422" s="4"/>
      <c r="J422" s="4">
        <v>8.1999999999999993</v>
      </c>
      <c r="K422" s="4"/>
      <c r="L422" s="4">
        <v>61</v>
      </c>
      <c r="M422" s="21">
        <f>1-AVERAGE(N422:R422)</f>
        <v>0.58421103795678486</v>
      </c>
      <c r="N422" s="20">
        <f>ABS($D$2-F422)/F422</f>
        <v>0.17142857142857126</v>
      </c>
      <c r="O422" s="20">
        <f>ABS($E$2-G422)/G422</f>
        <v>0</v>
      </c>
      <c r="P422" s="20">
        <f>ABS($F$2-H422)/H422</f>
        <v>0.16981132075471705</v>
      </c>
      <c r="Q422" s="20">
        <f>ABS($H$2-J422)/J422</f>
        <v>1.5000000000000002</v>
      </c>
      <c r="R422" s="20">
        <f>ABS($J$2-L422)/L422</f>
        <v>0.23770491803278687</v>
      </c>
    </row>
    <row r="423" spans="1:18" ht="15.75" customHeight="1" x14ac:dyDescent="0.2">
      <c r="A423">
        <v>408</v>
      </c>
      <c r="B423" s="9" t="s">
        <v>325</v>
      </c>
      <c r="E423" s="6" t="s">
        <v>41</v>
      </c>
      <c r="F423" s="3">
        <v>1.1000000000000001</v>
      </c>
      <c r="G423" s="3">
        <v>25</v>
      </c>
      <c r="H423" s="3">
        <v>4.3</v>
      </c>
      <c r="I423" s="3"/>
      <c r="J423" s="3">
        <v>50</v>
      </c>
      <c r="K423" s="10"/>
      <c r="L423" s="10"/>
      <c r="M423" s="21">
        <f>1-AVERAGE(N423:R423)</f>
        <v>0.58385306553911209</v>
      </c>
      <c r="N423" s="20">
        <f>ABS($D$2-F423)/F423</f>
        <v>0.47272727272727272</v>
      </c>
      <c r="O423" s="20">
        <f>ABS($E$2-G423)/G423</f>
        <v>0.16</v>
      </c>
      <c r="P423" s="20">
        <f>ABS($F$2-H423)/H423</f>
        <v>0.44186046511627919</v>
      </c>
      <c r="Q423" s="20">
        <f>ABS($H$2-J423)/J423</f>
        <v>0.59</v>
      </c>
      <c r="R423" s="20"/>
    </row>
    <row r="424" spans="1:18" ht="15.75" customHeight="1" x14ac:dyDescent="0.2">
      <c r="A424">
        <v>798</v>
      </c>
      <c r="B424" s="1" t="s">
        <v>634</v>
      </c>
      <c r="C424" s="1"/>
      <c r="D424" s="2"/>
      <c r="E424" s="6" t="s">
        <v>495</v>
      </c>
      <c r="F424" s="1">
        <v>1.3</v>
      </c>
      <c r="G424" s="4">
        <v>23</v>
      </c>
      <c r="H424" s="4">
        <v>3.6</v>
      </c>
      <c r="I424" s="4"/>
      <c r="J424" s="4">
        <v>24</v>
      </c>
      <c r="K424" s="4"/>
      <c r="L424" s="4">
        <v>54</v>
      </c>
      <c r="M424" s="21">
        <f>1-AVERAGE(N424:R424)</f>
        <v>0.58381611544655032</v>
      </c>
      <c r="N424" s="20">
        <f>ABS($D$2-F424)/F424</f>
        <v>0.55384615384615377</v>
      </c>
      <c r="O424" s="20">
        <f>ABS($E$2-G424)/G424</f>
        <v>0.2608695652173913</v>
      </c>
      <c r="P424" s="20">
        <f>ABS($F$2-H424)/H424</f>
        <v>0.72222222222222221</v>
      </c>
      <c r="Q424" s="20">
        <f>ABS($H$2-J424)/J424</f>
        <v>0.14583333333333334</v>
      </c>
      <c r="R424" s="20">
        <f>ABS($J$2-L424)/L424</f>
        <v>0.39814814814814814</v>
      </c>
    </row>
    <row r="425" spans="1:18" ht="15.75" customHeight="1" x14ac:dyDescent="0.2">
      <c r="A425">
        <v>207</v>
      </c>
      <c r="B425" s="1" t="s">
        <v>175</v>
      </c>
      <c r="C425" s="1" t="s">
        <v>176</v>
      </c>
      <c r="D425" s="2"/>
      <c r="E425" s="6" t="s">
        <v>40</v>
      </c>
      <c r="F425" s="3">
        <f>(0.96+1.2)/2</f>
        <v>1.08</v>
      </c>
      <c r="G425" s="3">
        <f>(13+20)/2</f>
        <v>16.5</v>
      </c>
      <c r="H425" s="3">
        <f>(3.8+5)/2</f>
        <v>4.4000000000000004</v>
      </c>
      <c r="I425" s="3"/>
      <c r="J425" s="3">
        <f>(17+19)/2</f>
        <v>18</v>
      </c>
      <c r="K425" s="3"/>
      <c r="L425" s="3">
        <f>(56+59)/2</f>
        <v>57.5</v>
      </c>
      <c r="M425" s="21">
        <f>1-AVERAGE(N425:R425)</f>
        <v>0.5836876006441224</v>
      </c>
      <c r="N425" s="20">
        <f>ABS($D$2-F425)/F425</f>
        <v>0.46296296296296291</v>
      </c>
      <c r="O425" s="20">
        <f>ABS($E$2-G425)/G425</f>
        <v>0.75757575757575757</v>
      </c>
      <c r="P425" s="20">
        <f>ABS($F$2-H425)/H425</f>
        <v>0.40909090909090901</v>
      </c>
      <c r="Q425" s="20">
        <f>ABS($H$2-J425)/J425</f>
        <v>0.1388888888888889</v>
      </c>
      <c r="R425" s="20">
        <f>ABS($J$2-L425)/L425</f>
        <v>0.31304347826086959</v>
      </c>
    </row>
    <row r="426" spans="1:18" ht="15.75" customHeight="1" x14ac:dyDescent="0.2">
      <c r="A426">
        <v>213</v>
      </c>
      <c r="B426" s="1" t="s">
        <v>181</v>
      </c>
      <c r="C426" s="1" t="s">
        <v>182</v>
      </c>
      <c r="D426" s="2"/>
      <c r="E426" s="6" t="s">
        <v>40</v>
      </c>
      <c r="F426" s="3">
        <f>(1.4+1.54)/2</f>
        <v>1.47</v>
      </c>
      <c r="G426" s="3">
        <f>(15+16)/2</f>
        <v>15.5</v>
      </c>
      <c r="H426" s="3">
        <f>(5.3+6.8)/2</f>
        <v>6.05</v>
      </c>
      <c r="I426" s="3"/>
      <c r="J426" s="3">
        <f>(27+30)/2</f>
        <v>28.5</v>
      </c>
      <c r="K426" s="3"/>
      <c r="L426" s="3">
        <f>(57+59)/2</f>
        <v>58</v>
      </c>
      <c r="M426" s="21">
        <f>1-AVERAGE(N426:R426)</f>
        <v>0.58327416008940325</v>
      </c>
      <c r="N426" s="20">
        <f>ABS($D$2-F426)/F426</f>
        <v>0.60544217687074819</v>
      </c>
      <c r="O426" s="20">
        <f>ABS($E$2-G426)/G426</f>
        <v>0.87096774193548387</v>
      </c>
      <c r="P426" s="20">
        <f>ABS($F$2-H426)/H426</f>
        <v>2.4793388429752126E-2</v>
      </c>
      <c r="Q426" s="20">
        <f>ABS($H$2-J426)/J426</f>
        <v>0.2807017543859649</v>
      </c>
      <c r="R426" s="20">
        <f>ABS($J$2-L426)/L426</f>
        <v>0.30172413793103448</v>
      </c>
    </row>
    <row r="427" spans="1:18" ht="15.75" customHeight="1" x14ac:dyDescent="0.2">
      <c r="A427">
        <v>861</v>
      </c>
      <c r="B427" s="1" t="s">
        <v>689</v>
      </c>
      <c r="C427" s="1" t="s">
        <v>690</v>
      </c>
      <c r="D427" s="2"/>
      <c r="E427" s="6" t="s">
        <v>495</v>
      </c>
      <c r="F427" s="1">
        <v>0.6</v>
      </c>
      <c r="G427" s="4">
        <v>18</v>
      </c>
      <c r="H427" s="4">
        <v>3</v>
      </c>
      <c r="I427" s="4"/>
      <c r="J427" s="4">
        <v>18</v>
      </c>
      <c r="K427" s="4"/>
      <c r="L427" s="4">
        <v>61</v>
      </c>
      <c r="M427" s="21">
        <f>1-AVERAGE(N427:R427)</f>
        <v>0.58245901639344266</v>
      </c>
      <c r="N427" s="20">
        <f>ABS($D$2-F427)/F427</f>
        <v>3.333333333333318E-2</v>
      </c>
      <c r="O427" s="20">
        <f>ABS($E$2-G427)/G427</f>
        <v>0.61111111111111116</v>
      </c>
      <c r="P427" s="20">
        <f>ABS($F$2-H427)/H427</f>
        <v>1.0666666666666667</v>
      </c>
      <c r="Q427" s="20">
        <f>ABS($H$2-J427)/J427</f>
        <v>0.1388888888888889</v>
      </c>
      <c r="R427" s="20">
        <f>ABS($J$2-L427)/L427</f>
        <v>0.23770491803278687</v>
      </c>
    </row>
    <row r="428" spans="1:18" ht="15.75" customHeight="1" x14ac:dyDescent="0.2">
      <c r="A428">
        <v>834</v>
      </c>
      <c r="B428" s="1" t="s">
        <v>668</v>
      </c>
      <c r="C428" s="1"/>
      <c r="D428" s="2"/>
      <c r="E428" s="6" t="s">
        <v>495</v>
      </c>
      <c r="F428" s="1">
        <v>1.4</v>
      </c>
      <c r="G428" s="4">
        <v>34</v>
      </c>
      <c r="H428" s="4">
        <v>4.3</v>
      </c>
      <c r="I428" s="4"/>
      <c r="J428" s="4">
        <f>(13+15)/2</f>
        <v>14</v>
      </c>
      <c r="K428" s="4"/>
      <c r="L428" s="4">
        <v>52</v>
      </c>
      <c r="M428" s="21">
        <f>1-AVERAGE(N428:R428)</f>
        <v>0.5818315268862464</v>
      </c>
      <c r="N428" s="20">
        <f>ABS($D$2-F428)/F428</f>
        <v>0.58571428571428563</v>
      </c>
      <c r="O428" s="20">
        <f>ABS($E$2-G428)/G428</f>
        <v>0.14705882352941177</v>
      </c>
      <c r="P428" s="20">
        <f>ABS($F$2-H428)/H428</f>
        <v>0.44186046511627919</v>
      </c>
      <c r="Q428" s="20">
        <f>ABS($H$2-J428)/J428</f>
        <v>0.4642857142857143</v>
      </c>
      <c r="R428" s="20">
        <f>ABS($J$2-L428)/L428</f>
        <v>0.45192307692307693</v>
      </c>
    </row>
    <row r="429" spans="1:18" ht="15.75" customHeight="1" x14ac:dyDescent="0.2">
      <c r="A429">
        <v>929</v>
      </c>
      <c r="B429" s="1" t="s">
        <v>736</v>
      </c>
      <c r="C429" s="1"/>
      <c r="D429" s="2"/>
      <c r="E429" s="6" t="s">
        <v>495</v>
      </c>
      <c r="F429" s="1">
        <v>0.8</v>
      </c>
      <c r="G429" s="4">
        <v>31</v>
      </c>
      <c r="H429" s="4">
        <v>5.5</v>
      </c>
      <c r="I429" s="4"/>
      <c r="J429" s="4">
        <v>28</v>
      </c>
      <c r="K429" s="4"/>
      <c r="L429" s="4">
        <v>32</v>
      </c>
      <c r="M429" s="21">
        <f>1-AVERAGE(N429:R429)</f>
        <v>0.58119580016757433</v>
      </c>
      <c r="N429" s="20">
        <f>ABS($D$2-F429)/F429</f>
        <v>0.27499999999999997</v>
      </c>
      <c r="O429" s="20">
        <f>ABS($E$2-G429)/G429</f>
        <v>6.4516129032258063E-2</v>
      </c>
      <c r="P429" s="20">
        <f>ABS($F$2-H429)/H429</f>
        <v>0.12727272727272732</v>
      </c>
      <c r="Q429" s="20">
        <f>ABS($H$2-J429)/J429</f>
        <v>0.26785714285714285</v>
      </c>
      <c r="R429" s="20">
        <f>ABS($J$2-L429)/L429</f>
        <v>1.359375</v>
      </c>
    </row>
    <row r="430" spans="1:18" ht="15.75" customHeight="1" x14ac:dyDescent="0.2">
      <c r="A430">
        <v>857</v>
      </c>
      <c r="B430" s="1" t="s">
        <v>686</v>
      </c>
      <c r="C430" s="1"/>
      <c r="D430" s="2"/>
      <c r="E430" s="6" t="s">
        <v>495</v>
      </c>
      <c r="F430" s="1">
        <v>1.5</v>
      </c>
      <c r="G430" s="4">
        <v>26</v>
      </c>
      <c r="H430" s="4">
        <v>3.6</v>
      </c>
      <c r="I430" s="4"/>
      <c r="J430" s="4">
        <f>(30+37)/2</f>
        <v>33.5</v>
      </c>
      <c r="K430" s="4"/>
      <c r="L430" s="4">
        <v>60</v>
      </c>
      <c r="M430" s="21">
        <f>1-AVERAGE(N430:R430)</f>
        <v>0.58053335884679158</v>
      </c>
      <c r="N430" s="20">
        <f>ABS($D$2-F430)/F430</f>
        <v>0.61333333333333329</v>
      </c>
      <c r="O430" s="20">
        <f>ABS($E$2-G430)/G430</f>
        <v>0.11538461538461539</v>
      </c>
      <c r="P430" s="20">
        <f>ABS($F$2-H430)/H430</f>
        <v>0.72222222222222221</v>
      </c>
      <c r="Q430" s="20">
        <f>ABS($H$2-J430)/J430</f>
        <v>0.38805970149253732</v>
      </c>
      <c r="R430" s="20">
        <f>ABS($J$2-L430)/L430</f>
        <v>0.25833333333333336</v>
      </c>
    </row>
    <row r="431" spans="1:18" ht="15.75" customHeight="1" x14ac:dyDescent="0.2">
      <c r="A431">
        <v>276</v>
      </c>
      <c r="B431" s="9" t="s">
        <v>224</v>
      </c>
      <c r="E431" s="6" t="s">
        <v>40</v>
      </c>
      <c r="F431" s="3">
        <f>(1+1.4)/2</f>
        <v>1.2</v>
      </c>
      <c r="G431" s="3">
        <f>(16+18)/2</f>
        <v>17</v>
      </c>
      <c r="H431" s="3">
        <f>(4.5+6.5)/2</f>
        <v>5.5</v>
      </c>
      <c r="I431" s="3"/>
      <c r="J431" s="3">
        <f>(9.3+16)/2</f>
        <v>12.65</v>
      </c>
      <c r="K431" s="3"/>
      <c r="L431" s="3">
        <f>(85+88)/2</f>
        <v>86.5</v>
      </c>
      <c r="M431" s="21">
        <f>1-AVERAGE(N431:R431)</f>
        <v>0.58049145267556634</v>
      </c>
      <c r="N431" s="20">
        <f>ABS($D$2-F431)/F431</f>
        <v>0.51666666666666661</v>
      </c>
      <c r="O431" s="20">
        <f>ABS($E$2-G431)/G431</f>
        <v>0.70588235294117652</v>
      </c>
      <c r="P431" s="20">
        <f>ABS($F$2-H431)/H431</f>
        <v>0.12727272727272732</v>
      </c>
      <c r="Q431" s="20">
        <f>ABS($H$2-J431)/J431</f>
        <v>0.62055335968379444</v>
      </c>
      <c r="R431" s="20">
        <f>ABS($J$2-L431)/L431</f>
        <v>0.12716763005780346</v>
      </c>
    </row>
    <row r="432" spans="1:18" ht="15.75" customHeight="1" x14ac:dyDescent="0.2">
      <c r="A432">
        <v>153</v>
      </c>
      <c r="B432" s="1" t="s">
        <v>132</v>
      </c>
      <c r="C432" s="1" t="s">
        <v>133</v>
      </c>
      <c r="D432" s="2"/>
      <c r="E432" s="6" t="s">
        <v>41</v>
      </c>
      <c r="F432" s="3">
        <f>(0.66+1.05)/2</f>
        <v>0.85499999999999998</v>
      </c>
      <c r="G432" s="3">
        <f>(19+22)/2</f>
        <v>20.5</v>
      </c>
      <c r="H432" s="3">
        <f>(3.9+5.6)/2</f>
        <v>4.75</v>
      </c>
      <c r="I432" s="3"/>
      <c r="J432" s="3">
        <f>(11+14)/2</f>
        <v>12.5</v>
      </c>
      <c r="K432" s="3"/>
      <c r="L432" s="3"/>
      <c r="M432" s="21">
        <f>1-AVERAGE(N432:R432)</f>
        <v>0.57961631721580376</v>
      </c>
      <c r="N432" s="20">
        <f>ABS($D$2-F432)/F432</f>
        <v>0.32163742690058472</v>
      </c>
      <c r="O432" s="20">
        <f>ABS($E$2-G432)/G432</f>
        <v>0.41463414634146339</v>
      </c>
      <c r="P432" s="20">
        <f>ABS($F$2-H432)/H432</f>
        <v>0.3052631578947369</v>
      </c>
      <c r="Q432" s="20">
        <f>ABS($H$2-J432)/J432</f>
        <v>0.64</v>
      </c>
      <c r="R432" s="20"/>
    </row>
    <row r="433" spans="1:18" ht="15.75" customHeight="1" x14ac:dyDescent="0.2">
      <c r="A433">
        <v>792</v>
      </c>
      <c r="B433" s="6" t="s">
        <v>628</v>
      </c>
      <c r="C433" s="6"/>
      <c r="D433" s="7"/>
      <c r="E433" s="6" t="s">
        <v>495</v>
      </c>
      <c r="F433" s="1">
        <v>1.3</v>
      </c>
      <c r="G433" s="4">
        <v>27</v>
      </c>
      <c r="H433" s="4">
        <v>3.9</v>
      </c>
      <c r="I433" s="4"/>
      <c r="J433" s="4">
        <v>52</v>
      </c>
      <c r="K433" s="4"/>
      <c r="L433" s="4">
        <v>59</v>
      </c>
      <c r="M433" s="21">
        <f>1-AVERAGE(N433:R433)</f>
        <v>0.57938118692355978</v>
      </c>
      <c r="N433" s="20">
        <f>ABS($D$2-F433)/F433</f>
        <v>0.55384615384615377</v>
      </c>
      <c r="O433" s="20">
        <f>ABS($E$2-G433)/G433</f>
        <v>7.407407407407407E-2</v>
      </c>
      <c r="P433" s="20">
        <f>ABS($F$2-H433)/H433</f>
        <v>0.58974358974358987</v>
      </c>
      <c r="Q433" s="20">
        <f>ABS($H$2-J433)/J433</f>
        <v>0.60576923076923073</v>
      </c>
      <c r="R433" s="20">
        <f>ABS($J$2-L433)/L433</f>
        <v>0.27966101694915252</v>
      </c>
    </row>
    <row r="434" spans="1:18" ht="15.75" customHeight="1" x14ac:dyDescent="0.2">
      <c r="A434">
        <v>27</v>
      </c>
      <c r="B434" s="6" t="s">
        <v>57</v>
      </c>
      <c r="C434" s="6"/>
      <c r="D434" s="7"/>
      <c r="E434" s="6" t="s">
        <v>41</v>
      </c>
      <c r="F434" s="3">
        <v>0.6</v>
      </c>
      <c r="G434" s="3">
        <f>(36+45)/2</f>
        <v>40.5</v>
      </c>
      <c r="H434" s="3">
        <f>(5.5+5.9)/2</f>
        <v>5.7</v>
      </c>
      <c r="I434" s="3"/>
      <c r="J434" s="3">
        <f>(8+10)/2</f>
        <v>9</v>
      </c>
      <c r="K434" s="3"/>
      <c r="L434" s="3"/>
      <c r="M434" s="21">
        <f>1-AVERAGE(N434:R434)</f>
        <v>0.57930474333983106</v>
      </c>
      <c r="N434" s="20">
        <f>ABS($D$2-F434)/F434</f>
        <v>3.333333333333318E-2</v>
      </c>
      <c r="O434" s="20">
        <f>ABS($E$2-G434)/G434</f>
        <v>0.2839506172839506</v>
      </c>
      <c r="P434" s="20">
        <f>ABS($F$2-H434)/H434</f>
        <v>8.771929824561403E-2</v>
      </c>
      <c r="Q434" s="20">
        <f>ABS($H$2-J434)/J434</f>
        <v>1.2777777777777777</v>
      </c>
      <c r="R434" s="20"/>
    </row>
    <row r="435" spans="1:18" ht="15.75" customHeight="1" x14ac:dyDescent="0.2">
      <c r="A435">
        <v>864</v>
      </c>
      <c r="B435" s="1" t="s">
        <v>693</v>
      </c>
      <c r="C435" s="1"/>
      <c r="D435" s="2"/>
      <c r="E435" s="6" t="s">
        <v>495</v>
      </c>
      <c r="F435" s="1">
        <v>2</v>
      </c>
      <c r="G435" s="4">
        <v>31</v>
      </c>
      <c r="H435" s="4">
        <v>5</v>
      </c>
      <c r="I435" s="4"/>
      <c r="J435" s="4">
        <v>50</v>
      </c>
      <c r="K435" s="4"/>
      <c r="L435" s="4">
        <v>50</v>
      </c>
      <c r="M435" s="21">
        <f>1-AVERAGE(N435:R435)</f>
        <v>0.57709677419354843</v>
      </c>
      <c r="N435" s="20">
        <f>ABS($D$2-F435)/F435</f>
        <v>0.71</v>
      </c>
      <c r="O435" s="20">
        <f>ABS($E$2-G435)/G435</f>
        <v>6.4516129032258063E-2</v>
      </c>
      <c r="P435" s="20">
        <f>ABS($F$2-H435)/H435</f>
        <v>0.24000000000000005</v>
      </c>
      <c r="Q435" s="20">
        <f>ABS($H$2-J435)/J435</f>
        <v>0.59</v>
      </c>
      <c r="R435" s="20">
        <f>ABS($J$2-L435)/L435</f>
        <v>0.51</v>
      </c>
    </row>
    <row r="436" spans="1:18" ht="15.75" customHeight="1" x14ac:dyDescent="0.2">
      <c r="A436">
        <v>432</v>
      </c>
      <c r="B436" s="9" t="s">
        <v>341</v>
      </c>
      <c r="E436" s="6" t="s">
        <v>41</v>
      </c>
      <c r="F436" s="3">
        <v>1.3</v>
      </c>
      <c r="G436" s="3">
        <v>37</v>
      </c>
      <c r="H436" s="3">
        <v>4.7</v>
      </c>
      <c r="I436" s="3"/>
      <c r="J436" s="3">
        <v>52</v>
      </c>
      <c r="K436" s="10"/>
      <c r="L436" s="10"/>
      <c r="M436" s="21">
        <f>1-AVERAGE(N436:R436)</f>
        <v>0.57625486574954665</v>
      </c>
      <c r="N436" s="20">
        <f>ABS($D$2-F436)/F436</f>
        <v>0.55384615384615377</v>
      </c>
      <c r="O436" s="20">
        <f>ABS($E$2-G436)/G436</f>
        <v>0.21621621621621623</v>
      </c>
      <c r="P436" s="20">
        <f>ABS($F$2-H436)/H436</f>
        <v>0.31914893617021273</v>
      </c>
      <c r="Q436" s="20">
        <f>ABS($H$2-J436)/J436</f>
        <v>0.60576923076923073</v>
      </c>
      <c r="R436" s="20"/>
    </row>
    <row r="437" spans="1:18" ht="15.75" customHeight="1" x14ac:dyDescent="0.2">
      <c r="A437">
        <v>664</v>
      </c>
      <c r="B437" s="1" t="s">
        <v>531</v>
      </c>
      <c r="C437" s="1" t="s">
        <v>532</v>
      </c>
      <c r="D437" s="2"/>
      <c r="E437" s="6" t="s">
        <v>495</v>
      </c>
      <c r="F437" s="1">
        <v>0.7</v>
      </c>
      <c r="G437" s="4">
        <v>42</v>
      </c>
      <c r="H437" s="4">
        <v>5.6</v>
      </c>
      <c r="I437" s="4"/>
      <c r="J437" s="4">
        <v>8.1999999999999993</v>
      </c>
      <c r="K437" s="4"/>
      <c r="L437" s="4">
        <v>73</v>
      </c>
      <c r="M437" s="21">
        <f>1-AVERAGE(N437:R437)</f>
        <v>0.57553163731245927</v>
      </c>
      <c r="N437" s="20">
        <f>ABS($D$2-F437)/F437</f>
        <v>0.17142857142857126</v>
      </c>
      <c r="O437" s="20">
        <f>ABS($E$2-G437)/G437</f>
        <v>0.30952380952380953</v>
      </c>
      <c r="P437" s="20">
        <f>ABS($F$2-H437)/H437</f>
        <v>0.10714285714285725</v>
      </c>
      <c r="Q437" s="20">
        <f>ABS($H$2-J437)/J437</f>
        <v>1.5000000000000002</v>
      </c>
      <c r="R437" s="20">
        <f>ABS($J$2-L437)/L437</f>
        <v>3.4246575342465752E-2</v>
      </c>
    </row>
    <row r="438" spans="1:18" ht="15.75" customHeight="1" x14ac:dyDescent="0.2">
      <c r="A438">
        <v>31</v>
      </c>
      <c r="B438" s="6" t="s">
        <v>60</v>
      </c>
      <c r="C438" s="6"/>
      <c r="D438" s="7"/>
      <c r="E438" s="6" t="s">
        <v>41</v>
      </c>
      <c r="F438" s="3">
        <f>(1.3+1.63)/2</f>
        <v>1.4649999999999999</v>
      </c>
      <c r="G438" s="3">
        <v>37</v>
      </c>
      <c r="H438" s="3">
        <v>5.7</v>
      </c>
      <c r="I438" s="3"/>
      <c r="J438" s="3">
        <v>99</v>
      </c>
      <c r="K438" s="3"/>
      <c r="L438" s="3"/>
      <c r="M438" s="21">
        <f>1-AVERAGE(N438:R438)</f>
        <v>0.57475990736723626</v>
      </c>
      <c r="N438" s="20">
        <f>ABS($D$2-F438)/F438</f>
        <v>0.60409556313993162</v>
      </c>
      <c r="O438" s="20">
        <f>ABS($E$2-G438)/G438</f>
        <v>0.21621621621621623</v>
      </c>
      <c r="P438" s="20">
        <f>ABS($F$2-H438)/H438</f>
        <v>8.771929824561403E-2</v>
      </c>
      <c r="Q438" s="20">
        <f>ABS($H$2-J438)/J438</f>
        <v>0.79292929292929293</v>
      </c>
      <c r="R438" s="20"/>
    </row>
    <row r="439" spans="1:18" ht="15.75" customHeight="1" x14ac:dyDescent="0.2">
      <c r="A439">
        <v>3</v>
      </c>
      <c r="B439" s="6" t="s">
        <v>42</v>
      </c>
      <c r="C439" s="6" t="s">
        <v>43</v>
      </c>
      <c r="D439" s="7"/>
      <c r="E439" s="6" t="s">
        <v>40</v>
      </c>
      <c r="F439" s="3">
        <v>0.7</v>
      </c>
      <c r="G439" s="3">
        <v>30</v>
      </c>
      <c r="H439" s="3">
        <v>4.5</v>
      </c>
      <c r="I439" s="3"/>
      <c r="J439" s="3">
        <v>9.4</v>
      </c>
      <c r="K439" s="3"/>
      <c r="L439" s="3">
        <v>55</v>
      </c>
      <c r="M439" s="21">
        <f>1-AVERAGE(N439:R439)</f>
        <v>0.57277639618065157</v>
      </c>
      <c r="N439" s="20">
        <f>ABS($D$2-F439)/F439</f>
        <v>0.17142857142857126</v>
      </c>
      <c r="O439" s="20">
        <f>ABS($E$2-G439)/G439</f>
        <v>3.3333333333333333E-2</v>
      </c>
      <c r="P439" s="20">
        <f>ABS($F$2-H439)/H439</f>
        <v>0.37777777777777782</v>
      </c>
      <c r="Q439" s="20">
        <f>ABS($H$2-J439)/J439</f>
        <v>1.1808510638297871</v>
      </c>
      <c r="R439" s="20">
        <f>ABS($J$2-L439)/L439</f>
        <v>0.37272727272727274</v>
      </c>
    </row>
    <row r="440" spans="1:18" ht="15.75" customHeight="1" x14ac:dyDescent="0.2">
      <c r="A440">
        <v>21</v>
      </c>
      <c r="B440" s="6" t="s">
        <v>53</v>
      </c>
      <c r="C440" s="6" t="s">
        <v>54</v>
      </c>
      <c r="D440" s="7"/>
      <c r="E440" s="6" t="s">
        <v>40</v>
      </c>
      <c r="F440" s="3">
        <v>0.65</v>
      </c>
      <c r="G440" s="3">
        <v>27</v>
      </c>
      <c r="H440" s="3">
        <v>5.7</v>
      </c>
      <c r="I440" s="3"/>
      <c r="J440" s="3">
        <v>8.4</v>
      </c>
      <c r="K440" s="3"/>
      <c r="L440" s="3"/>
      <c r="M440" s="21">
        <f>1-AVERAGE(N440:R440)</f>
        <v>0.57250953237795343</v>
      </c>
      <c r="N440" s="20">
        <f>ABS($D$2-F440)/F440</f>
        <v>0.10769230769230762</v>
      </c>
      <c r="O440" s="20">
        <f>ABS($E$2-G440)/G440</f>
        <v>7.407407407407407E-2</v>
      </c>
      <c r="P440" s="20">
        <f>ABS($F$2-H440)/H440</f>
        <v>8.771929824561403E-2</v>
      </c>
      <c r="Q440" s="20">
        <f>ABS($H$2-J440)/J440</f>
        <v>1.4404761904761905</v>
      </c>
      <c r="R440" s="20"/>
    </row>
    <row r="441" spans="1:18" ht="15.75" customHeight="1" x14ac:dyDescent="0.2">
      <c r="A441">
        <v>793</v>
      </c>
      <c r="B441" s="6" t="s">
        <v>628</v>
      </c>
      <c r="C441" s="6"/>
      <c r="D441" s="7"/>
      <c r="E441" s="6" t="s">
        <v>482</v>
      </c>
      <c r="F441" s="1">
        <v>1.3</v>
      </c>
      <c r="G441" s="4">
        <v>26</v>
      </c>
      <c r="H441" s="4">
        <v>4.3</v>
      </c>
      <c r="I441" s="4"/>
      <c r="J441" s="4">
        <v>52</v>
      </c>
      <c r="K441" s="4"/>
      <c r="L441" s="4"/>
      <c r="M441" s="21">
        <f>1-AVERAGE(N441:R441)</f>
        <v>0.57078488372093017</v>
      </c>
      <c r="N441" s="20">
        <f>ABS($D$2-F441)/F441</f>
        <v>0.55384615384615377</v>
      </c>
      <c r="O441" s="20">
        <f>ABS($E$2-G441)/G441</f>
        <v>0.11538461538461539</v>
      </c>
      <c r="P441" s="20">
        <f>ABS($F$2-H441)/H441</f>
        <v>0.44186046511627919</v>
      </c>
      <c r="Q441" s="20">
        <f>ABS($H$2-J441)/J441</f>
        <v>0.60576923076923073</v>
      </c>
      <c r="R441" s="20"/>
    </row>
    <row r="442" spans="1:18" ht="15.75" customHeight="1" x14ac:dyDescent="0.2">
      <c r="A442">
        <v>460</v>
      </c>
      <c r="B442" s="9" t="s">
        <v>360</v>
      </c>
      <c r="E442" s="6" t="s">
        <v>40</v>
      </c>
      <c r="F442" s="3">
        <v>0.6</v>
      </c>
      <c r="G442" s="3">
        <v>17</v>
      </c>
      <c r="H442" s="3">
        <v>3.3</v>
      </c>
      <c r="I442" s="3"/>
      <c r="J442" s="3">
        <v>25</v>
      </c>
      <c r="K442" s="3"/>
      <c r="L442" s="3">
        <v>56</v>
      </c>
      <c r="M442" s="21">
        <f>1-AVERAGE(N442:R442)</f>
        <v>0.57075642984466513</v>
      </c>
      <c r="N442" s="20">
        <f>ABS($D$2-F442)/F442</f>
        <v>3.333333333333318E-2</v>
      </c>
      <c r="O442" s="20">
        <f>ABS($E$2-G442)/G442</f>
        <v>0.70588235294117652</v>
      </c>
      <c r="P442" s="20">
        <f>ABS($F$2-H442)/H442</f>
        <v>0.8787878787878789</v>
      </c>
      <c r="Q442" s="20">
        <f>ABS($H$2-J442)/J442</f>
        <v>0.18</v>
      </c>
      <c r="R442" s="20">
        <f>ABS($J$2-L442)/L442</f>
        <v>0.3482142857142857</v>
      </c>
    </row>
    <row r="443" spans="1:18" ht="15.75" customHeight="1" x14ac:dyDescent="0.2">
      <c r="A443">
        <v>844</v>
      </c>
      <c r="B443" s="1" t="s">
        <v>676</v>
      </c>
      <c r="C443" s="1" t="s">
        <v>677</v>
      </c>
      <c r="D443" s="2"/>
      <c r="E443" s="6" t="s">
        <v>495</v>
      </c>
      <c r="F443" s="1">
        <v>2.2999999999999998</v>
      </c>
      <c r="G443" s="1">
        <v>59</v>
      </c>
      <c r="H443" s="4">
        <v>5.8</v>
      </c>
      <c r="I443" s="4"/>
      <c r="J443" s="4">
        <v>16</v>
      </c>
      <c r="K443" s="4"/>
      <c r="L443" s="4">
        <v>49</v>
      </c>
      <c r="M443" s="21">
        <f>1-AVERAGE(N443:R443)</f>
        <v>0.57053349860006008</v>
      </c>
      <c r="N443" s="20">
        <f>ABS($D$2-F443)/F443</f>
        <v>0.74782608695652164</v>
      </c>
      <c r="O443" s="20">
        <f>ABS($E$2-G443)/G443</f>
        <v>0.50847457627118642</v>
      </c>
      <c r="P443" s="20">
        <f>ABS($F$2-H443)/H443</f>
        <v>6.8965517241379379E-2</v>
      </c>
      <c r="Q443" s="20">
        <f>ABS($H$2-J443)/J443</f>
        <v>0.28125</v>
      </c>
      <c r="R443" s="20">
        <f>ABS($J$2-L443)/L443</f>
        <v>0.54081632653061229</v>
      </c>
    </row>
    <row r="444" spans="1:18" ht="15.75" customHeight="1" x14ac:dyDescent="0.2">
      <c r="A444">
        <v>848</v>
      </c>
      <c r="B444" s="1" t="s">
        <v>679</v>
      </c>
      <c r="C444" s="1" t="s">
        <v>680</v>
      </c>
      <c r="D444" s="2"/>
      <c r="E444" s="6" t="s">
        <v>495</v>
      </c>
      <c r="F444" s="1">
        <v>3.8</v>
      </c>
      <c r="G444" s="1">
        <v>42</v>
      </c>
      <c r="H444" s="1">
        <v>5.0999999999999996</v>
      </c>
      <c r="I444" s="4"/>
      <c r="J444" s="1">
        <v>17</v>
      </c>
      <c r="K444" s="1"/>
      <c r="L444" s="4">
        <v>48</v>
      </c>
      <c r="M444" s="21">
        <f>1-AVERAGE(N444:R444)</f>
        <v>0.56972449506118239</v>
      </c>
      <c r="N444" s="20">
        <f>ABS($D$2-F444)/F444</f>
        <v>0.84736842105263155</v>
      </c>
      <c r="O444" s="20">
        <f>ABS($E$2-G444)/G444</f>
        <v>0.30952380952380953</v>
      </c>
      <c r="P444" s="20">
        <f>ABS($F$2-H444)/H444</f>
        <v>0.21568627450980404</v>
      </c>
      <c r="Q444" s="20">
        <f>ABS($H$2-J444)/J444</f>
        <v>0.20588235294117646</v>
      </c>
      <c r="R444" s="20">
        <f>ABS($J$2-L444)/L444</f>
        <v>0.57291666666666663</v>
      </c>
    </row>
    <row r="445" spans="1:18" ht="15.75" customHeight="1" x14ac:dyDescent="0.2">
      <c r="A445">
        <v>4</v>
      </c>
      <c r="B445" s="6" t="s">
        <v>42</v>
      </c>
      <c r="C445" s="6" t="s">
        <v>43</v>
      </c>
      <c r="D445" s="7"/>
      <c r="E445" s="6" t="s">
        <v>41</v>
      </c>
      <c r="F445" s="3">
        <v>0.6</v>
      </c>
      <c r="G445" s="3">
        <v>30</v>
      </c>
      <c r="H445" s="3">
        <v>4.5</v>
      </c>
      <c r="I445" s="3"/>
      <c r="J445" s="3">
        <v>9</v>
      </c>
      <c r="K445" s="8"/>
      <c r="L445" s="8"/>
      <c r="M445" s="21">
        <f>1-AVERAGE(N445:R445)</f>
        <v>0.56944444444444453</v>
      </c>
      <c r="N445" s="20">
        <f>ABS($D$2-F445)/F445</f>
        <v>3.333333333333318E-2</v>
      </c>
      <c r="O445" s="20">
        <f>ABS($E$2-G445)/G445</f>
        <v>3.3333333333333333E-2</v>
      </c>
      <c r="P445" s="20">
        <f>ABS($F$2-H445)/H445</f>
        <v>0.37777777777777782</v>
      </c>
      <c r="Q445" s="20">
        <f>ABS($H$2-J445)/J445</f>
        <v>1.2777777777777777</v>
      </c>
      <c r="R445" s="20"/>
    </row>
    <row r="446" spans="1:18" ht="15.75" customHeight="1" x14ac:dyDescent="0.2">
      <c r="A446">
        <v>827</v>
      </c>
      <c r="B446" s="6" t="s">
        <v>663</v>
      </c>
      <c r="C446" s="1"/>
      <c r="D446" s="2"/>
      <c r="E446" s="6" t="s">
        <v>495</v>
      </c>
      <c r="F446" s="1">
        <v>1.6</v>
      </c>
      <c r="G446" s="4">
        <v>37</v>
      </c>
      <c r="H446" s="4">
        <v>4.5</v>
      </c>
      <c r="I446" s="4"/>
      <c r="J446" s="4">
        <f>(15+28)</f>
        <v>43</v>
      </c>
      <c r="K446" s="4"/>
      <c r="L446" s="4">
        <v>54</v>
      </c>
      <c r="M446" s="21">
        <f>1-AVERAGE(N446:R446)</f>
        <v>0.56942040878087385</v>
      </c>
      <c r="N446" s="20">
        <f>ABS($D$2-F446)/F446</f>
        <v>0.63749999999999996</v>
      </c>
      <c r="O446" s="20">
        <f>ABS($E$2-G446)/G446</f>
        <v>0.21621621621621623</v>
      </c>
      <c r="P446" s="20">
        <f>ABS($F$2-H446)/H446</f>
        <v>0.37777777777777782</v>
      </c>
      <c r="Q446" s="20">
        <f>ABS($H$2-J446)/J446</f>
        <v>0.52325581395348841</v>
      </c>
      <c r="R446" s="20">
        <f>ABS($J$2-L446)/L446</f>
        <v>0.39814814814814814</v>
      </c>
    </row>
    <row r="447" spans="1:18" ht="15.75" customHeight="1" x14ac:dyDescent="0.2">
      <c r="A447">
        <v>454</v>
      </c>
      <c r="B447" s="9" t="s">
        <v>356</v>
      </c>
      <c r="E447" s="6" t="s">
        <v>41</v>
      </c>
      <c r="F447" s="3">
        <v>2.1</v>
      </c>
      <c r="G447" s="3">
        <v>46</v>
      </c>
      <c r="H447" s="3">
        <v>5.9</v>
      </c>
      <c r="I447" s="3"/>
      <c r="J447" s="3">
        <v>49</v>
      </c>
      <c r="K447" s="10"/>
      <c r="L447" s="10"/>
      <c r="M447" s="21">
        <f>1-AVERAGE(N447:R447)</f>
        <v>0.5685362870277072</v>
      </c>
      <c r="N447" s="20">
        <f>ABS($D$2-F447)/F447</f>
        <v>0.72380952380952379</v>
      </c>
      <c r="O447" s="20">
        <f>ABS($E$2-G447)/G447</f>
        <v>0.36956521739130432</v>
      </c>
      <c r="P447" s="20">
        <f>ABS($F$2-H447)/H447</f>
        <v>5.0847457627118613E-2</v>
      </c>
      <c r="Q447" s="20">
        <f>ABS($H$2-J447)/J447</f>
        <v>0.58163265306122447</v>
      </c>
      <c r="R447" s="20"/>
    </row>
    <row r="448" spans="1:18" ht="15.75" customHeight="1" x14ac:dyDescent="0.2">
      <c r="A448">
        <v>351</v>
      </c>
      <c r="B448" s="9" t="s">
        <v>277</v>
      </c>
      <c r="C448" s="9" t="s">
        <v>278</v>
      </c>
      <c r="E448" s="6" t="s">
        <v>41</v>
      </c>
      <c r="F448" s="3">
        <f>(0.72+0.73)/2</f>
        <v>0.72499999999999998</v>
      </c>
      <c r="G448" s="3">
        <f>(43+44)/2</f>
        <v>43.5</v>
      </c>
      <c r="H448" s="3">
        <f>(5.2+5.4)/2</f>
        <v>5.3000000000000007</v>
      </c>
      <c r="I448" s="3"/>
      <c r="J448" s="3">
        <f>(9.8+10.4)/2</f>
        <v>10.100000000000001</v>
      </c>
      <c r="K448" s="3"/>
      <c r="L448" s="3"/>
      <c r="M448" s="21">
        <f>1-AVERAGE(N448:R448)</f>
        <v>0.56678809390373008</v>
      </c>
      <c r="N448" s="20">
        <f>ABS($D$2-F448)/F448</f>
        <v>0.19999999999999987</v>
      </c>
      <c r="O448" s="20">
        <f>ABS($E$2-G448)/G448</f>
        <v>0.33333333333333331</v>
      </c>
      <c r="P448" s="20">
        <f>ABS($F$2-H448)/H448</f>
        <v>0.16981132075471686</v>
      </c>
      <c r="Q448" s="20">
        <f>ABS($H$2-J448)/J448</f>
        <v>1.0297029702970295</v>
      </c>
      <c r="R448" s="20"/>
    </row>
    <row r="449" spans="1:18" ht="15.75" customHeight="1" x14ac:dyDescent="0.2">
      <c r="A449">
        <v>457</v>
      </c>
      <c r="B449" s="9" t="s">
        <v>358</v>
      </c>
      <c r="E449" s="6" t="s">
        <v>41</v>
      </c>
      <c r="F449" s="3">
        <f>(1.91+2.03)/2</f>
        <v>1.9699999999999998</v>
      </c>
      <c r="G449" s="3">
        <f>(35+38)/2</f>
        <v>36.5</v>
      </c>
      <c r="H449" s="3">
        <f>(6.6+8.1)/2</f>
        <v>7.35</v>
      </c>
      <c r="I449" s="3"/>
      <c r="J449" s="3">
        <f>(58+65)/2</f>
        <v>61.5</v>
      </c>
      <c r="K449" s="10"/>
      <c r="L449" s="10"/>
      <c r="M449" s="21">
        <f>1-AVERAGE(N449:R449)</f>
        <v>0.56645188497483689</v>
      </c>
      <c r="N449" s="20">
        <f>ABS($D$2-F449)/F449</f>
        <v>0.70558375634517756</v>
      </c>
      <c r="O449" s="20">
        <f>ABS($E$2-G449)/G449</f>
        <v>0.20547945205479451</v>
      </c>
      <c r="P449" s="20">
        <f>ABS($F$2-H449)/H449</f>
        <v>0.15646258503401353</v>
      </c>
      <c r="Q449" s="20">
        <f>ABS($H$2-J449)/J449</f>
        <v>0.66666666666666663</v>
      </c>
      <c r="R449" s="20"/>
    </row>
    <row r="450" spans="1:18" ht="15.75" customHeight="1" x14ac:dyDescent="0.2">
      <c r="A450">
        <v>841</v>
      </c>
      <c r="B450" s="1" t="s">
        <v>673</v>
      </c>
      <c r="C450" s="1"/>
      <c r="D450" s="2"/>
      <c r="E450" s="6" t="s">
        <v>495</v>
      </c>
      <c r="F450" s="1">
        <f>(1.8+2.1)/2</f>
        <v>1.9500000000000002</v>
      </c>
      <c r="G450" s="1">
        <v>40</v>
      </c>
      <c r="H450" s="1">
        <v>4.8</v>
      </c>
      <c r="I450" s="1"/>
      <c r="J450" s="1">
        <f>(32+46)/2</f>
        <v>39</v>
      </c>
      <c r="K450" s="1"/>
      <c r="L450" s="1">
        <v>53</v>
      </c>
      <c r="M450" s="21">
        <f>1-AVERAGE(N450:R450)</f>
        <v>0.56637639090469283</v>
      </c>
      <c r="N450" s="20">
        <f>ABS($D$2-F450)/F450</f>
        <v>0.70256410256410251</v>
      </c>
      <c r="O450" s="20">
        <f>ABS($E$2-G450)/G450</f>
        <v>0.27500000000000002</v>
      </c>
      <c r="P450" s="20">
        <f>ABS($F$2-H450)/H450</f>
        <v>0.29166666666666674</v>
      </c>
      <c r="Q450" s="20">
        <f>ABS($H$2-J450)/J450</f>
        <v>0.47435897435897434</v>
      </c>
      <c r="R450" s="20">
        <f>ABS($J$2-L450)/L450</f>
        <v>0.42452830188679247</v>
      </c>
    </row>
    <row r="451" spans="1:18" ht="15.75" customHeight="1" x14ac:dyDescent="0.2">
      <c r="A451">
        <v>899</v>
      </c>
      <c r="B451" s="1" t="s">
        <v>352</v>
      </c>
      <c r="C451" s="1"/>
      <c r="D451" s="2"/>
      <c r="E451" s="6" t="s">
        <v>495</v>
      </c>
      <c r="F451" s="1">
        <v>0.8</v>
      </c>
      <c r="G451" s="4">
        <v>20</v>
      </c>
      <c r="H451" s="4">
        <v>4.7</v>
      </c>
      <c r="I451" s="4"/>
      <c r="J451" s="4">
        <v>58</v>
      </c>
      <c r="K451" s="4"/>
      <c r="L451" s="4">
        <v>51</v>
      </c>
      <c r="M451" s="21">
        <f>1-AVERAGE(N451:R451)</f>
        <v>0.56578143656582225</v>
      </c>
      <c r="N451" s="20">
        <f>ABS($D$2-F451)/F451</f>
        <v>0.27499999999999997</v>
      </c>
      <c r="O451" s="20">
        <f>ABS($E$2-G451)/G451</f>
        <v>0.45</v>
      </c>
      <c r="P451" s="20">
        <f>ABS($F$2-H451)/H451</f>
        <v>0.31914893617021273</v>
      </c>
      <c r="Q451" s="20">
        <f>ABS($H$2-J451)/J451</f>
        <v>0.64655172413793105</v>
      </c>
      <c r="R451" s="20">
        <f>ABS($J$2-L451)/L451</f>
        <v>0.48039215686274511</v>
      </c>
    </row>
    <row r="452" spans="1:18" ht="15.75" customHeight="1" x14ac:dyDescent="0.2">
      <c r="A452">
        <v>80</v>
      </c>
      <c r="B452" s="1" t="s">
        <v>89</v>
      </c>
      <c r="C452" s="1" t="s">
        <v>90</v>
      </c>
      <c r="D452" s="2"/>
      <c r="E452" s="6" t="s">
        <v>41</v>
      </c>
      <c r="F452" s="3">
        <v>0.51</v>
      </c>
      <c r="G452" s="3">
        <f>(19+20)/2</f>
        <v>19.5</v>
      </c>
      <c r="H452" s="3">
        <v>4.4000000000000004</v>
      </c>
      <c r="I452" s="3"/>
      <c r="J452" s="3">
        <f>(10+14)/2</f>
        <v>12</v>
      </c>
      <c r="K452" s="3"/>
      <c r="L452" s="3"/>
      <c r="M452" s="21">
        <f>1-AVERAGE(N452:R452)</f>
        <v>0.56453534210887146</v>
      </c>
      <c r="N452" s="20">
        <f>ABS($D$2-F452)/F452</f>
        <v>0.13725490196078444</v>
      </c>
      <c r="O452" s="20">
        <f>ABS($E$2-G452)/G452</f>
        <v>0.48717948717948717</v>
      </c>
      <c r="P452" s="20">
        <f>ABS($F$2-H452)/H452</f>
        <v>0.40909090909090901</v>
      </c>
      <c r="Q452" s="20">
        <f>ABS($H$2-J452)/J452</f>
        <v>0.70833333333333337</v>
      </c>
      <c r="R452" s="20"/>
    </row>
    <row r="453" spans="1:18" ht="15.75" customHeight="1" x14ac:dyDescent="0.2">
      <c r="A453">
        <v>785</v>
      </c>
      <c r="B453" s="6" t="s">
        <v>616</v>
      </c>
      <c r="C453" s="6" t="s">
        <v>617</v>
      </c>
      <c r="D453" s="7"/>
      <c r="E453" s="6" t="s">
        <v>495</v>
      </c>
      <c r="F453" s="1">
        <v>1.5</v>
      </c>
      <c r="G453" s="4">
        <v>30</v>
      </c>
      <c r="H453" s="4">
        <v>4.2</v>
      </c>
      <c r="I453" s="4"/>
      <c r="J453" s="4">
        <v>56</v>
      </c>
      <c r="K453" s="4"/>
      <c r="L453" s="4">
        <v>53</v>
      </c>
      <c r="M453" s="21">
        <f>1-AVERAGE(N453:R453)</f>
        <v>0.56373719676549872</v>
      </c>
      <c r="N453" s="20">
        <f>ABS($D$2-F453)/F453</f>
        <v>0.61333333333333329</v>
      </c>
      <c r="O453" s="20">
        <f>ABS($E$2-G453)/G453</f>
        <v>3.3333333333333333E-2</v>
      </c>
      <c r="P453" s="20">
        <f>ABS($F$2-H453)/H453</f>
        <v>0.47619047619047616</v>
      </c>
      <c r="Q453" s="20">
        <f>ABS($H$2-J453)/J453</f>
        <v>0.6339285714285714</v>
      </c>
      <c r="R453" s="20">
        <f>ABS($J$2-L453)/L453</f>
        <v>0.42452830188679247</v>
      </c>
    </row>
    <row r="454" spans="1:18" ht="15.75" customHeight="1" x14ac:dyDescent="0.2">
      <c r="A454">
        <v>430</v>
      </c>
      <c r="B454" s="9" t="s">
        <v>340</v>
      </c>
      <c r="E454" s="6" t="s">
        <v>40</v>
      </c>
      <c r="F454" s="3">
        <v>0.42</v>
      </c>
      <c r="G454" s="3">
        <f>(19+20)/2</f>
        <v>19.5</v>
      </c>
      <c r="H454" s="3">
        <f>(3+3.2)/2</f>
        <v>3.1</v>
      </c>
      <c r="I454" s="3"/>
      <c r="J454" s="3">
        <f>(27+31)/2</f>
        <v>29</v>
      </c>
      <c r="K454" s="3"/>
      <c r="L454" s="3">
        <f>(73+75)/2</f>
        <v>74</v>
      </c>
      <c r="M454" s="21">
        <f>1-AVERAGE(N454:R454)</f>
        <v>0.56369888266439994</v>
      </c>
      <c r="N454" s="20">
        <f>ABS($D$2-F454)/F454</f>
        <v>0.38095238095238115</v>
      </c>
      <c r="O454" s="20">
        <f>ABS($E$2-G454)/G454</f>
        <v>0.48717948717948717</v>
      </c>
      <c r="P454" s="20">
        <f>ABS($F$2-H454)/H454</f>
        <v>1</v>
      </c>
      <c r="Q454" s="20">
        <f>ABS($H$2-J454)/J454</f>
        <v>0.29310344827586204</v>
      </c>
      <c r="R454" s="20">
        <f>ABS($J$2-L454)/L454</f>
        <v>2.0270270270270271E-2</v>
      </c>
    </row>
    <row r="455" spans="1:18" ht="15.75" customHeight="1" x14ac:dyDescent="0.2">
      <c r="A455">
        <v>385</v>
      </c>
      <c r="B455" s="9" t="s">
        <v>302</v>
      </c>
      <c r="C455" s="9" t="s">
        <v>303</v>
      </c>
      <c r="E455" s="6" t="s">
        <v>40</v>
      </c>
      <c r="F455" s="3">
        <v>2.11</v>
      </c>
      <c r="G455" s="3">
        <v>40</v>
      </c>
      <c r="H455" s="3">
        <v>14</v>
      </c>
      <c r="I455" s="3"/>
      <c r="J455" s="3">
        <v>15</v>
      </c>
      <c r="K455" s="3"/>
      <c r="L455" s="3">
        <v>60</v>
      </c>
      <c r="M455" s="21">
        <f>1-AVERAGE(N455:R455)</f>
        <v>0.56354773188896412</v>
      </c>
      <c r="N455" s="20">
        <f>ABS($D$2-F455)/F455</f>
        <v>0.72511848341232221</v>
      </c>
      <c r="O455" s="20">
        <f>ABS($E$2-G455)/G455</f>
        <v>0.27500000000000002</v>
      </c>
      <c r="P455" s="20">
        <f>ABS($F$2-H455)/H455</f>
        <v>0.55714285714285716</v>
      </c>
      <c r="Q455" s="20">
        <f>ABS($H$2-J455)/J455</f>
        <v>0.36666666666666664</v>
      </c>
      <c r="R455" s="20">
        <f>ABS($J$2-L455)/L455</f>
        <v>0.25833333333333336</v>
      </c>
    </row>
    <row r="456" spans="1:18" ht="15.75" customHeight="1" x14ac:dyDescent="0.2">
      <c r="A456">
        <v>520</v>
      </c>
      <c r="B456" s="9" t="s">
        <v>407</v>
      </c>
      <c r="E456" s="6" t="s">
        <v>40</v>
      </c>
      <c r="F456" s="3">
        <v>1</v>
      </c>
      <c r="G456" s="3">
        <v>16</v>
      </c>
      <c r="H456" s="3">
        <v>5.3</v>
      </c>
      <c r="I456" s="3"/>
      <c r="J456" s="3"/>
      <c r="K456" s="3"/>
      <c r="L456" s="3">
        <v>56</v>
      </c>
      <c r="M456" s="21">
        <f>1-AVERAGE(N456:R456)</f>
        <v>0.56236859838274933</v>
      </c>
      <c r="N456" s="20">
        <f>ABS($D$2-F456)/F456</f>
        <v>0.41999999999999993</v>
      </c>
      <c r="O456" s="20">
        <f>ABS($E$2-G456)/G456</f>
        <v>0.8125</v>
      </c>
      <c r="P456" s="20">
        <f>ABS($F$2-H456)/H456</f>
        <v>0.16981132075471705</v>
      </c>
      <c r="Q456" s="20"/>
      <c r="R456" s="20">
        <f>ABS($J$2-L456)/L456</f>
        <v>0.3482142857142857</v>
      </c>
    </row>
    <row r="457" spans="1:18" ht="15.75" customHeight="1" x14ac:dyDescent="0.2">
      <c r="A457">
        <v>833</v>
      </c>
      <c r="B457" s="1" t="s">
        <v>667</v>
      </c>
      <c r="C457" s="1"/>
      <c r="D457" s="2"/>
      <c r="E457" s="6" t="s">
        <v>482</v>
      </c>
      <c r="F457" s="1">
        <v>1.3</v>
      </c>
      <c r="G457" s="1">
        <v>36</v>
      </c>
      <c r="H457" s="1">
        <v>4.5999999999999996</v>
      </c>
      <c r="I457" s="1"/>
      <c r="J457" s="1">
        <v>62</v>
      </c>
      <c r="K457" s="1"/>
      <c r="L457" s="4">
        <v>53</v>
      </c>
      <c r="M457" s="21">
        <f>1-AVERAGE(N457:R457)</f>
        <v>0.56200003483128202</v>
      </c>
      <c r="N457" s="20">
        <f>ABS($D$2-F457)/F457</f>
        <v>0.55384615384615377</v>
      </c>
      <c r="O457" s="20">
        <f>ABS($E$2-G457)/G457</f>
        <v>0.19444444444444445</v>
      </c>
      <c r="P457" s="20">
        <f>ABS($F$2-H457)/H457</f>
        <v>0.3478260869565219</v>
      </c>
      <c r="Q457" s="20">
        <f>ABS($H$2-J457)/J457</f>
        <v>0.66935483870967738</v>
      </c>
      <c r="R457" s="20">
        <f>ABS($J$2-L457)/L457</f>
        <v>0.42452830188679247</v>
      </c>
    </row>
    <row r="458" spans="1:18" ht="15.75" customHeight="1" x14ac:dyDescent="0.2">
      <c r="A458">
        <v>796</v>
      </c>
      <c r="B458" s="1" t="s">
        <v>632</v>
      </c>
      <c r="C458" s="1"/>
      <c r="D458" s="2"/>
      <c r="E458" s="6" t="s">
        <v>495</v>
      </c>
      <c r="F458" s="1">
        <v>1.3</v>
      </c>
      <c r="G458" s="4">
        <v>26</v>
      </c>
      <c r="H458" s="4">
        <v>3.6</v>
      </c>
      <c r="I458" s="4"/>
      <c r="J458" s="4">
        <v>36</v>
      </c>
      <c r="K458" s="4"/>
      <c r="L458" s="4">
        <v>55</v>
      </c>
      <c r="M458" s="21">
        <f>1-AVERAGE(N458:R458)</f>
        <v>0.56105283605283607</v>
      </c>
      <c r="N458" s="20">
        <f>ABS($D$2-F458)/F458</f>
        <v>0.55384615384615377</v>
      </c>
      <c r="O458" s="20">
        <f>ABS($E$2-G458)/G458</f>
        <v>0.11538461538461539</v>
      </c>
      <c r="P458" s="20">
        <f>ABS($F$2-H458)/H458</f>
        <v>0.72222222222222221</v>
      </c>
      <c r="Q458" s="20">
        <f>ABS($H$2-J458)/J458</f>
        <v>0.43055555555555558</v>
      </c>
      <c r="R458" s="20">
        <f>ABS($J$2-L458)/L458</f>
        <v>0.37272727272727274</v>
      </c>
    </row>
    <row r="459" spans="1:18" ht="15.75" customHeight="1" x14ac:dyDescent="0.2">
      <c r="A459">
        <v>843</v>
      </c>
      <c r="B459" s="1" t="s">
        <v>674</v>
      </c>
      <c r="C459" s="1" t="s">
        <v>675</v>
      </c>
      <c r="D459" s="2"/>
      <c r="E459" s="6" t="s">
        <v>482</v>
      </c>
      <c r="F459" s="1">
        <v>1.8</v>
      </c>
      <c r="G459" s="1">
        <v>44</v>
      </c>
      <c r="H459" s="1">
        <v>6</v>
      </c>
      <c r="I459" s="1"/>
      <c r="J459" s="1">
        <v>70</v>
      </c>
      <c r="K459" s="1"/>
      <c r="L459" s="1"/>
      <c r="M459" s="21">
        <f>1-AVERAGE(N459:R459)</f>
        <v>0.56020923520923516</v>
      </c>
      <c r="N459" s="20">
        <f>ABS($D$2-F459)/F459</f>
        <v>0.6777777777777777</v>
      </c>
      <c r="O459" s="20">
        <f>ABS($E$2-G459)/G459</f>
        <v>0.34090909090909088</v>
      </c>
      <c r="P459" s="20">
        <f>ABS($F$2-H459)/H459</f>
        <v>3.3333333333333361E-2</v>
      </c>
      <c r="Q459" s="20">
        <f>ABS($H$2-J459)/J459</f>
        <v>0.70714285714285718</v>
      </c>
      <c r="R459" s="20"/>
    </row>
    <row r="460" spans="1:18" ht="15.75" customHeight="1" x14ac:dyDescent="0.2">
      <c r="A460">
        <v>179</v>
      </c>
      <c r="B460" s="1" t="s">
        <v>153</v>
      </c>
      <c r="C460" s="1"/>
      <c r="D460" s="2"/>
      <c r="E460" s="6" t="s">
        <v>40</v>
      </c>
      <c r="F460" s="3">
        <f>(0.99+1.66)/2</f>
        <v>1.325</v>
      </c>
      <c r="G460" s="3">
        <f>(30+33)/2</f>
        <v>31.5</v>
      </c>
      <c r="H460" s="3">
        <f>(5.5+6.1)/2</f>
        <v>5.8</v>
      </c>
      <c r="I460" s="3"/>
      <c r="J460" s="3">
        <f>(10+11)/2</f>
        <v>10.5</v>
      </c>
      <c r="K460" s="3"/>
      <c r="L460" s="3">
        <f>(45+53)/2</f>
        <v>49</v>
      </c>
      <c r="M460" s="21">
        <f>1-AVERAGE(N460:R460)</f>
        <v>0.55924159470771606</v>
      </c>
      <c r="N460" s="20">
        <f>ABS($D$2-F460)/F460</f>
        <v>0.56226415094339621</v>
      </c>
      <c r="O460" s="20">
        <f>ABS($E$2-G460)/G460</f>
        <v>7.9365079365079361E-2</v>
      </c>
      <c r="P460" s="20">
        <f>ABS($F$2-H460)/H460</f>
        <v>6.8965517241379379E-2</v>
      </c>
      <c r="Q460" s="20">
        <f>ABS($H$2-J460)/J460</f>
        <v>0.95238095238095233</v>
      </c>
      <c r="R460" s="20">
        <f>ABS($J$2-L460)/L460</f>
        <v>0.54081632653061229</v>
      </c>
    </row>
    <row r="461" spans="1:18" ht="15.75" customHeight="1" x14ac:dyDescent="0.2">
      <c r="A461">
        <v>13</v>
      </c>
      <c r="B461" s="6" t="s">
        <v>48</v>
      </c>
      <c r="C461" s="6"/>
      <c r="D461" s="7"/>
      <c r="E461" s="6" t="s">
        <v>40</v>
      </c>
      <c r="F461" s="3">
        <f>(1.15+2.05)/2</f>
        <v>1.5999999999999999</v>
      </c>
      <c r="G461" s="3">
        <f>(38+48)/2</f>
        <v>43</v>
      </c>
      <c r="H461" s="3">
        <f>(6.3+10)/2</f>
        <v>8.15</v>
      </c>
      <c r="I461" s="3"/>
      <c r="J461" s="3">
        <f>(28+42)/2</f>
        <v>35</v>
      </c>
      <c r="K461" s="3"/>
      <c r="L461" s="3">
        <f>(45+50)/2</f>
        <v>47.5</v>
      </c>
      <c r="M461" s="21">
        <f>1-AVERAGE(N461:R461)</f>
        <v>0.55877908049478808</v>
      </c>
      <c r="N461" s="20">
        <f>ABS($D$2-F461)/F461</f>
        <v>0.63749999999999996</v>
      </c>
      <c r="O461" s="20">
        <f>ABS($E$2-G461)/G461</f>
        <v>0.32558139534883723</v>
      </c>
      <c r="P461" s="20">
        <f>ABS($F$2-H461)/H461</f>
        <v>0.2392638036809816</v>
      </c>
      <c r="Q461" s="20">
        <f>ABS($H$2-J461)/J461</f>
        <v>0.41428571428571431</v>
      </c>
      <c r="R461" s="20">
        <f>ABS($J$2-L461)/L461</f>
        <v>0.58947368421052626</v>
      </c>
    </row>
    <row r="462" spans="1:18" ht="15.75" customHeight="1" x14ac:dyDescent="0.2">
      <c r="A462">
        <v>372</v>
      </c>
      <c r="B462" s="9" t="s">
        <v>291</v>
      </c>
      <c r="E462" s="6" t="s">
        <v>40</v>
      </c>
      <c r="F462" s="3">
        <v>1.3</v>
      </c>
      <c r="G462" s="3">
        <f>(30+35)/2</f>
        <v>32.5</v>
      </c>
      <c r="H462" s="3">
        <f>(7+8)/2</f>
        <v>7.5</v>
      </c>
      <c r="I462" s="3"/>
      <c r="J462" s="3">
        <f>(10+12)/2</f>
        <v>11</v>
      </c>
      <c r="K462" s="3"/>
      <c r="L462" s="3">
        <v>50</v>
      </c>
      <c r="M462" s="21">
        <f>1-AVERAGE(N462:R462)</f>
        <v>0.55829836829836821</v>
      </c>
      <c r="N462" s="20">
        <f>ABS($D$2-F462)/F462</f>
        <v>0.55384615384615377</v>
      </c>
      <c r="O462" s="20">
        <f>ABS($E$2-G462)/G462</f>
        <v>0.1076923076923077</v>
      </c>
      <c r="P462" s="20">
        <f>ABS($F$2-H462)/H462</f>
        <v>0.17333333333333331</v>
      </c>
      <c r="Q462" s="20">
        <f>ABS($H$2-J462)/J462</f>
        <v>0.86363636363636365</v>
      </c>
      <c r="R462" s="20">
        <f>ABS($J$2-L462)/L462</f>
        <v>0.51</v>
      </c>
    </row>
    <row r="463" spans="1:18" ht="15.75" customHeight="1" x14ac:dyDescent="0.2">
      <c r="A463">
        <v>935</v>
      </c>
      <c r="B463" s="1" t="s">
        <v>741</v>
      </c>
      <c r="C463" s="1"/>
      <c r="D463" s="2"/>
      <c r="E463" s="6" t="s">
        <v>495</v>
      </c>
      <c r="F463" s="1">
        <v>0.5</v>
      </c>
      <c r="G463" s="4">
        <f>(13+18)/2</f>
        <v>15.5</v>
      </c>
      <c r="H463" s="4">
        <v>4.7</v>
      </c>
      <c r="I463" s="4"/>
      <c r="J463" s="4">
        <v>40</v>
      </c>
      <c r="K463" s="4"/>
      <c r="L463" s="4">
        <v>55</v>
      </c>
      <c r="M463" s="21">
        <f>1-AVERAGE(N463:R463)</f>
        <v>0.55793120983340605</v>
      </c>
      <c r="N463" s="20">
        <f>ABS($D$2-F463)/F463</f>
        <v>0.16000000000000014</v>
      </c>
      <c r="O463" s="20">
        <f>ABS($E$2-G463)/G463</f>
        <v>0.87096774193548387</v>
      </c>
      <c r="P463" s="20">
        <f>ABS($F$2-H463)/H463</f>
        <v>0.31914893617021273</v>
      </c>
      <c r="Q463" s="20">
        <f>ABS($H$2-J463)/J463</f>
        <v>0.48749999999999999</v>
      </c>
      <c r="R463" s="20">
        <f>ABS($J$2-L463)/L463</f>
        <v>0.37272727272727274</v>
      </c>
    </row>
    <row r="464" spans="1:18" ht="15.75" customHeight="1" x14ac:dyDescent="0.2">
      <c r="A464">
        <v>325</v>
      </c>
      <c r="B464" s="9" t="s">
        <v>258</v>
      </c>
      <c r="E464" s="6" t="s">
        <v>41</v>
      </c>
      <c r="F464" s="3">
        <v>1.52</v>
      </c>
      <c r="G464" s="3">
        <v>90</v>
      </c>
      <c r="H464" s="3">
        <v>7</v>
      </c>
      <c r="I464" s="3"/>
      <c r="J464" s="3">
        <v>32</v>
      </c>
      <c r="K464" s="10"/>
      <c r="L464" s="10"/>
      <c r="M464" s="21">
        <f>1-AVERAGE(N464:R464)</f>
        <v>0.55753511382623222</v>
      </c>
      <c r="N464" s="20">
        <f>ABS($D$2-F464)/F464</f>
        <v>0.61842105263157887</v>
      </c>
      <c r="O464" s="20">
        <f>ABS($E$2-G464)/G464</f>
        <v>0.67777777777777781</v>
      </c>
      <c r="P464" s="20">
        <f>ABS($F$2-H464)/H464</f>
        <v>0.11428571428571425</v>
      </c>
      <c r="Q464" s="20">
        <f>ABS($H$2-J464)/J464</f>
        <v>0.359375</v>
      </c>
      <c r="R464" s="20"/>
    </row>
    <row r="465" spans="1:18" ht="15.75" customHeight="1" x14ac:dyDescent="0.2">
      <c r="A465">
        <v>802</v>
      </c>
      <c r="B465" s="1" t="s">
        <v>638</v>
      </c>
      <c r="C465" s="1"/>
      <c r="D465" s="2"/>
      <c r="E465" s="6" t="s">
        <v>495</v>
      </c>
      <c r="F465" s="1">
        <v>1.3</v>
      </c>
      <c r="G465" s="4">
        <v>24</v>
      </c>
      <c r="H465" s="4">
        <v>3.6</v>
      </c>
      <c r="I465" s="4"/>
      <c r="J465" s="4">
        <v>36</v>
      </c>
      <c r="K465" s="4"/>
      <c r="L465" s="4">
        <v>58</v>
      </c>
      <c r="M465" s="21">
        <f>1-AVERAGE(N465:R465)</f>
        <v>0.55666371942234005</v>
      </c>
      <c r="N465" s="20">
        <f>ABS($D$2-F465)/F465</f>
        <v>0.55384615384615377</v>
      </c>
      <c r="O465" s="20">
        <f>ABS($E$2-G465)/G465</f>
        <v>0.20833333333333334</v>
      </c>
      <c r="P465" s="20">
        <f>ABS($F$2-H465)/H465</f>
        <v>0.72222222222222221</v>
      </c>
      <c r="Q465" s="20">
        <f>ABS($H$2-J465)/J465</f>
        <v>0.43055555555555558</v>
      </c>
      <c r="R465" s="20">
        <f>ABS($J$2-L465)/L465</f>
        <v>0.30172413793103448</v>
      </c>
    </row>
    <row r="466" spans="1:18" ht="15.75" customHeight="1" x14ac:dyDescent="0.2">
      <c r="A466">
        <v>707</v>
      </c>
      <c r="B466" s="1" t="s">
        <v>566</v>
      </c>
      <c r="C466" s="1" t="s">
        <v>567</v>
      </c>
      <c r="D466" s="2"/>
      <c r="E466" s="6" t="s">
        <v>482</v>
      </c>
      <c r="F466" s="1">
        <f>(0.8+1.2)/2</f>
        <v>1</v>
      </c>
      <c r="G466" s="4">
        <v>18</v>
      </c>
      <c r="H466" s="4">
        <v>4.5</v>
      </c>
      <c r="I466" s="4"/>
      <c r="J466" s="4">
        <v>15</v>
      </c>
      <c r="K466" s="4"/>
      <c r="L466" s="4"/>
      <c r="M466" s="21">
        <f>1-AVERAGE(N466:R466)</f>
        <v>0.55611111111111111</v>
      </c>
      <c r="N466" s="20">
        <f>ABS($D$2-F466)/F466</f>
        <v>0.41999999999999993</v>
      </c>
      <c r="O466" s="20">
        <f>ABS($E$2-G466)/G466</f>
        <v>0.61111111111111116</v>
      </c>
      <c r="P466" s="20">
        <f>ABS($F$2-H466)/H466</f>
        <v>0.37777777777777782</v>
      </c>
      <c r="Q466" s="20">
        <f>ABS($H$2-J466)/J466</f>
        <v>0.36666666666666664</v>
      </c>
      <c r="R466" s="20"/>
    </row>
    <row r="467" spans="1:18" ht="15.75" customHeight="1" x14ac:dyDescent="0.2">
      <c r="A467">
        <v>433</v>
      </c>
      <c r="B467" s="9" t="s">
        <v>342</v>
      </c>
      <c r="E467" s="6" t="s">
        <v>40</v>
      </c>
      <c r="F467" s="3">
        <v>0.78</v>
      </c>
      <c r="G467" s="3">
        <v>17</v>
      </c>
      <c r="H467" s="3">
        <v>3.9</v>
      </c>
      <c r="I467" s="3"/>
      <c r="J467" s="3">
        <v>22</v>
      </c>
      <c r="K467" s="3"/>
      <c r="L467" s="3">
        <v>47</v>
      </c>
      <c r="M467" s="21">
        <f>1-AVERAGE(N467:R467)</f>
        <v>0.55467980079995094</v>
      </c>
      <c r="N467" s="20">
        <f>ABS($D$2-F467)/F467</f>
        <v>0.25641025641025633</v>
      </c>
      <c r="O467" s="20">
        <f>ABS($E$2-G467)/G467</f>
        <v>0.70588235294117652</v>
      </c>
      <c r="P467" s="20">
        <f>ABS($F$2-H467)/H467</f>
        <v>0.58974358974358987</v>
      </c>
      <c r="Q467" s="20">
        <f>ABS($H$2-J467)/J467</f>
        <v>6.8181818181818177E-2</v>
      </c>
      <c r="R467" s="20">
        <f>ABS($J$2-L467)/L467</f>
        <v>0.6063829787234043</v>
      </c>
    </row>
    <row r="468" spans="1:18" ht="15.75" customHeight="1" x14ac:dyDescent="0.2">
      <c r="A468">
        <v>783</v>
      </c>
      <c r="B468" s="6" t="s">
        <v>614</v>
      </c>
      <c r="C468" s="6" t="s">
        <v>615</v>
      </c>
      <c r="D468" s="7"/>
      <c r="E468" s="6" t="s">
        <v>495</v>
      </c>
      <c r="F468" s="1">
        <v>1</v>
      </c>
      <c r="G468" s="4">
        <v>28</v>
      </c>
      <c r="H468" s="4">
        <v>3.3</v>
      </c>
      <c r="I468" s="4"/>
      <c r="J468" s="4">
        <v>56</v>
      </c>
      <c r="K468" s="4"/>
      <c r="L468" s="4">
        <v>60</v>
      </c>
      <c r="M468" s="21">
        <f>1-AVERAGE(N468:R468)</f>
        <v>0.55464718614718611</v>
      </c>
      <c r="N468" s="20">
        <f>ABS($D$2-F468)/F468</f>
        <v>0.41999999999999993</v>
      </c>
      <c r="O468" s="20">
        <f>ABS($E$2-G468)/G468</f>
        <v>3.5714285714285712E-2</v>
      </c>
      <c r="P468" s="20">
        <f>ABS($F$2-H468)/H468</f>
        <v>0.8787878787878789</v>
      </c>
      <c r="Q468" s="20">
        <f>ABS($H$2-J468)/J468</f>
        <v>0.6339285714285714</v>
      </c>
      <c r="R468" s="20">
        <f>ABS($J$2-L468)/L468</f>
        <v>0.25833333333333336</v>
      </c>
    </row>
    <row r="469" spans="1:18" ht="15.75" customHeight="1" x14ac:dyDescent="0.2">
      <c r="A469">
        <v>824</v>
      </c>
      <c r="B469" s="6" t="s">
        <v>660</v>
      </c>
      <c r="C469" s="1" t="s">
        <v>661</v>
      </c>
      <c r="D469" s="2"/>
      <c r="E469" s="6" t="s">
        <v>482</v>
      </c>
      <c r="F469" s="1">
        <v>1.5</v>
      </c>
      <c r="G469" s="1">
        <v>39</v>
      </c>
      <c r="H469" s="1">
        <v>5.0999999999999996</v>
      </c>
      <c r="I469" s="1"/>
      <c r="J469" s="1">
        <v>68</v>
      </c>
      <c r="K469" s="1"/>
      <c r="L469" s="1"/>
      <c r="M469" s="21">
        <f>1-AVERAGE(N469:R469)</f>
        <v>0.55401018099547517</v>
      </c>
      <c r="N469" s="20">
        <f>ABS($D$2-F469)/F469</f>
        <v>0.61333333333333329</v>
      </c>
      <c r="O469" s="20">
        <f>ABS($E$2-G469)/G469</f>
        <v>0.25641025641025639</v>
      </c>
      <c r="P469" s="20">
        <f>ABS($F$2-H469)/H469</f>
        <v>0.21568627450980404</v>
      </c>
      <c r="Q469" s="20">
        <f>ABS($H$2-J469)/J469</f>
        <v>0.69852941176470584</v>
      </c>
      <c r="R469" s="20"/>
    </row>
    <row r="470" spans="1:18" ht="15.75" customHeight="1" x14ac:dyDescent="0.2">
      <c r="A470">
        <v>862</v>
      </c>
      <c r="B470" s="1" t="s">
        <v>691</v>
      </c>
      <c r="C470" s="1"/>
      <c r="D470" s="2"/>
      <c r="E470" s="6" t="s">
        <v>495</v>
      </c>
      <c r="F470" s="1">
        <v>1.8</v>
      </c>
      <c r="G470" s="4">
        <v>36</v>
      </c>
      <c r="H470" s="4">
        <v>5.2</v>
      </c>
      <c r="I470" s="4"/>
      <c r="J470" s="4">
        <v>60</v>
      </c>
      <c r="K470" s="4"/>
      <c r="L470" s="4">
        <v>50</v>
      </c>
      <c r="M470" s="21">
        <f>1-AVERAGE(N470:R470)</f>
        <v>0.55342735042735058</v>
      </c>
      <c r="N470" s="20">
        <f>ABS($D$2-F470)/F470</f>
        <v>0.6777777777777777</v>
      </c>
      <c r="O470" s="20">
        <f>ABS($E$2-G470)/G470</f>
        <v>0.19444444444444445</v>
      </c>
      <c r="P470" s="20">
        <f>ABS($F$2-H470)/H470</f>
        <v>0.19230769230769229</v>
      </c>
      <c r="Q470" s="20">
        <f>ABS($H$2-J470)/J470</f>
        <v>0.65833333333333333</v>
      </c>
      <c r="R470" s="20">
        <f>ABS($J$2-L470)/L470</f>
        <v>0.51</v>
      </c>
    </row>
    <row r="471" spans="1:18" ht="15.75" customHeight="1" x14ac:dyDescent="0.2">
      <c r="A471">
        <v>93</v>
      </c>
      <c r="B471" s="1" t="s">
        <v>97</v>
      </c>
      <c r="C471" s="1"/>
      <c r="D471" s="2"/>
      <c r="E471" s="6" t="s">
        <v>41</v>
      </c>
      <c r="F471" s="3">
        <f>(1.1+1.25)/2</f>
        <v>1.175</v>
      </c>
      <c r="G471" s="3">
        <f>(45+60)/2</f>
        <v>52.5</v>
      </c>
      <c r="H471" s="3">
        <f>(5+6)/2</f>
        <v>5.5</v>
      </c>
      <c r="I471" s="3"/>
      <c r="J471" s="3">
        <f>(11+13)/2</f>
        <v>12</v>
      </c>
      <c r="K471" s="3"/>
      <c r="L471" s="3"/>
      <c r="M471" s="21">
        <f>1-AVERAGE(N471:R471)</f>
        <v>0.55259797826287183</v>
      </c>
      <c r="N471" s="20">
        <f>ABS($D$2-F471)/F471</f>
        <v>0.50638297872340421</v>
      </c>
      <c r="O471" s="20">
        <f>ABS($E$2-G471)/G471</f>
        <v>0.44761904761904764</v>
      </c>
      <c r="P471" s="20">
        <f>ABS($F$2-H471)/H471</f>
        <v>0.12727272727272732</v>
      </c>
      <c r="Q471" s="20">
        <f>ABS($H$2-J471)/J471</f>
        <v>0.70833333333333337</v>
      </c>
      <c r="R471" s="20"/>
    </row>
    <row r="472" spans="1:18" ht="15.75" customHeight="1" x14ac:dyDescent="0.2">
      <c r="A472">
        <v>383</v>
      </c>
      <c r="B472" s="9" t="s">
        <v>301</v>
      </c>
      <c r="E472" s="6" t="s">
        <v>40</v>
      </c>
      <c r="F472" s="3">
        <v>0.56000000000000005</v>
      </c>
      <c r="G472" s="3">
        <f>(26+27)/2</f>
        <v>26.5</v>
      </c>
      <c r="H472" s="3">
        <f>(6+6.5)/2</f>
        <v>6.25</v>
      </c>
      <c r="I472" s="3"/>
      <c r="J472" s="3">
        <f>(7+8)/2</f>
        <v>7.5</v>
      </c>
      <c r="K472" s="3"/>
      <c r="L472" s="3">
        <v>55</v>
      </c>
      <c r="M472" s="21">
        <f>1-AVERAGE(N472:R472)</f>
        <v>0.55117709711671981</v>
      </c>
      <c r="N472" s="20">
        <f>ABS($D$2-F472)/F472</f>
        <v>3.571428571428574E-2</v>
      </c>
      <c r="O472" s="20">
        <f>ABS($E$2-G472)/G472</f>
        <v>9.4339622641509441E-2</v>
      </c>
      <c r="P472" s="20">
        <f>ABS($F$2-H472)/H472</f>
        <v>7.9999999999999724E-3</v>
      </c>
      <c r="Q472" s="20">
        <f>ABS($H$2-J472)/J472</f>
        <v>1.7333333333333334</v>
      </c>
      <c r="R472" s="20">
        <f>ABS($J$2-L472)/L472</f>
        <v>0.37272727272727274</v>
      </c>
    </row>
    <row r="473" spans="1:18" ht="15.75" customHeight="1" x14ac:dyDescent="0.2">
      <c r="A473">
        <v>480</v>
      </c>
      <c r="B473" s="9" t="s">
        <v>380</v>
      </c>
      <c r="E473" s="6" t="s">
        <v>40</v>
      </c>
      <c r="F473" s="3">
        <f>(1.2+1.8)/2</f>
        <v>1.5</v>
      </c>
      <c r="G473" s="3">
        <v>36</v>
      </c>
      <c r="H473" s="3">
        <v>6.7</v>
      </c>
      <c r="I473" s="3"/>
      <c r="J473" s="3">
        <v>59</v>
      </c>
      <c r="K473" s="3"/>
      <c r="L473" s="3">
        <v>44</v>
      </c>
      <c r="M473" s="21">
        <f>1-AVERAGE(N473:R473)</f>
        <v>0.54982877855202672</v>
      </c>
      <c r="N473" s="20">
        <f>ABS($D$2-F473)/F473</f>
        <v>0.61333333333333329</v>
      </c>
      <c r="O473" s="20">
        <f>ABS($E$2-G473)/G473</f>
        <v>0.19444444444444445</v>
      </c>
      <c r="P473" s="20">
        <f>ABS($F$2-H473)/H473</f>
        <v>7.4626865671641784E-2</v>
      </c>
      <c r="Q473" s="20">
        <f>ABS($H$2-J473)/J473</f>
        <v>0.65254237288135597</v>
      </c>
      <c r="R473" s="20">
        <f>ABS($J$2-L473)/L473</f>
        <v>0.71590909090909094</v>
      </c>
    </row>
    <row r="474" spans="1:18" ht="15.75" customHeight="1" x14ac:dyDescent="0.2">
      <c r="A474">
        <v>365</v>
      </c>
      <c r="B474" s="9" t="s">
        <v>287</v>
      </c>
      <c r="C474" s="9" t="s">
        <v>288</v>
      </c>
      <c r="E474" s="6" t="s">
        <v>41</v>
      </c>
      <c r="F474" s="3">
        <v>0.74</v>
      </c>
      <c r="G474" s="3">
        <f>(22+25)/2</f>
        <v>23.5</v>
      </c>
      <c r="H474" s="3">
        <f>(6+6.5)/2</f>
        <v>6.25</v>
      </c>
      <c r="I474" s="3"/>
      <c r="J474" s="3">
        <f>(8.5+9)/2</f>
        <v>8.75</v>
      </c>
      <c r="K474" s="3"/>
      <c r="L474" s="3"/>
      <c r="M474" s="21">
        <f>1-AVERAGE(N474:R474)</f>
        <v>0.54972102193378802</v>
      </c>
      <c r="N474" s="20">
        <f>ABS($D$2-F474)/F474</f>
        <v>0.21621621621621612</v>
      </c>
      <c r="O474" s="20">
        <f>ABS($E$2-G474)/G474</f>
        <v>0.23404255319148937</v>
      </c>
      <c r="P474" s="20">
        <f>ABS($F$2-H474)/H474</f>
        <v>7.9999999999999724E-3</v>
      </c>
      <c r="Q474" s="20">
        <f>ABS($H$2-J474)/J474</f>
        <v>1.3428571428571427</v>
      </c>
      <c r="R474" s="20"/>
    </row>
    <row r="475" spans="1:18" ht="15.75" customHeight="1" x14ac:dyDescent="0.2">
      <c r="A475">
        <v>838</v>
      </c>
      <c r="B475" s="1" t="s">
        <v>670</v>
      </c>
      <c r="C475" s="1" t="s">
        <v>671</v>
      </c>
      <c r="D475" s="2"/>
      <c r="E475" s="6" t="s">
        <v>482</v>
      </c>
      <c r="F475" s="1">
        <v>1.5</v>
      </c>
      <c r="G475" s="1">
        <v>35</v>
      </c>
      <c r="H475" s="1">
        <v>4.7</v>
      </c>
      <c r="I475" s="1"/>
      <c r="J475" s="1">
        <v>70</v>
      </c>
      <c r="K475" s="1"/>
      <c r="L475" s="1"/>
      <c r="M475" s="21">
        <f>1-AVERAGE(N475:R475)</f>
        <v>0.54723657548125637</v>
      </c>
      <c r="N475" s="20">
        <f>ABS($D$2-F475)/F475</f>
        <v>0.61333333333333329</v>
      </c>
      <c r="O475" s="20">
        <f>ABS($E$2-G475)/G475</f>
        <v>0.17142857142857143</v>
      </c>
      <c r="P475" s="20">
        <f>ABS($F$2-H475)/H475</f>
        <v>0.31914893617021273</v>
      </c>
      <c r="Q475" s="20">
        <f>ABS($H$2-J475)/J475</f>
        <v>0.70714285714285718</v>
      </c>
      <c r="R475" s="20"/>
    </row>
    <row r="476" spans="1:18" ht="15.75" customHeight="1" x14ac:dyDescent="0.2">
      <c r="A476">
        <v>73</v>
      </c>
      <c r="B476" s="1" t="s">
        <v>83</v>
      </c>
      <c r="C476" s="1"/>
      <c r="D476" s="2"/>
      <c r="E476" s="6" t="s">
        <v>40</v>
      </c>
      <c r="F476" s="3">
        <f>(0.74+0.89)/2</f>
        <v>0.81499999999999995</v>
      </c>
      <c r="G476" s="3">
        <f>(23+25)/2</f>
        <v>24</v>
      </c>
      <c r="H476" s="3">
        <f>(5+5.9)/2</f>
        <v>5.45</v>
      </c>
      <c r="I476" s="3"/>
      <c r="J476" s="3">
        <f>(6.7+9.4)/2</f>
        <v>8.0500000000000007</v>
      </c>
      <c r="K476" s="3"/>
      <c r="L476" s="3">
        <f>(80.7+84.1)/2</f>
        <v>82.4</v>
      </c>
      <c r="M476" s="21">
        <f>1-AVERAGE(N476:R476)</f>
        <v>0.54707734289520571</v>
      </c>
      <c r="N476" s="20">
        <f>ABS($D$2-F476)/F476</f>
        <v>0.28834355828220848</v>
      </c>
      <c r="O476" s="20">
        <f>ABS($E$2-G476)/G476</f>
        <v>0.20833333333333334</v>
      </c>
      <c r="P476" s="20">
        <f>ABS($F$2-H476)/H476</f>
        <v>0.13761467889908258</v>
      </c>
      <c r="Q476" s="20">
        <f>ABS($H$2-J476)/J476</f>
        <v>1.5465838509316767</v>
      </c>
      <c r="R476" s="20">
        <f>ABS($J$2-L476)/L476</f>
        <v>8.3737864077669963E-2</v>
      </c>
    </row>
    <row r="477" spans="1:18" ht="15.75" customHeight="1" x14ac:dyDescent="0.2">
      <c r="A477">
        <v>375</v>
      </c>
      <c r="B477" s="9" t="s">
        <v>293</v>
      </c>
      <c r="E477" s="6" t="s">
        <v>40</v>
      </c>
      <c r="F477" s="3">
        <f>(0.39+1.12)/2</f>
        <v>0.75500000000000012</v>
      </c>
      <c r="G477" s="3">
        <f>(13+30)/2</f>
        <v>21.5</v>
      </c>
      <c r="H477" s="3">
        <f>(4.9+8.2)/2</f>
        <v>6.55</v>
      </c>
      <c r="I477" s="3"/>
      <c r="J477" s="3">
        <f>(6.1+12)/2</f>
        <v>9.0500000000000007</v>
      </c>
      <c r="K477" s="3"/>
      <c r="L477" s="3">
        <f>(44+66)/2</f>
        <v>55</v>
      </c>
      <c r="M477" s="21">
        <f>1-AVERAGE(N477:R477)</f>
        <v>0.54560379076612819</v>
      </c>
      <c r="N477" s="20">
        <f>ABS($D$2-F477)/F477</f>
        <v>0.23178807947019869</v>
      </c>
      <c r="O477" s="20">
        <f>ABS($E$2-G477)/G477</f>
        <v>0.34883720930232559</v>
      </c>
      <c r="P477" s="20">
        <f>ABS($F$2-H477)/H477</f>
        <v>5.3435114503816744E-2</v>
      </c>
      <c r="Q477" s="20">
        <f>ABS($H$2-J477)/J477</f>
        <v>1.2651933701657456</v>
      </c>
      <c r="R477" s="20">
        <f>ABS($J$2-L477)/L477</f>
        <v>0.37272727272727274</v>
      </c>
    </row>
    <row r="478" spans="1:18" ht="15.75" customHeight="1" x14ac:dyDescent="0.2">
      <c r="A478">
        <v>98</v>
      </c>
      <c r="B478" s="1" t="s">
        <v>101</v>
      </c>
      <c r="C478" s="1"/>
      <c r="D478" s="2"/>
      <c r="E478" s="6" t="s">
        <v>40</v>
      </c>
      <c r="F478" s="3">
        <v>0.74</v>
      </c>
      <c r="G478" s="3">
        <v>31</v>
      </c>
      <c r="H478" s="3">
        <v>7.2</v>
      </c>
      <c r="I478" s="3"/>
      <c r="J478" s="3">
        <v>7.2</v>
      </c>
      <c r="K478" s="3"/>
      <c r="L478" s="3">
        <v>76</v>
      </c>
      <c r="M478" s="21">
        <f>1-AVERAGE(N478:R478)</f>
        <v>0.5453155192543987</v>
      </c>
      <c r="N478" s="20">
        <f>ABS($D$2-F478)/F478</f>
        <v>0.21621621621621612</v>
      </c>
      <c r="O478" s="20">
        <f>ABS($E$2-G478)/G478</f>
        <v>6.4516129032258063E-2</v>
      </c>
      <c r="P478" s="20">
        <f>ABS($F$2-H478)/H478</f>
        <v>0.1388888888888889</v>
      </c>
      <c r="Q478" s="20">
        <f>ABS($H$2-J478)/J478</f>
        <v>1.8472222222222223</v>
      </c>
      <c r="R478" s="20">
        <f>ABS($J$2-L478)/L478</f>
        <v>6.5789473684210523E-3</v>
      </c>
    </row>
    <row r="479" spans="1:18" ht="15.75" customHeight="1" x14ac:dyDescent="0.2">
      <c r="A479">
        <v>414</v>
      </c>
      <c r="B479" s="9" t="s">
        <v>329</v>
      </c>
      <c r="E479" s="6" t="s">
        <v>40</v>
      </c>
      <c r="F479" s="3">
        <f>(1.3+1.92)/2</f>
        <v>1.6099999999999999</v>
      </c>
      <c r="G479" s="3">
        <f>(20+28)/2</f>
        <v>24</v>
      </c>
      <c r="H479" s="3">
        <f>(3.9+5)/2</f>
        <v>4.45</v>
      </c>
      <c r="I479" s="3"/>
      <c r="J479" s="3">
        <f>(51+63)/2</f>
        <v>57</v>
      </c>
      <c r="K479" s="3"/>
      <c r="L479" s="3">
        <v>54</v>
      </c>
      <c r="M479" s="21">
        <f>1-AVERAGE(N479:R479)</f>
        <v>0.54403153231284251</v>
      </c>
      <c r="N479" s="20">
        <f>ABS($D$2-F479)/F479</f>
        <v>0.63975155279503093</v>
      </c>
      <c r="O479" s="20">
        <f>ABS($E$2-G479)/G479</f>
        <v>0.20833333333333334</v>
      </c>
      <c r="P479" s="20">
        <f>ABS($F$2-H479)/H479</f>
        <v>0.3932584269662921</v>
      </c>
      <c r="Q479" s="20">
        <f>ABS($H$2-J479)/J479</f>
        <v>0.64035087719298245</v>
      </c>
      <c r="R479" s="20">
        <f>ABS($J$2-L479)/L479</f>
        <v>0.39814814814814814</v>
      </c>
    </row>
    <row r="480" spans="1:18" ht="15.75" customHeight="1" x14ac:dyDescent="0.2">
      <c r="A480">
        <v>423</v>
      </c>
      <c r="B480" s="9" t="s">
        <v>335</v>
      </c>
      <c r="E480" s="6" t="s">
        <v>40</v>
      </c>
      <c r="F480" s="3">
        <f>(2.1+2.3)/2</f>
        <v>2.2000000000000002</v>
      </c>
      <c r="G480" s="3">
        <f>(23+26)/2</f>
        <v>24.5</v>
      </c>
      <c r="H480" s="3">
        <f>(3.9+4)/2</f>
        <v>3.95</v>
      </c>
      <c r="I480" s="3"/>
      <c r="J480" s="3">
        <f>(41+47)/2</f>
        <v>44</v>
      </c>
      <c r="K480" s="3"/>
      <c r="L480" s="3">
        <v>60</v>
      </c>
      <c r="M480" s="21">
        <f>1-AVERAGE(N480:R480)</f>
        <v>0.54358367973196187</v>
      </c>
      <c r="N480" s="20">
        <f>ABS($D$2-F480)/F480</f>
        <v>0.73636363636363633</v>
      </c>
      <c r="O480" s="20">
        <f>ABS($E$2-G480)/G480</f>
        <v>0.18367346938775511</v>
      </c>
      <c r="P480" s="20">
        <f>ABS($F$2-H480)/H480</f>
        <v>0.56962025316455689</v>
      </c>
      <c r="Q480" s="20">
        <f>ABS($H$2-J480)/J480</f>
        <v>0.53409090909090906</v>
      </c>
      <c r="R480" s="20">
        <f>ABS($J$2-L480)/L480</f>
        <v>0.25833333333333336</v>
      </c>
    </row>
    <row r="481" spans="1:18" ht="15.75" customHeight="1" x14ac:dyDescent="0.2">
      <c r="A481">
        <v>721</v>
      </c>
      <c r="B481" s="1" t="s">
        <v>573</v>
      </c>
      <c r="C481" s="1" t="s">
        <v>574</v>
      </c>
      <c r="D481" s="2"/>
      <c r="E481" s="6" t="s">
        <v>495</v>
      </c>
      <c r="F481" s="1">
        <v>0.46</v>
      </c>
      <c r="G481" s="4">
        <v>23</v>
      </c>
      <c r="H481" s="4">
        <v>4.5</v>
      </c>
      <c r="I481" s="4"/>
      <c r="J481" s="4">
        <v>9</v>
      </c>
      <c r="K481" s="4"/>
      <c r="L481" s="4">
        <v>68</v>
      </c>
      <c r="M481" s="21">
        <f>1-AVERAGE(N481:R481)</f>
        <v>0.54248223927252059</v>
      </c>
      <c r="N481" s="20">
        <f>ABS($D$2-F481)/F481</f>
        <v>0.26086956521739141</v>
      </c>
      <c r="O481" s="20">
        <f>ABS($E$2-G481)/G481</f>
        <v>0.2608695652173913</v>
      </c>
      <c r="P481" s="20">
        <f>ABS($F$2-H481)/H481</f>
        <v>0.37777777777777782</v>
      </c>
      <c r="Q481" s="20">
        <f>ABS($H$2-J481)/J481</f>
        <v>1.2777777777777777</v>
      </c>
      <c r="R481" s="20">
        <f>ABS($J$2-L481)/L481</f>
        <v>0.11029411764705882</v>
      </c>
    </row>
    <row r="482" spans="1:18" ht="15.75" customHeight="1" x14ac:dyDescent="0.2">
      <c r="A482">
        <v>96</v>
      </c>
      <c r="B482" s="1" t="s">
        <v>100</v>
      </c>
      <c r="C482" s="1"/>
      <c r="D482" s="2"/>
      <c r="E482" s="6" t="s">
        <v>40</v>
      </c>
      <c r="F482" s="3">
        <f>(1.2+2.03)/2</f>
        <v>1.6149999999999998</v>
      </c>
      <c r="G482" s="3">
        <f>(13+18)/2</f>
        <v>15.5</v>
      </c>
      <c r="H482" s="3">
        <f>(9+13)/2</f>
        <v>11</v>
      </c>
      <c r="I482" s="3"/>
      <c r="J482" s="3">
        <f>(18+32)/2</f>
        <v>25</v>
      </c>
      <c r="K482" s="3"/>
      <c r="L482" s="3">
        <f>(88+93)/2</f>
        <v>90.5</v>
      </c>
      <c r="M482" s="21">
        <f>1-AVERAGE(N482:R482)</f>
        <v>0.54121117845645472</v>
      </c>
      <c r="N482" s="20">
        <f>ABS($D$2-F482)/F482</f>
        <v>0.64086687306501533</v>
      </c>
      <c r="O482" s="20">
        <f>ABS($E$2-G482)/G482</f>
        <v>0.87096774193548387</v>
      </c>
      <c r="P482" s="20">
        <f>ABS($F$2-H482)/H482</f>
        <v>0.43636363636363634</v>
      </c>
      <c r="Q482" s="20">
        <f>ABS($H$2-J482)/J482</f>
        <v>0.18</v>
      </c>
      <c r="R482" s="20">
        <f>ABS($J$2-L482)/L482</f>
        <v>0.16574585635359115</v>
      </c>
    </row>
    <row r="483" spans="1:18" ht="15.75" customHeight="1" x14ac:dyDescent="0.2">
      <c r="A483">
        <v>893</v>
      </c>
      <c r="B483" s="1" t="s">
        <v>709</v>
      </c>
      <c r="C483" s="1"/>
      <c r="D483" s="2"/>
      <c r="E483" s="6" t="s">
        <v>482</v>
      </c>
      <c r="F483" s="1">
        <v>1.3</v>
      </c>
      <c r="G483" s="4">
        <v>31</v>
      </c>
      <c r="H483" s="4">
        <v>3.8</v>
      </c>
      <c r="I483" s="4"/>
      <c r="J483" s="4">
        <v>50</v>
      </c>
      <c r="K483" s="4"/>
      <c r="L483" s="4"/>
      <c r="M483" s="21">
        <f>1-AVERAGE(N483:R483)</f>
        <v>0.54001469243829181</v>
      </c>
      <c r="N483" s="20">
        <f>ABS($D$2-F483)/F483</f>
        <v>0.55384615384615377</v>
      </c>
      <c r="O483" s="20">
        <f>ABS($E$2-G483)/G483</f>
        <v>6.4516129032258063E-2</v>
      </c>
      <c r="P483" s="20">
        <f>ABS($F$2-H483)/H483</f>
        <v>0.63157894736842113</v>
      </c>
      <c r="Q483" s="20">
        <f>ABS($H$2-J483)/J483</f>
        <v>0.59</v>
      </c>
      <c r="R483" s="20"/>
    </row>
    <row r="484" spans="1:18" ht="15.75" customHeight="1" x14ac:dyDescent="0.2">
      <c r="A484">
        <v>71</v>
      </c>
      <c r="B484" s="6" t="s">
        <v>81</v>
      </c>
      <c r="C484" s="1" t="s">
        <v>82</v>
      </c>
      <c r="D484" s="2"/>
      <c r="E484" s="6" t="s">
        <v>40</v>
      </c>
      <c r="F484" s="3">
        <f>(0.48+0.58)/2</f>
        <v>0.53</v>
      </c>
      <c r="G484" s="3">
        <f>(10+16)/2</f>
        <v>13</v>
      </c>
      <c r="H484" s="3">
        <f>(3.3+4.5)/2</f>
        <v>3.9</v>
      </c>
      <c r="I484" s="3"/>
      <c r="J484" s="3">
        <f>(12+18)/2</f>
        <v>15</v>
      </c>
      <c r="K484" s="3"/>
      <c r="L484" s="3">
        <f>(74+80)/2</f>
        <v>77</v>
      </c>
      <c r="M484" s="21">
        <f>1-AVERAGE(N484:R484)</f>
        <v>0.53980007413969677</v>
      </c>
      <c r="N484" s="20">
        <f>ABS($D$2-F484)/F484</f>
        <v>9.433962264150951E-2</v>
      </c>
      <c r="O484" s="20">
        <f>ABS($E$2-G484)/G484</f>
        <v>1.2307692307692308</v>
      </c>
      <c r="P484" s="20">
        <f>ABS($F$2-H484)/H484</f>
        <v>0.58974358974358987</v>
      </c>
      <c r="Q484" s="20">
        <f>ABS($H$2-J484)/J484</f>
        <v>0.36666666666666664</v>
      </c>
      <c r="R484" s="20">
        <f>ABS($J$2-L484)/L484</f>
        <v>1.948051948051948E-2</v>
      </c>
    </row>
    <row r="485" spans="1:18" ht="15.75" customHeight="1" x14ac:dyDescent="0.2">
      <c r="A485">
        <v>853</v>
      </c>
      <c r="B485" s="1" t="s">
        <v>684</v>
      </c>
      <c r="C485" s="1"/>
      <c r="D485" s="2"/>
      <c r="E485" s="6" t="s">
        <v>495</v>
      </c>
      <c r="F485" s="6">
        <v>1.4</v>
      </c>
      <c r="G485" s="4">
        <v>21</v>
      </c>
      <c r="H485" s="4">
        <v>4.0999999999999996</v>
      </c>
      <c r="I485" s="4"/>
      <c r="J485" s="4">
        <v>47</v>
      </c>
      <c r="K485" s="4"/>
      <c r="L485" s="4">
        <v>60</v>
      </c>
      <c r="M485" s="21">
        <f>1-AVERAGE(N485:R485)</f>
        <v>0.53979501816294762</v>
      </c>
      <c r="N485" s="20">
        <f>ABS($D$2-F485)/F485</f>
        <v>0.58571428571428563</v>
      </c>
      <c r="O485" s="20">
        <f>ABS($E$2-G485)/G485</f>
        <v>0.38095238095238093</v>
      </c>
      <c r="P485" s="20">
        <f>ABS($F$2-H485)/H485</f>
        <v>0.51219512195121963</v>
      </c>
      <c r="Q485" s="20">
        <f>ABS($H$2-J485)/J485</f>
        <v>0.56382978723404253</v>
      </c>
      <c r="R485" s="20">
        <f>ABS($J$2-L485)/L485</f>
        <v>0.25833333333333336</v>
      </c>
    </row>
    <row r="486" spans="1:18" ht="15.75" customHeight="1" x14ac:dyDescent="0.2">
      <c r="A486">
        <v>840</v>
      </c>
      <c r="B486" s="1" t="s">
        <v>672</v>
      </c>
      <c r="C486" s="1"/>
      <c r="D486" s="2"/>
      <c r="E486" s="6" t="s">
        <v>482</v>
      </c>
      <c r="F486" s="1">
        <v>1.6</v>
      </c>
      <c r="G486" s="1">
        <v>34</v>
      </c>
      <c r="H486" s="1">
        <v>4.0999999999999996</v>
      </c>
      <c r="I486" s="1"/>
      <c r="J486" s="1">
        <v>45</v>
      </c>
      <c r="K486" s="1"/>
      <c r="L486" s="1"/>
      <c r="M486" s="21">
        <f>1-AVERAGE(N486:R486)</f>
        <v>0.53970040251873108</v>
      </c>
      <c r="N486" s="20">
        <f>ABS($D$2-F486)/F486</f>
        <v>0.63749999999999996</v>
      </c>
      <c r="O486" s="20">
        <f>ABS($E$2-G486)/G486</f>
        <v>0.14705882352941177</v>
      </c>
      <c r="P486" s="20">
        <f>ABS($F$2-H486)/H486</f>
        <v>0.51219512195121963</v>
      </c>
      <c r="Q486" s="20">
        <f>ABS($H$2-J486)/J486</f>
        <v>0.5444444444444444</v>
      </c>
      <c r="R486" s="20"/>
    </row>
    <row r="487" spans="1:18" ht="15.75" customHeight="1" x14ac:dyDescent="0.2">
      <c r="A487">
        <v>305</v>
      </c>
      <c r="B487" s="9" t="s">
        <v>240</v>
      </c>
      <c r="E487" s="6" t="s">
        <v>40</v>
      </c>
      <c r="F487" s="3">
        <f>(0.93+1)/2</f>
        <v>0.96500000000000008</v>
      </c>
      <c r="G487" s="3">
        <f>(30+42)/2</f>
        <v>36</v>
      </c>
      <c r="H487" s="3">
        <f>(4.5+4.8)/2</f>
        <v>4.6500000000000004</v>
      </c>
      <c r="I487" s="3"/>
      <c r="J487" s="3">
        <f>(9.6+11)/2</f>
        <v>10.3</v>
      </c>
      <c r="K487" s="3"/>
      <c r="L487" s="3">
        <f>(52+57)/2</f>
        <v>54.5</v>
      </c>
      <c r="M487" s="21">
        <f>1-AVERAGE(N487:R487)</f>
        <v>0.53952922571978412</v>
      </c>
      <c r="N487" s="20">
        <f>ABS($D$2-F487)/F487</f>
        <v>0.39896373056994816</v>
      </c>
      <c r="O487" s="20">
        <f>ABS($E$2-G487)/G487</f>
        <v>0.19444444444444445</v>
      </c>
      <c r="P487" s="20">
        <f>ABS($F$2-H487)/H487</f>
        <v>0.33333333333333326</v>
      </c>
      <c r="Q487" s="20">
        <f>ABS($H$2-J487)/J487</f>
        <v>0.99029126213592222</v>
      </c>
      <c r="R487" s="20">
        <f>ABS($J$2-L487)/L487</f>
        <v>0.38532110091743121</v>
      </c>
    </row>
    <row r="488" spans="1:18" ht="15.75" customHeight="1" x14ac:dyDescent="0.2">
      <c r="A488">
        <v>504</v>
      </c>
      <c r="B488" s="9" t="s">
        <v>396</v>
      </c>
      <c r="E488" s="6" t="s">
        <v>40</v>
      </c>
      <c r="F488" s="3">
        <v>2.87</v>
      </c>
      <c r="G488" s="3">
        <v>44</v>
      </c>
      <c r="H488" s="3">
        <v>3.7</v>
      </c>
      <c r="I488" s="3"/>
      <c r="J488" s="3">
        <v>34</v>
      </c>
      <c r="K488" s="3"/>
      <c r="L488" s="3">
        <v>69</v>
      </c>
      <c r="M488" s="21">
        <f>1-AVERAGE(N488:R488)</f>
        <v>0.53884882073391838</v>
      </c>
      <c r="N488" s="20">
        <f>ABS($D$2-F488)/F488</f>
        <v>0.79790940766550522</v>
      </c>
      <c r="O488" s="20">
        <f>ABS($E$2-G488)/G488</f>
        <v>0.34090909090909088</v>
      </c>
      <c r="P488" s="20">
        <f>ABS($F$2-H488)/H488</f>
        <v>0.67567567567567566</v>
      </c>
      <c r="Q488" s="20">
        <f>ABS($H$2-J488)/J488</f>
        <v>0.39705882352941174</v>
      </c>
      <c r="R488" s="20">
        <f>ABS($J$2-L488)/L488</f>
        <v>9.420289855072464E-2</v>
      </c>
    </row>
    <row r="489" spans="1:18" ht="15.75" customHeight="1" x14ac:dyDescent="0.2">
      <c r="A489">
        <v>822</v>
      </c>
      <c r="B489" s="1" t="s">
        <v>659</v>
      </c>
      <c r="C489" s="1"/>
      <c r="D489" s="2"/>
      <c r="E489" s="6" t="s">
        <v>495</v>
      </c>
      <c r="F489" s="1">
        <v>1.1000000000000001</v>
      </c>
      <c r="G489" s="4">
        <v>30</v>
      </c>
      <c r="H489" s="4">
        <v>4.5</v>
      </c>
      <c r="I489" s="4"/>
      <c r="J489" s="4">
        <v>28</v>
      </c>
      <c r="K489" s="4"/>
      <c r="L489" s="4">
        <v>35</v>
      </c>
      <c r="M489" s="21">
        <f>1-AVERAGE(N489:R489)</f>
        <v>0.53823232323232317</v>
      </c>
      <c r="N489" s="20">
        <f>ABS($D$2-F489)/F489</f>
        <v>0.47272727272727272</v>
      </c>
      <c r="O489" s="20">
        <f>ABS($E$2-G489)/G489</f>
        <v>3.3333333333333333E-2</v>
      </c>
      <c r="P489" s="20">
        <f>ABS($F$2-H489)/H489</f>
        <v>0.37777777777777782</v>
      </c>
      <c r="Q489" s="20">
        <f>ABS($H$2-J489)/J489</f>
        <v>0.26785714285714285</v>
      </c>
      <c r="R489" s="20">
        <f>ABS($J$2-L489)/L489</f>
        <v>1.1571428571428573</v>
      </c>
    </row>
    <row r="490" spans="1:18" ht="15.75" customHeight="1" x14ac:dyDescent="0.2">
      <c r="A490">
        <v>443</v>
      </c>
      <c r="B490" s="9" t="s">
        <v>349</v>
      </c>
      <c r="E490" s="6" t="s">
        <v>41</v>
      </c>
      <c r="F490" s="3">
        <v>1.8</v>
      </c>
      <c r="G490" s="3">
        <v>40</v>
      </c>
      <c r="H490" s="3">
        <v>5</v>
      </c>
      <c r="I490" s="3"/>
      <c r="J490" s="3">
        <v>60</v>
      </c>
      <c r="K490" s="10"/>
      <c r="L490" s="10"/>
      <c r="M490" s="21">
        <f>1-AVERAGE(N490:R490)</f>
        <v>0.53722222222222227</v>
      </c>
      <c r="N490" s="20">
        <f>ABS($D$2-F490)/F490</f>
        <v>0.6777777777777777</v>
      </c>
      <c r="O490" s="20">
        <f>ABS($E$2-G490)/G490</f>
        <v>0.27500000000000002</v>
      </c>
      <c r="P490" s="20">
        <f>ABS($F$2-H490)/H490</f>
        <v>0.24000000000000005</v>
      </c>
      <c r="Q490" s="20">
        <f>ABS($H$2-J490)/J490</f>
        <v>0.65833333333333333</v>
      </c>
      <c r="R490" s="20"/>
    </row>
    <row r="491" spans="1:18" ht="15.75" customHeight="1" x14ac:dyDescent="0.2">
      <c r="A491">
        <v>860</v>
      </c>
      <c r="B491" s="1" t="s">
        <v>688</v>
      </c>
      <c r="C491" s="1"/>
      <c r="D491" s="2"/>
      <c r="E491" s="6" t="s">
        <v>495</v>
      </c>
      <c r="F491" s="1">
        <v>2.2000000000000002</v>
      </c>
      <c r="G491" s="4">
        <v>36</v>
      </c>
      <c r="H491" s="4">
        <v>5.2</v>
      </c>
      <c r="I491" s="4"/>
      <c r="J491" s="4">
        <v>54</v>
      </c>
      <c r="K491" s="4"/>
      <c r="L491" s="4">
        <v>48</v>
      </c>
      <c r="M491" s="21">
        <f>1-AVERAGE(N491:R491)</f>
        <v>0.536719437969438</v>
      </c>
      <c r="N491" s="20">
        <f>ABS($D$2-F491)/F491</f>
        <v>0.73636363636363633</v>
      </c>
      <c r="O491" s="20">
        <f>ABS($E$2-G491)/G491</f>
        <v>0.19444444444444445</v>
      </c>
      <c r="P491" s="20">
        <f>ABS($F$2-H491)/H491</f>
        <v>0.19230769230769229</v>
      </c>
      <c r="Q491" s="20">
        <f>ABS($H$2-J491)/J491</f>
        <v>0.62037037037037035</v>
      </c>
      <c r="R491" s="20">
        <f>ABS($J$2-L491)/L491</f>
        <v>0.57291666666666663</v>
      </c>
    </row>
    <row r="492" spans="1:18" ht="15.75" customHeight="1" x14ac:dyDescent="0.2">
      <c r="A492">
        <v>22</v>
      </c>
      <c r="B492" s="6" t="s">
        <v>55</v>
      </c>
      <c r="C492" s="6"/>
      <c r="D492" s="7"/>
      <c r="E492" s="6" t="s">
        <v>40</v>
      </c>
      <c r="F492" s="3">
        <f>(3+5)/2</f>
        <v>4</v>
      </c>
      <c r="G492" s="3">
        <f>(25+30)/2</f>
        <v>27.5</v>
      </c>
      <c r="H492" s="3">
        <f>(20+25)/2</f>
        <v>22.5</v>
      </c>
      <c r="I492" s="3"/>
      <c r="J492" s="3">
        <f>(32+50)/2</f>
        <v>41</v>
      </c>
      <c r="K492" s="3"/>
      <c r="L492" s="3">
        <f>(90+95)/2</f>
        <v>92.5</v>
      </c>
      <c r="M492" s="21">
        <f>1-AVERAGE(N492:R492)</f>
        <v>0.53644526344526344</v>
      </c>
      <c r="N492" s="20">
        <f>ABS($D$2-F492)/F492</f>
        <v>0.85499999999999998</v>
      </c>
      <c r="O492" s="20">
        <f>ABS($E$2-G492)/G492</f>
        <v>5.4545454545454543E-2</v>
      </c>
      <c r="P492" s="20">
        <f>ABS($F$2-H492)/H492</f>
        <v>0.72444444444444445</v>
      </c>
      <c r="Q492" s="20">
        <f>ABS($H$2-J492)/J492</f>
        <v>0.5</v>
      </c>
      <c r="R492" s="20">
        <f>ABS($J$2-L492)/L492</f>
        <v>0.18378378378378379</v>
      </c>
    </row>
    <row r="493" spans="1:18" ht="15.75" customHeight="1" x14ac:dyDescent="0.2">
      <c r="A493">
        <v>422</v>
      </c>
      <c r="B493" s="9" t="s">
        <v>334</v>
      </c>
      <c r="E493" s="6" t="s">
        <v>41</v>
      </c>
      <c r="F493" s="3">
        <f>(3+4.1)/2</f>
        <v>3.55</v>
      </c>
      <c r="G493" s="3">
        <f>(30+34)/2</f>
        <v>32</v>
      </c>
      <c r="H493" s="3">
        <f>(4.5+5.5)/2</f>
        <v>5</v>
      </c>
      <c r="I493" s="3"/>
      <c r="J493" s="3">
        <f>(62+68)/2</f>
        <v>65</v>
      </c>
      <c r="K493" s="10"/>
      <c r="L493" s="10"/>
      <c r="M493" s="21">
        <f>1-AVERAGE(N493:R493)</f>
        <v>0.53625372426868911</v>
      </c>
      <c r="N493" s="20">
        <f>ABS($D$2-F493)/F493</f>
        <v>0.83661971830985915</v>
      </c>
      <c r="O493" s="20">
        <f>ABS($E$2-G493)/G493</f>
        <v>9.375E-2</v>
      </c>
      <c r="P493" s="20">
        <f>ABS($F$2-H493)/H493</f>
        <v>0.24000000000000005</v>
      </c>
      <c r="Q493" s="20">
        <f>ABS($H$2-J493)/J493</f>
        <v>0.68461538461538463</v>
      </c>
      <c r="R493" s="20"/>
    </row>
    <row r="494" spans="1:18" ht="15.75" customHeight="1" x14ac:dyDescent="0.2">
      <c r="A494">
        <v>508</v>
      </c>
      <c r="B494" s="9" t="s">
        <v>399</v>
      </c>
      <c r="E494" s="6" t="s">
        <v>40</v>
      </c>
      <c r="F494" s="3">
        <f>(2.1+3.2)/2</f>
        <v>2.6500000000000004</v>
      </c>
      <c r="G494" s="3">
        <f>(27+35)/2</f>
        <v>31</v>
      </c>
      <c r="H494" s="3">
        <f>(4+5)/2</f>
        <v>4.5</v>
      </c>
      <c r="I494" s="3"/>
      <c r="J494" s="3">
        <f>(8.5+13)/2</f>
        <v>10.75</v>
      </c>
      <c r="K494" s="3"/>
      <c r="L494" s="3">
        <f>(59+68)/2</f>
        <v>63.5</v>
      </c>
      <c r="M494" s="21">
        <f>1-AVERAGE(N494:R494)</f>
        <v>0.53612417911589272</v>
      </c>
      <c r="N494" s="20">
        <f>ABS($D$2-F494)/F494</f>
        <v>0.78113207547169816</v>
      </c>
      <c r="O494" s="20">
        <f>ABS($E$2-G494)/G494</f>
        <v>6.4516129032258063E-2</v>
      </c>
      <c r="P494" s="20">
        <f>ABS($F$2-H494)/H494</f>
        <v>0.37777777777777782</v>
      </c>
      <c r="Q494" s="20">
        <f>ABS($H$2-J494)/J494</f>
        <v>0.90697674418604646</v>
      </c>
      <c r="R494" s="20">
        <f>ABS($J$2-L494)/L494</f>
        <v>0.1889763779527559</v>
      </c>
    </row>
    <row r="495" spans="1:18" ht="15.75" customHeight="1" x14ac:dyDescent="0.2">
      <c r="A495">
        <v>231</v>
      </c>
      <c r="B495" s="9" t="s">
        <v>175</v>
      </c>
      <c r="C495" s="9" t="s">
        <v>196</v>
      </c>
      <c r="E495" s="6" t="s">
        <v>40</v>
      </c>
      <c r="F495" s="3">
        <f>(0.8+1.08)/2</f>
        <v>0.94000000000000006</v>
      </c>
      <c r="G495" s="3">
        <f>(16+22)/2</f>
        <v>19</v>
      </c>
      <c r="H495" s="3">
        <f>(3.8+4.5)/2</f>
        <v>4.1500000000000004</v>
      </c>
      <c r="I495" s="3"/>
      <c r="J495" s="3">
        <f>(11+15)/2</f>
        <v>13</v>
      </c>
      <c r="K495" s="3"/>
      <c r="L495" s="3">
        <f>(54+58)/2</f>
        <v>56</v>
      </c>
      <c r="M495" s="21">
        <f>1-AVERAGE(N495:R495)</f>
        <v>0.53431844417404806</v>
      </c>
      <c r="N495" s="20">
        <f>ABS($D$2-F495)/F495</f>
        <v>0.38297872340425526</v>
      </c>
      <c r="O495" s="20">
        <f>ABS($E$2-G495)/G495</f>
        <v>0.52631578947368418</v>
      </c>
      <c r="P495" s="20">
        <f>ABS($F$2-H495)/H495</f>
        <v>0.49397590361445776</v>
      </c>
      <c r="Q495" s="20">
        <f>ABS($H$2-J495)/J495</f>
        <v>0.57692307692307687</v>
      </c>
      <c r="R495" s="20">
        <f>ABS($J$2-L495)/L495</f>
        <v>0.3482142857142857</v>
      </c>
    </row>
    <row r="496" spans="1:18" ht="15.75" customHeight="1" x14ac:dyDescent="0.2">
      <c r="A496">
        <v>773</v>
      </c>
      <c r="B496" s="6" t="s">
        <v>605</v>
      </c>
      <c r="C496" s="6"/>
      <c r="D496" s="7"/>
      <c r="E496" s="6" t="s">
        <v>482</v>
      </c>
      <c r="F496" s="1">
        <v>2.5</v>
      </c>
      <c r="G496" s="4">
        <v>31</v>
      </c>
      <c r="H496" s="4">
        <v>4.3</v>
      </c>
      <c r="I496" s="4"/>
      <c r="J496" s="4">
        <v>50</v>
      </c>
      <c r="K496" s="4"/>
      <c r="L496" s="4"/>
      <c r="M496" s="21">
        <f>1-AVERAGE(N496:R496)</f>
        <v>0.53390585146286573</v>
      </c>
      <c r="N496" s="20">
        <f>ABS($D$2-F496)/F496</f>
        <v>0.76800000000000002</v>
      </c>
      <c r="O496" s="20">
        <f>ABS($E$2-G496)/G496</f>
        <v>6.4516129032258063E-2</v>
      </c>
      <c r="P496" s="20">
        <f>ABS($F$2-H496)/H496</f>
        <v>0.44186046511627919</v>
      </c>
      <c r="Q496" s="20">
        <f>ABS($H$2-J496)/J496</f>
        <v>0.59</v>
      </c>
      <c r="R496" s="20"/>
    </row>
    <row r="497" spans="1:18" ht="15.75" customHeight="1" x14ac:dyDescent="0.2">
      <c r="A497">
        <v>931</v>
      </c>
      <c r="B497" s="1" t="s">
        <v>738</v>
      </c>
      <c r="C497" s="1"/>
      <c r="D497" s="2"/>
      <c r="E497" s="6" t="s">
        <v>495</v>
      </c>
      <c r="F497" s="1">
        <v>1</v>
      </c>
      <c r="G497" s="4">
        <v>34</v>
      </c>
      <c r="H497" s="4">
        <v>5.9</v>
      </c>
      <c r="I497" s="4"/>
      <c r="J497" s="4">
        <v>36</v>
      </c>
      <c r="K497" s="4"/>
      <c r="L497" s="4">
        <v>33</v>
      </c>
      <c r="M497" s="21">
        <f>1-AVERAGE(N497:R497)</f>
        <v>0.53273187508182518</v>
      </c>
      <c r="N497" s="20">
        <f>ABS($D$2-F497)/F497</f>
        <v>0.41999999999999993</v>
      </c>
      <c r="O497" s="20">
        <f>ABS($E$2-G497)/G497</f>
        <v>0.14705882352941177</v>
      </c>
      <c r="P497" s="20">
        <f>ABS($F$2-H497)/H497</f>
        <v>5.0847457627118613E-2</v>
      </c>
      <c r="Q497" s="20">
        <f>ABS($H$2-J497)/J497</f>
        <v>0.43055555555555558</v>
      </c>
      <c r="R497" s="20">
        <f>ABS($J$2-L497)/L497</f>
        <v>1.2878787878787878</v>
      </c>
    </row>
    <row r="498" spans="1:18" ht="15.75" customHeight="1" x14ac:dyDescent="0.2">
      <c r="A498">
        <v>934</v>
      </c>
      <c r="B498" s="1" t="s">
        <v>739</v>
      </c>
      <c r="C498" s="1" t="s">
        <v>740</v>
      </c>
      <c r="D498" s="2"/>
      <c r="E498" s="6" t="s">
        <v>482</v>
      </c>
      <c r="F498" s="1">
        <v>0.5</v>
      </c>
      <c r="G498" s="4">
        <f>(12+17)/2</f>
        <v>14.5</v>
      </c>
      <c r="H498" s="4">
        <v>3.8</v>
      </c>
      <c r="I498" s="4"/>
      <c r="J498" s="4">
        <v>19</v>
      </c>
      <c r="K498" s="4"/>
      <c r="L498" s="4"/>
      <c r="M498" s="21">
        <f>1-AVERAGE(N498:R498)</f>
        <v>0.53236842105263149</v>
      </c>
      <c r="N498" s="20">
        <f>ABS($D$2-F498)/F498</f>
        <v>0.16000000000000014</v>
      </c>
      <c r="O498" s="20">
        <f>ABS($E$2-G498)/G498</f>
        <v>1</v>
      </c>
      <c r="P498" s="20">
        <f>ABS($F$2-H498)/H498</f>
        <v>0.63157894736842113</v>
      </c>
      <c r="Q498" s="20">
        <f>ABS($H$2-J498)/J498</f>
        <v>7.8947368421052627E-2</v>
      </c>
      <c r="R498" s="20"/>
    </row>
    <row r="499" spans="1:18" ht="15.75" customHeight="1" x14ac:dyDescent="0.2">
      <c r="A499">
        <v>64</v>
      </c>
      <c r="B499" s="1" t="s">
        <v>77</v>
      </c>
      <c r="C499" s="1"/>
      <c r="D499" s="2"/>
      <c r="E499" s="6" t="s">
        <v>41</v>
      </c>
      <c r="F499" s="3">
        <v>0.4</v>
      </c>
      <c r="G499" s="3">
        <v>24</v>
      </c>
      <c r="H499" s="3">
        <v>4.2</v>
      </c>
      <c r="I499" s="3"/>
      <c r="J499" s="3">
        <v>11.8</v>
      </c>
      <c r="K499" s="3"/>
      <c r="L499" s="3"/>
      <c r="M499" s="21">
        <f>1-AVERAGE(N499:R499)</f>
        <v>0.53204701372074259</v>
      </c>
      <c r="N499" s="20">
        <f>ABS($D$2-F499)/F499</f>
        <v>0.45000000000000012</v>
      </c>
      <c r="O499" s="20">
        <f>ABS($E$2-G499)/G499</f>
        <v>0.20833333333333334</v>
      </c>
      <c r="P499" s="20">
        <f>ABS($F$2-H499)/H499</f>
        <v>0.47619047619047616</v>
      </c>
      <c r="Q499" s="20">
        <f>ABS($H$2-J499)/J499</f>
        <v>0.73728813559322026</v>
      </c>
      <c r="R499" s="20"/>
    </row>
    <row r="500" spans="1:18" ht="15.75" customHeight="1" x14ac:dyDescent="0.2">
      <c r="A500">
        <v>228</v>
      </c>
      <c r="B500" s="9" t="s">
        <v>193</v>
      </c>
      <c r="E500" s="6" t="s">
        <v>41</v>
      </c>
      <c r="F500" s="3">
        <f>(0.98+1.04)/2</f>
        <v>1.01</v>
      </c>
      <c r="G500" s="3">
        <f>(19+21)/2</f>
        <v>20</v>
      </c>
      <c r="H500" s="3">
        <f>(3.9+5.2)/2</f>
        <v>4.55</v>
      </c>
      <c r="I500" s="3"/>
      <c r="J500" s="3">
        <f>(10+15)/2</f>
        <v>12.5</v>
      </c>
      <c r="K500" s="3"/>
      <c r="L500" s="3"/>
      <c r="M500" s="21">
        <f>1-AVERAGE(N500:R500)</f>
        <v>0.53040501577630295</v>
      </c>
      <c r="N500" s="20">
        <f>ABS($D$2-F500)/F500</f>
        <v>0.42574257425742568</v>
      </c>
      <c r="O500" s="20">
        <f>ABS($E$2-G500)/G500</f>
        <v>0.45</v>
      </c>
      <c r="P500" s="20">
        <f>ABS($F$2-H500)/H500</f>
        <v>0.36263736263736274</v>
      </c>
      <c r="Q500" s="20">
        <f>ABS($H$2-J500)/J500</f>
        <v>0.64</v>
      </c>
      <c r="R500" s="20"/>
    </row>
    <row r="501" spans="1:18" ht="15.75" customHeight="1" x14ac:dyDescent="0.2">
      <c r="A501">
        <v>855</v>
      </c>
      <c r="B501" s="1" t="s">
        <v>685</v>
      </c>
      <c r="C501" s="1"/>
      <c r="D501" s="2"/>
      <c r="E501" s="6" t="s">
        <v>495</v>
      </c>
      <c r="F501" s="1">
        <v>2.2999999999999998</v>
      </c>
      <c r="G501" s="4">
        <v>30</v>
      </c>
      <c r="H501" s="4">
        <v>4.0999999999999996</v>
      </c>
      <c r="I501" s="4"/>
      <c r="J501" s="4">
        <v>56</v>
      </c>
      <c r="K501" s="4"/>
      <c r="L501" s="4">
        <v>53</v>
      </c>
      <c r="M501" s="21">
        <f>1-AVERAGE(N501:R501)</f>
        <v>0.52963771688871231</v>
      </c>
      <c r="N501" s="20">
        <f>ABS($D$2-F501)/F501</f>
        <v>0.74782608695652164</v>
      </c>
      <c r="O501" s="20">
        <f>ABS($E$2-G501)/G501</f>
        <v>3.3333333333333333E-2</v>
      </c>
      <c r="P501" s="20">
        <f>ABS($F$2-H501)/H501</f>
        <v>0.51219512195121963</v>
      </c>
      <c r="Q501" s="20">
        <f>ABS($H$2-J501)/J501</f>
        <v>0.6339285714285714</v>
      </c>
      <c r="R501" s="20">
        <f>ABS($J$2-L501)/L501</f>
        <v>0.42452830188679247</v>
      </c>
    </row>
    <row r="502" spans="1:18" ht="15.75" customHeight="1" x14ac:dyDescent="0.2">
      <c r="A502">
        <v>161</v>
      </c>
      <c r="B502" s="1" t="s">
        <v>141</v>
      </c>
      <c r="C502" s="1" t="s">
        <v>142</v>
      </c>
      <c r="D502" s="2"/>
      <c r="E502" s="6" t="s">
        <v>40</v>
      </c>
      <c r="F502" s="3">
        <f>(0.87+1.26)/2</f>
        <v>1.0649999999999999</v>
      </c>
      <c r="G502" s="3">
        <f>(19+21)/2</f>
        <v>20</v>
      </c>
      <c r="H502" s="3">
        <f>(6.1+9.2)/2</f>
        <v>7.6499999999999995</v>
      </c>
      <c r="I502" s="3"/>
      <c r="J502" s="3">
        <f>(9.9+12)/2</f>
        <v>10.95</v>
      </c>
      <c r="K502" s="3"/>
      <c r="L502" s="3">
        <f>(50+59)/2</f>
        <v>54.5</v>
      </c>
      <c r="M502" s="21">
        <f>1-AVERAGE(N502:R502)</f>
        <v>0.52951824713362261</v>
      </c>
      <c r="N502" s="20">
        <f>ABS($D$2-F502)/F502</f>
        <v>0.45539906103286376</v>
      </c>
      <c r="O502" s="20">
        <f>ABS($E$2-G502)/G502</f>
        <v>0.45</v>
      </c>
      <c r="P502" s="20">
        <f>ABS($F$2-H502)/H502</f>
        <v>0.18954248366013063</v>
      </c>
      <c r="Q502" s="20">
        <f>ABS($H$2-J502)/J502</f>
        <v>0.87214611872146131</v>
      </c>
      <c r="R502" s="20">
        <f>ABS($J$2-L502)/L502</f>
        <v>0.38532110091743121</v>
      </c>
    </row>
    <row r="503" spans="1:18" ht="15.75" customHeight="1" x14ac:dyDescent="0.2">
      <c r="A503">
        <v>719</v>
      </c>
      <c r="B503" s="1" t="s">
        <v>95</v>
      </c>
      <c r="C503" s="1"/>
      <c r="D503" s="2"/>
      <c r="E503" s="6" t="s">
        <v>482</v>
      </c>
      <c r="F503" s="1">
        <v>0.4</v>
      </c>
      <c r="G503" s="4">
        <v>28</v>
      </c>
      <c r="H503" s="4">
        <v>5.3</v>
      </c>
      <c r="I503" s="4"/>
      <c r="J503" s="4">
        <v>9.1999999999999993</v>
      </c>
      <c r="K503" s="4"/>
      <c r="L503" s="4"/>
      <c r="M503" s="21">
        <f>1-AVERAGE(N503:R503)</f>
        <v>0.52905338099144483</v>
      </c>
      <c r="N503" s="20">
        <f>ABS($D$2-F503)/F503</f>
        <v>0.45000000000000012</v>
      </c>
      <c r="O503" s="20">
        <f>ABS($E$2-G503)/G503</f>
        <v>3.5714285714285712E-2</v>
      </c>
      <c r="P503" s="20">
        <f>ABS($F$2-H503)/H503</f>
        <v>0.16981132075471705</v>
      </c>
      <c r="Q503" s="20">
        <f>ABS($H$2-J503)/J503</f>
        <v>1.2282608695652175</v>
      </c>
      <c r="R503" s="20"/>
    </row>
    <row r="504" spans="1:18" ht="15.75" customHeight="1" x14ac:dyDescent="0.2">
      <c r="A504">
        <v>847</v>
      </c>
      <c r="B504" s="1" t="s">
        <v>678</v>
      </c>
      <c r="C504" s="1"/>
      <c r="D504" s="2"/>
      <c r="E504" s="6" t="s">
        <v>482</v>
      </c>
      <c r="F504" s="1">
        <v>2.2000000000000002</v>
      </c>
      <c r="G504" s="1">
        <v>36</v>
      </c>
      <c r="H504" s="1">
        <v>5.2</v>
      </c>
      <c r="I504" s="4"/>
      <c r="J504" s="1">
        <v>86</v>
      </c>
      <c r="K504" s="1"/>
      <c r="L504" s="1"/>
      <c r="M504" s="21">
        <f>1-AVERAGE(N504:R504)</f>
        <v>0.52881407997687069</v>
      </c>
      <c r="N504" s="20">
        <f>ABS($D$2-F504)/F504</f>
        <v>0.73636363636363633</v>
      </c>
      <c r="O504" s="20">
        <f>ABS($E$2-G504)/G504</f>
        <v>0.19444444444444445</v>
      </c>
      <c r="P504" s="20">
        <f>ABS($F$2-H504)/H504</f>
        <v>0.19230769230769229</v>
      </c>
      <c r="Q504" s="20">
        <f>ABS($H$2-J504)/J504</f>
        <v>0.76162790697674421</v>
      </c>
      <c r="R504" s="20"/>
    </row>
    <row r="505" spans="1:18" ht="15.75" customHeight="1" x14ac:dyDescent="0.2">
      <c r="A505">
        <v>892</v>
      </c>
      <c r="B505" s="1" t="s">
        <v>709</v>
      </c>
      <c r="C505" s="1"/>
      <c r="D505" s="2"/>
      <c r="E505" s="6" t="s">
        <v>495</v>
      </c>
      <c r="F505" s="1">
        <v>1.3</v>
      </c>
      <c r="G505" s="4">
        <v>25</v>
      </c>
      <c r="H505" s="4">
        <v>4</v>
      </c>
      <c r="I505" s="4"/>
      <c r="J505" s="4">
        <v>50</v>
      </c>
      <c r="K505" s="4"/>
      <c r="L505" s="4">
        <v>50</v>
      </c>
      <c r="M505" s="21">
        <f>1-AVERAGE(N505:R505)</f>
        <v>0.52723076923076917</v>
      </c>
      <c r="N505" s="20">
        <f>ABS($D$2-F505)/F505</f>
        <v>0.55384615384615377</v>
      </c>
      <c r="O505" s="20">
        <f>ABS($E$2-G505)/G505</f>
        <v>0.16</v>
      </c>
      <c r="P505" s="20">
        <f>ABS($F$2-H505)/H505</f>
        <v>0.55000000000000004</v>
      </c>
      <c r="Q505" s="20">
        <f>ABS($H$2-J505)/J505</f>
        <v>0.59</v>
      </c>
      <c r="R505" s="20">
        <f>ABS($J$2-L505)/L505</f>
        <v>0.51</v>
      </c>
    </row>
    <row r="506" spans="1:18" ht="15.75" customHeight="1" x14ac:dyDescent="0.2">
      <c r="A506">
        <v>126</v>
      </c>
      <c r="B506" s="1" t="s">
        <v>116</v>
      </c>
      <c r="C506" s="1"/>
      <c r="D506" s="2"/>
      <c r="E506" s="6" t="s">
        <v>40</v>
      </c>
      <c r="F506" s="3">
        <f>(0.97+1.18)/2</f>
        <v>1.075</v>
      </c>
      <c r="G506" s="3">
        <f>(78+96)/2</f>
        <v>87</v>
      </c>
      <c r="H506" s="3">
        <v>8.6999999999999993</v>
      </c>
      <c r="I506" s="3"/>
      <c r="J506" s="3">
        <f>(9.5+13.2)/2</f>
        <v>11.35</v>
      </c>
      <c r="K506" s="3"/>
      <c r="L506" s="3">
        <f>(64+68)/2</f>
        <v>66</v>
      </c>
      <c r="M506" s="21">
        <f>1-AVERAGE(N506:R506)</f>
        <v>0.52708102007894631</v>
      </c>
      <c r="N506" s="20">
        <f>ABS($D$2-F506)/F506</f>
        <v>0.46046511627906966</v>
      </c>
      <c r="O506" s="20">
        <f>ABS($E$2-G506)/G506</f>
        <v>0.66666666666666663</v>
      </c>
      <c r="P506" s="20">
        <f>ABS($F$2-H506)/H506</f>
        <v>0.28735632183908039</v>
      </c>
      <c r="Q506" s="20">
        <f>ABS($H$2-J506)/J506</f>
        <v>0.80616740088105732</v>
      </c>
      <c r="R506" s="20">
        <f>ABS($J$2-L506)/L506</f>
        <v>0.14393939393939395</v>
      </c>
    </row>
    <row r="507" spans="1:18" ht="15.75" customHeight="1" x14ac:dyDescent="0.2">
      <c r="A507">
        <v>826</v>
      </c>
      <c r="B507" s="6" t="s">
        <v>662</v>
      </c>
      <c r="C507" s="1"/>
      <c r="D507" s="2"/>
      <c r="E507" s="6" t="s">
        <v>482</v>
      </c>
      <c r="F507" s="1">
        <v>1.3</v>
      </c>
      <c r="G507" s="4">
        <v>36</v>
      </c>
      <c r="H507" s="4">
        <v>4</v>
      </c>
      <c r="I507" s="4"/>
      <c r="J507" s="4">
        <v>51</v>
      </c>
      <c r="K507" s="4"/>
      <c r="L507" s="4"/>
      <c r="M507" s="21">
        <f>1-AVERAGE(N507:R507)</f>
        <v>0.52591754650578182</v>
      </c>
      <c r="N507" s="20">
        <f>ABS($D$2-F507)/F507</f>
        <v>0.55384615384615377</v>
      </c>
      <c r="O507" s="20">
        <f>ABS($E$2-G507)/G507</f>
        <v>0.19444444444444445</v>
      </c>
      <c r="P507" s="20">
        <f>ABS($F$2-H507)/H507</f>
        <v>0.55000000000000004</v>
      </c>
      <c r="Q507" s="20">
        <f>ABS($H$2-J507)/J507</f>
        <v>0.59803921568627449</v>
      </c>
      <c r="R507" s="20"/>
    </row>
    <row r="508" spans="1:18" ht="15.75" customHeight="1" x14ac:dyDescent="0.2">
      <c r="A508">
        <v>120</v>
      </c>
      <c r="B508" s="1" t="s">
        <v>113</v>
      </c>
      <c r="C508" s="1"/>
      <c r="D508" s="2"/>
      <c r="E508" s="6" t="s">
        <v>40</v>
      </c>
      <c r="F508" s="3">
        <f>(0.41+0.48)/2</f>
        <v>0.44499999999999995</v>
      </c>
      <c r="G508" s="3">
        <f>(17+17.6)/2</f>
        <v>17.3</v>
      </c>
      <c r="H508" s="3">
        <f>(13.6+14)/2</f>
        <v>13.8</v>
      </c>
      <c r="I508" s="3"/>
      <c r="J508" s="3">
        <f>(11+12.7)/2</f>
        <v>11.85</v>
      </c>
      <c r="K508" s="3"/>
      <c r="L508" s="3">
        <f>(66+70)/2</f>
        <v>68</v>
      </c>
      <c r="M508" s="21">
        <f>1-AVERAGE(N508:R508)</f>
        <v>0.52587041484261454</v>
      </c>
      <c r="N508" s="20">
        <f>ABS($D$2-F508)/F508</f>
        <v>0.30337078651685423</v>
      </c>
      <c r="O508" s="20">
        <f>ABS($E$2-G508)/G508</f>
        <v>0.67630057803468202</v>
      </c>
      <c r="P508" s="20">
        <f>ABS($F$2-H508)/H508</f>
        <v>0.55072463768115942</v>
      </c>
      <c r="Q508" s="20">
        <f>ABS($H$2-J508)/J508</f>
        <v>0.72995780590717307</v>
      </c>
      <c r="R508" s="20">
        <f>ABS($J$2-L508)/L508</f>
        <v>0.11029411764705882</v>
      </c>
    </row>
    <row r="509" spans="1:18" ht="15.75" customHeight="1" x14ac:dyDescent="0.2">
      <c r="A509">
        <v>296</v>
      </c>
      <c r="B509" s="9" t="s">
        <v>235</v>
      </c>
      <c r="E509" s="6" t="s">
        <v>40</v>
      </c>
      <c r="F509" s="3">
        <f>(0.7+0.9)/2</f>
        <v>0.8</v>
      </c>
      <c r="G509" s="3">
        <f>(14+18)/2</f>
        <v>16</v>
      </c>
      <c r="H509" s="3">
        <f>(2.9+3.7)/2</f>
        <v>3.3</v>
      </c>
      <c r="I509" s="3"/>
      <c r="J509" s="3">
        <f>(14+18)/2</f>
        <v>16</v>
      </c>
      <c r="K509" s="3"/>
      <c r="L509" s="3">
        <v>67</v>
      </c>
      <c r="M509" s="21">
        <f>1-AVERAGE(N509:R509)</f>
        <v>0.52511928991406598</v>
      </c>
      <c r="N509" s="20">
        <f>ABS($D$2-F509)/F509</f>
        <v>0.27499999999999997</v>
      </c>
      <c r="O509" s="20">
        <f>ABS($E$2-G509)/G509</f>
        <v>0.8125</v>
      </c>
      <c r="P509" s="20">
        <f>ABS($F$2-H509)/H509</f>
        <v>0.8787878787878789</v>
      </c>
      <c r="Q509" s="20">
        <f>ABS($H$2-J509)/J509</f>
        <v>0.28125</v>
      </c>
      <c r="R509" s="20">
        <f>ABS($J$2-L509)/L509</f>
        <v>0.12686567164179105</v>
      </c>
    </row>
    <row r="510" spans="1:18" ht="15.75" customHeight="1" x14ac:dyDescent="0.2">
      <c r="A510">
        <v>776</v>
      </c>
      <c r="B510" s="6" t="s">
        <v>609</v>
      </c>
      <c r="C510" s="6"/>
      <c r="D510" s="7"/>
      <c r="E510" s="6" t="s">
        <v>495</v>
      </c>
      <c r="F510" s="1">
        <f>(1.5+2)/2</f>
        <v>1.75</v>
      </c>
      <c r="G510" s="4">
        <v>28</v>
      </c>
      <c r="H510" s="4">
        <v>3.8</v>
      </c>
      <c r="I510" s="4"/>
      <c r="J510" s="4">
        <v>50</v>
      </c>
      <c r="K510" s="4"/>
      <c r="L510" s="4">
        <v>52</v>
      </c>
      <c r="M510" s="21">
        <f>1-AVERAGE(N510:R510)</f>
        <v>0.52444245228455755</v>
      </c>
      <c r="N510" s="20">
        <f>ABS($D$2-F510)/F510</f>
        <v>0.66857142857142848</v>
      </c>
      <c r="O510" s="20">
        <f>ABS($E$2-G510)/G510</f>
        <v>3.5714285714285712E-2</v>
      </c>
      <c r="P510" s="20">
        <f>ABS($F$2-H510)/H510</f>
        <v>0.63157894736842113</v>
      </c>
      <c r="Q510" s="20">
        <f>ABS($H$2-J510)/J510</f>
        <v>0.59</v>
      </c>
      <c r="R510" s="20">
        <f>ABS($J$2-L510)/L510</f>
        <v>0.45192307692307693</v>
      </c>
    </row>
    <row r="511" spans="1:18" ht="15.75" customHeight="1" x14ac:dyDescent="0.2">
      <c r="A511">
        <v>35</v>
      </c>
      <c r="B511" s="6" t="s">
        <v>61</v>
      </c>
      <c r="C511" s="6"/>
      <c r="D511" s="7"/>
      <c r="E511" s="6" t="s">
        <v>41</v>
      </c>
      <c r="F511" s="3">
        <f>(0.46+0.51)/2</f>
        <v>0.48499999999999999</v>
      </c>
      <c r="G511" s="3">
        <f>(28+31)/2</f>
        <v>29.5</v>
      </c>
      <c r="H511" s="3">
        <f>(3.3+3.6)/2</f>
        <v>3.45</v>
      </c>
      <c r="I511" s="3"/>
      <c r="J511" s="3">
        <f>(183+210)/2</f>
        <v>196.5</v>
      </c>
      <c r="K511" s="3"/>
      <c r="L511" s="3"/>
      <c r="M511" s="21">
        <f>1-AVERAGE(N511:R511)</f>
        <v>0.52359970231700448</v>
      </c>
      <c r="N511" s="20">
        <f>ABS($D$2-F511)/F511</f>
        <v>0.19587628865979401</v>
      </c>
      <c r="O511" s="20">
        <f>ABS($E$2-G511)/G511</f>
        <v>1.6949152542372881E-2</v>
      </c>
      <c r="P511" s="20">
        <f>ABS($F$2-H511)/H511</f>
        <v>0.79710144927536231</v>
      </c>
      <c r="Q511" s="20">
        <f>ABS($H$2-J511)/J511</f>
        <v>0.89567430025445294</v>
      </c>
      <c r="R511" s="20"/>
    </row>
    <row r="512" spans="1:18" ht="15.75" customHeight="1" x14ac:dyDescent="0.2">
      <c r="A512">
        <v>280</v>
      </c>
      <c r="B512" s="9" t="s">
        <v>226</v>
      </c>
      <c r="E512" s="6" t="s">
        <v>41</v>
      </c>
      <c r="F512" s="3">
        <f>(0.48+0.55)/2</f>
        <v>0.51500000000000001</v>
      </c>
      <c r="G512" s="3">
        <f>(23+24)/2</f>
        <v>23.5</v>
      </c>
      <c r="H512" s="3">
        <f>(4.3+4.9)/2</f>
        <v>4.5999999999999996</v>
      </c>
      <c r="I512" s="3"/>
      <c r="J512" s="3">
        <f>(8.6+10)/2</f>
        <v>9.3000000000000007</v>
      </c>
      <c r="K512" s="3"/>
      <c r="L512" s="3"/>
      <c r="M512" s="21">
        <f>1-AVERAGE(N512:R512)</f>
        <v>0.52190417308754045</v>
      </c>
      <c r="N512" s="20">
        <f>ABS($D$2-F512)/F512</f>
        <v>0.12621359223300982</v>
      </c>
      <c r="O512" s="20">
        <f>ABS($E$2-G512)/G512</f>
        <v>0.23404255319148937</v>
      </c>
      <c r="P512" s="20">
        <f>ABS($F$2-H512)/H512</f>
        <v>0.3478260869565219</v>
      </c>
      <c r="Q512" s="20">
        <f>ABS($H$2-J512)/J512</f>
        <v>1.204301075268817</v>
      </c>
      <c r="R512" s="20"/>
    </row>
    <row r="513" spans="1:18" ht="15.75" customHeight="1" x14ac:dyDescent="0.2">
      <c r="A513">
        <v>421</v>
      </c>
      <c r="B513" s="9" t="s">
        <v>334</v>
      </c>
      <c r="E513" s="6" t="s">
        <v>40</v>
      </c>
      <c r="F513" s="3">
        <f>(3.22+4.4)/2</f>
        <v>3.8100000000000005</v>
      </c>
      <c r="G513" s="3">
        <f>(27+33)/2</f>
        <v>30</v>
      </c>
      <c r="H513" s="3">
        <f>(4.4+5.9)/2</f>
        <v>5.15</v>
      </c>
      <c r="I513" s="3"/>
      <c r="J513" s="3">
        <f>(60+69)/2</f>
        <v>64.5</v>
      </c>
      <c r="K513" s="3"/>
      <c r="L513" s="3">
        <f>(45+48)/2</f>
        <v>46.5</v>
      </c>
      <c r="M513" s="21">
        <f>1-AVERAGE(N513:R513)</f>
        <v>0.52183753720709825</v>
      </c>
      <c r="N513" s="20">
        <f>ABS($D$2-F513)/F513</f>
        <v>0.84776902887139105</v>
      </c>
      <c r="O513" s="20">
        <f>ABS($E$2-G513)/G513</f>
        <v>3.3333333333333333E-2</v>
      </c>
      <c r="P513" s="20">
        <f>ABS($F$2-H513)/H513</f>
        <v>0.20388349514563103</v>
      </c>
      <c r="Q513" s="20">
        <f>ABS($H$2-J513)/J513</f>
        <v>0.68217054263565891</v>
      </c>
      <c r="R513" s="20">
        <f>ABS($J$2-L513)/L513</f>
        <v>0.62365591397849462</v>
      </c>
    </row>
    <row r="514" spans="1:18" ht="15.75" customHeight="1" x14ac:dyDescent="0.2">
      <c r="A514">
        <v>290</v>
      </c>
      <c r="B514" s="9" t="s">
        <v>231</v>
      </c>
      <c r="E514" s="6" t="s">
        <v>41</v>
      </c>
      <c r="F514" s="3">
        <v>0.55000000000000004</v>
      </c>
      <c r="G514" s="3">
        <v>21</v>
      </c>
      <c r="H514" s="3">
        <v>3.5</v>
      </c>
      <c r="I514" s="3"/>
      <c r="J514" s="3">
        <v>12</v>
      </c>
      <c r="K514" s="3"/>
      <c r="L514" s="3"/>
      <c r="M514" s="21">
        <f>1-AVERAGE(N514:R514)</f>
        <v>0.52118506493506489</v>
      </c>
      <c r="N514" s="20">
        <f>ABS($D$2-F514)/F514</f>
        <v>5.4545454545454591E-2</v>
      </c>
      <c r="O514" s="20">
        <f>ABS($E$2-G514)/G514</f>
        <v>0.38095238095238093</v>
      </c>
      <c r="P514" s="20">
        <f>ABS($F$2-H514)/H514</f>
        <v>0.77142857142857146</v>
      </c>
      <c r="Q514" s="20">
        <f>ABS($H$2-J514)/J514</f>
        <v>0.70833333333333337</v>
      </c>
      <c r="R514" s="20"/>
    </row>
    <row r="515" spans="1:18" ht="15.75" customHeight="1" x14ac:dyDescent="0.2">
      <c r="A515">
        <v>904</v>
      </c>
      <c r="B515" s="1" t="s">
        <v>717</v>
      </c>
      <c r="C515" s="1"/>
      <c r="D515" s="2"/>
      <c r="E515" s="6" t="s">
        <v>495</v>
      </c>
      <c r="F515" s="1">
        <v>2</v>
      </c>
      <c r="G515" s="4">
        <v>52</v>
      </c>
      <c r="H515" s="4">
        <v>7</v>
      </c>
      <c r="I515" s="4"/>
      <c r="J515" s="4">
        <v>54</v>
      </c>
      <c r="K515" s="4"/>
      <c r="L515" s="4">
        <v>50</v>
      </c>
      <c r="M515" s="21">
        <f>1-AVERAGE(N515:R515)</f>
        <v>0.5206072446072445</v>
      </c>
      <c r="N515" s="20">
        <f>ABS($D$2-F515)/F515</f>
        <v>0.71</v>
      </c>
      <c r="O515" s="20">
        <f>ABS($E$2-G515)/G515</f>
        <v>0.44230769230769229</v>
      </c>
      <c r="P515" s="20">
        <f>ABS($F$2-H515)/H515</f>
        <v>0.11428571428571425</v>
      </c>
      <c r="Q515" s="20">
        <f>ABS($H$2-J515)/J515</f>
        <v>0.62037037037037035</v>
      </c>
      <c r="R515" s="20">
        <f>ABS($J$2-L515)/L515</f>
        <v>0.51</v>
      </c>
    </row>
    <row r="516" spans="1:18" ht="15.75" customHeight="1" x14ac:dyDescent="0.2">
      <c r="A516">
        <v>790</v>
      </c>
      <c r="B516" s="6" t="s">
        <v>624</v>
      </c>
      <c r="C516" s="6" t="s">
        <v>625</v>
      </c>
      <c r="D516" s="7"/>
      <c r="E516" s="6" t="s">
        <v>495</v>
      </c>
      <c r="F516" s="1">
        <v>1.5</v>
      </c>
      <c r="G516" s="4">
        <v>33</v>
      </c>
      <c r="H516" s="4">
        <v>4.2</v>
      </c>
      <c r="I516" s="4"/>
      <c r="J516" s="4">
        <v>58</v>
      </c>
      <c r="K516" s="4"/>
      <c r="L516" s="4">
        <v>49</v>
      </c>
      <c r="M516" s="21">
        <f>1-AVERAGE(N516:R516)</f>
        <v>0.52037920371910518</v>
      </c>
      <c r="N516" s="20">
        <f>ABS($D$2-F516)/F516</f>
        <v>0.61333333333333329</v>
      </c>
      <c r="O516" s="20">
        <f>ABS($E$2-G516)/G516</f>
        <v>0.12121212121212122</v>
      </c>
      <c r="P516" s="20">
        <f>ABS($F$2-H516)/H516</f>
        <v>0.47619047619047616</v>
      </c>
      <c r="Q516" s="20">
        <f>ABS($H$2-J516)/J516</f>
        <v>0.64655172413793105</v>
      </c>
      <c r="R516" s="20">
        <f>ABS($J$2-L516)/L516</f>
        <v>0.54081632653061229</v>
      </c>
    </row>
    <row r="517" spans="1:18" ht="15.75" customHeight="1" x14ac:dyDescent="0.2">
      <c r="A517">
        <v>253</v>
      </c>
      <c r="B517" s="9" t="s">
        <v>210</v>
      </c>
      <c r="C517" s="9" t="s">
        <v>211</v>
      </c>
      <c r="E517" s="6" t="s">
        <v>40</v>
      </c>
      <c r="F517" s="3">
        <f>(0.37+0.43)/2</f>
        <v>0.4</v>
      </c>
      <c r="G517" s="3">
        <f>(12+15)/2</f>
        <v>13.5</v>
      </c>
      <c r="H517" s="3">
        <f>(4+7.6)/2</f>
        <v>5.8</v>
      </c>
      <c r="I517" s="3"/>
      <c r="J517" s="3">
        <f>(12+16)/2</f>
        <v>14</v>
      </c>
      <c r="K517" s="3"/>
      <c r="L517" s="3">
        <f>(58+61)/2</f>
        <v>59.5</v>
      </c>
      <c r="M517" s="21">
        <f>1-AVERAGE(N517:R517)</f>
        <v>0.51993861145990961</v>
      </c>
      <c r="N517" s="20">
        <f>ABS($D$2-F517)/F517</f>
        <v>0.45000000000000012</v>
      </c>
      <c r="O517" s="20">
        <f>ABS($E$2-G517)/G517</f>
        <v>1.1481481481481481</v>
      </c>
      <c r="P517" s="20">
        <f>ABS($F$2-H517)/H517</f>
        <v>6.8965517241379379E-2</v>
      </c>
      <c r="Q517" s="20">
        <f>ABS($H$2-J517)/J517</f>
        <v>0.4642857142857143</v>
      </c>
      <c r="R517" s="20">
        <f>ABS($J$2-L517)/L517</f>
        <v>0.26890756302521007</v>
      </c>
    </row>
    <row r="518" spans="1:18" ht="15.75" customHeight="1" x14ac:dyDescent="0.2">
      <c r="A518">
        <v>818</v>
      </c>
      <c r="B518" s="1" t="s">
        <v>655</v>
      </c>
      <c r="C518" s="1" t="s">
        <v>656</v>
      </c>
      <c r="D518" s="2"/>
      <c r="E518" s="6" t="s">
        <v>495</v>
      </c>
      <c r="F518" s="1">
        <v>1</v>
      </c>
      <c r="G518" s="4">
        <v>24</v>
      </c>
      <c r="H518" s="4">
        <v>3</v>
      </c>
      <c r="I518" s="4"/>
      <c r="J518" s="4">
        <v>16</v>
      </c>
      <c r="K518" s="4"/>
      <c r="L518" s="4">
        <v>53</v>
      </c>
      <c r="M518" s="21">
        <f>1-AVERAGE(N518:R518)</f>
        <v>0.51984433962264154</v>
      </c>
      <c r="N518" s="20">
        <f>ABS($D$2-F518)/F518</f>
        <v>0.41999999999999993</v>
      </c>
      <c r="O518" s="20">
        <f>ABS($E$2-G518)/G518</f>
        <v>0.20833333333333334</v>
      </c>
      <c r="P518" s="20">
        <f>ABS($F$2-H518)/H518</f>
        <v>1.0666666666666667</v>
      </c>
      <c r="Q518" s="20">
        <f>ABS($H$2-J518)/J518</f>
        <v>0.28125</v>
      </c>
      <c r="R518" s="20">
        <f>ABS($J$2-L518)/L518</f>
        <v>0.42452830188679247</v>
      </c>
    </row>
    <row r="519" spans="1:18" ht="15.75" customHeight="1" x14ac:dyDescent="0.2">
      <c r="A519">
        <v>835</v>
      </c>
      <c r="B519" s="1" t="s">
        <v>668</v>
      </c>
      <c r="C519" s="1"/>
      <c r="D519" s="2"/>
      <c r="E519" s="6" t="s">
        <v>482</v>
      </c>
      <c r="F519" s="1">
        <v>1.3</v>
      </c>
      <c r="G519" s="4">
        <v>35</v>
      </c>
      <c r="H519" s="4">
        <v>4.0999999999999996</v>
      </c>
      <c r="I519" s="4"/>
      <c r="J519" s="4">
        <v>65</v>
      </c>
      <c r="K519" s="4"/>
      <c r="L519" s="4"/>
      <c r="M519" s="21">
        <f>1-AVERAGE(N519:R519)</f>
        <v>0.51947869203966768</v>
      </c>
      <c r="N519" s="20">
        <f>ABS($D$2-F519)/F519</f>
        <v>0.55384615384615377</v>
      </c>
      <c r="O519" s="20">
        <f>ABS($E$2-G519)/G519</f>
        <v>0.17142857142857143</v>
      </c>
      <c r="P519" s="20">
        <f>ABS($F$2-H519)/H519</f>
        <v>0.51219512195121963</v>
      </c>
      <c r="Q519" s="20">
        <f>ABS($H$2-J519)/J519</f>
        <v>0.68461538461538463</v>
      </c>
      <c r="R519" s="20"/>
    </row>
    <row r="520" spans="1:18" ht="15.75" customHeight="1" x14ac:dyDescent="0.2">
      <c r="A520">
        <v>820</v>
      </c>
      <c r="B520" s="1" t="s">
        <v>657</v>
      </c>
      <c r="C520" s="1"/>
      <c r="D520" s="2"/>
      <c r="E520" s="6" t="s">
        <v>482</v>
      </c>
      <c r="F520" s="1">
        <v>9</v>
      </c>
      <c r="G520" s="4">
        <v>37</v>
      </c>
      <c r="H520" s="4">
        <v>4.5999999999999996</v>
      </c>
      <c r="I520" s="4"/>
      <c r="J520" s="4">
        <v>36</v>
      </c>
      <c r="K520" s="4"/>
      <c r="L520" s="4"/>
      <c r="M520" s="21">
        <f>1-AVERAGE(N520:R520)</f>
        <v>0.51746164642903758</v>
      </c>
      <c r="N520" s="20">
        <f>ABS($D$2-F520)/F520</f>
        <v>0.93555555555555558</v>
      </c>
      <c r="O520" s="20">
        <f>ABS($E$2-G520)/G520</f>
        <v>0.21621621621621623</v>
      </c>
      <c r="P520" s="20">
        <f>ABS($F$2-H520)/H520</f>
        <v>0.3478260869565219</v>
      </c>
      <c r="Q520" s="20">
        <f>ABS($H$2-J520)/J520</f>
        <v>0.43055555555555558</v>
      </c>
      <c r="R520" s="20"/>
    </row>
    <row r="521" spans="1:18" ht="15.75" customHeight="1" x14ac:dyDescent="0.2">
      <c r="A521">
        <v>314</v>
      </c>
      <c r="B521" s="9" t="s">
        <v>249</v>
      </c>
      <c r="C521" s="9" t="s">
        <v>250</v>
      </c>
      <c r="E521" s="6" t="s">
        <v>40</v>
      </c>
      <c r="F521" s="10">
        <v>0.56999999999999995</v>
      </c>
      <c r="G521" s="3">
        <f>(15+16)/2</f>
        <v>15.5</v>
      </c>
      <c r="H521" s="3">
        <v>4</v>
      </c>
      <c r="I521" s="3"/>
      <c r="J521" s="3">
        <v>14</v>
      </c>
      <c r="K521" s="3"/>
      <c r="L521" s="3">
        <v>50</v>
      </c>
      <c r="M521" s="21">
        <f>1-AVERAGE(N521:R521)</f>
        <v>0.51744053682593572</v>
      </c>
      <c r="N521" s="20">
        <f>ABS($D$2-F521)/F521</f>
        <v>1.7543859649123018E-2</v>
      </c>
      <c r="O521" s="20">
        <f>ABS($E$2-G521)/G521</f>
        <v>0.87096774193548387</v>
      </c>
      <c r="P521" s="20">
        <f>ABS($F$2-H521)/H521</f>
        <v>0.55000000000000004</v>
      </c>
      <c r="Q521" s="20">
        <f>ABS($H$2-J521)/J521</f>
        <v>0.4642857142857143</v>
      </c>
      <c r="R521" s="20">
        <f>ABS($J$2-L521)/L521</f>
        <v>0.51</v>
      </c>
    </row>
    <row r="522" spans="1:18" ht="15.75" customHeight="1" x14ac:dyDescent="0.2">
      <c r="A522">
        <v>786</v>
      </c>
      <c r="B522" s="6" t="s">
        <v>616</v>
      </c>
      <c r="C522" s="6" t="s">
        <v>617</v>
      </c>
      <c r="D522" s="7"/>
      <c r="E522" s="6" t="s">
        <v>482</v>
      </c>
      <c r="F522" s="1">
        <v>1.6</v>
      </c>
      <c r="G522" s="4">
        <v>28</v>
      </c>
      <c r="H522" s="4">
        <v>3.9</v>
      </c>
      <c r="I522" s="4"/>
      <c r="J522" s="4">
        <v>62</v>
      </c>
      <c r="K522" s="4"/>
      <c r="L522" s="4"/>
      <c r="M522" s="21">
        <f>1-AVERAGE(N522:R522)</f>
        <v>0.51692182145811172</v>
      </c>
      <c r="N522" s="20">
        <f>ABS($D$2-F522)/F522</f>
        <v>0.63749999999999996</v>
      </c>
      <c r="O522" s="20">
        <f>ABS($E$2-G522)/G522</f>
        <v>3.5714285714285712E-2</v>
      </c>
      <c r="P522" s="20">
        <f>ABS($F$2-H522)/H522</f>
        <v>0.58974358974358987</v>
      </c>
      <c r="Q522" s="20">
        <f>ABS($H$2-J522)/J522</f>
        <v>0.66935483870967738</v>
      </c>
      <c r="R522" s="20"/>
    </row>
    <row r="523" spans="1:18" ht="15.75" customHeight="1" x14ac:dyDescent="0.2">
      <c r="A523">
        <v>774</v>
      </c>
      <c r="B523" s="6" t="s">
        <v>608</v>
      </c>
      <c r="C523" s="6"/>
      <c r="D523" s="7"/>
      <c r="E523" s="6" t="s">
        <v>495</v>
      </c>
      <c r="F523" s="1">
        <v>2.2999999999999998</v>
      </c>
      <c r="G523" s="4">
        <v>28</v>
      </c>
      <c r="H523" s="4">
        <v>4.2</v>
      </c>
      <c r="I523" s="4"/>
      <c r="J523" s="4">
        <v>58</v>
      </c>
      <c r="K523" s="4"/>
      <c r="L523" s="4">
        <v>50</v>
      </c>
      <c r="M523" s="21">
        <f>1-AVERAGE(N523:R523)</f>
        <v>0.51674348540015713</v>
      </c>
      <c r="N523" s="20">
        <f>ABS($D$2-F523)/F523</f>
        <v>0.74782608695652164</v>
      </c>
      <c r="O523" s="20">
        <f>ABS($E$2-G523)/G523</f>
        <v>3.5714285714285712E-2</v>
      </c>
      <c r="P523" s="20">
        <f>ABS($F$2-H523)/H523</f>
        <v>0.47619047619047616</v>
      </c>
      <c r="Q523" s="20">
        <f>ABS($H$2-J523)/J523</f>
        <v>0.64655172413793105</v>
      </c>
      <c r="R523" s="20">
        <f>ABS($J$2-L523)/L523</f>
        <v>0.51</v>
      </c>
    </row>
    <row r="524" spans="1:18" ht="15.75" customHeight="1" x14ac:dyDescent="0.2">
      <c r="A524">
        <v>856</v>
      </c>
      <c r="B524" s="1" t="s">
        <v>685</v>
      </c>
      <c r="C524" s="1"/>
      <c r="D524" s="2"/>
      <c r="E524" s="6" t="s">
        <v>482</v>
      </c>
      <c r="F524" s="1">
        <v>2.2999999999999998</v>
      </c>
      <c r="G524" s="4">
        <v>34</v>
      </c>
      <c r="H524" s="4">
        <v>4.3</v>
      </c>
      <c r="I524" s="4"/>
      <c r="J524" s="4">
        <v>51</v>
      </c>
      <c r="K524" s="4"/>
      <c r="L524" s="4"/>
      <c r="M524" s="21">
        <f>1-AVERAGE(N524:R524)</f>
        <v>0.51630385217787822</v>
      </c>
      <c r="N524" s="20">
        <f>ABS($D$2-F524)/F524</f>
        <v>0.74782608695652164</v>
      </c>
      <c r="O524" s="20">
        <f>ABS($E$2-G524)/G524</f>
        <v>0.14705882352941177</v>
      </c>
      <c r="P524" s="20">
        <f>ABS($F$2-H524)/H524</f>
        <v>0.44186046511627919</v>
      </c>
      <c r="Q524" s="20">
        <f>ABS($H$2-J524)/J524</f>
        <v>0.59803921568627449</v>
      </c>
      <c r="R524" s="20"/>
    </row>
    <row r="525" spans="1:18" ht="15.75" customHeight="1" x14ac:dyDescent="0.2">
      <c r="A525">
        <v>842</v>
      </c>
      <c r="B525" s="1" t="s">
        <v>674</v>
      </c>
      <c r="C525" s="1" t="s">
        <v>675</v>
      </c>
      <c r="D525" s="2"/>
      <c r="E525" s="6" t="s">
        <v>495</v>
      </c>
      <c r="F525" s="1">
        <v>1.8</v>
      </c>
      <c r="G525" s="1">
        <v>44</v>
      </c>
      <c r="H525" s="1">
        <v>5.4</v>
      </c>
      <c r="I525" s="1"/>
      <c r="J525" s="1">
        <v>13</v>
      </c>
      <c r="K525" s="1"/>
      <c r="L525" s="1">
        <v>45</v>
      </c>
      <c r="M525" s="21">
        <f>1-AVERAGE(N525:R525)</f>
        <v>0.51569282569282571</v>
      </c>
      <c r="N525" s="20">
        <f>ABS($D$2-F525)/F525</f>
        <v>0.6777777777777777</v>
      </c>
      <c r="O525" s="20">
        <f>ABS($E$2-G525)/G525</f>
        <v>0.34090909090909088</v>
      </c>
      <c r="P525" s="20">
        <f>ABS($F$2-H525)/H525</f>
        <v>0.14814814814814811</v>
      </c>
      <c r="Q525" s="20">
        <f>ABS($H$2-J525)/J525</f>
        <v>0.57692307692307687</v>
      </c>
      <c r="R525" s="20">
        <f>ABS($J$2-L525)/L525</f>
        <v>0.67777777777777781</v>
      </c>
    </row>
    <row r="526" spans="1:18" ht="15.75" customHeight="1" x14ac:dyDescent="0.2">
      <c r="A526">
        <v>63</v>
      </c>
      <c r="B526" s="1" t="s">
        <v>77</v>
      </c>
      <c r="C526" s="1"/>
      <c r="D526" s="2"/>
      <c r="E526" s="6" t="s">
        <v>40</v>
      </c>
      <c r="F526" s="3">
        <v>0.38</v>
      </c>
      <c r="G526" s="3">
        <v>19</v>
      </c>
      <c r="H526" s="3">
        <v>3.1</v>
      </c>
      <c r="I526" s="3"/>
      <c r="J526" s="3">
        <f>(13+18)/2</f>
        <v>15.5</v>
      </c>
      <c r="K526" s="3"/>
      <c r="L526" s="3">
        <v>72</v>
      </c>
      <c r="M526" s="21">
        <f>1-AVERAGE(N526:R526)</f>
        <v>0.51523533295604595</v>
      </c>
      <c r="N526" s="20">
        <f>ABS($D$2-F526)/F526</f>
        <v>0.5263157894736844</v>
      </c>
      <c r="O526" s="20">
        <f>ABS($E$2-G526)/G526</f>
        <v>0.52631578947368418</v>
      </c>
      <c r="P526" s="20">
        <f>ABS($F$2-H526)/H526</f>
        <v>1</v>
      </c>
      <c r="Q526" s="20">
        <f>ABS($H$2-J526)/J526</f>
        <v>0.32258064516129031</v>
      </c>
      <c r="R526" s="20">
        <f>ABS($J$2-L526)/L526</f>
        <v>4.8611111111111112E-2</v>
      </c>
    </row>
    <row r="527" spans="1:18" ht="15.75" customHeight="1" x14ac:dyDescent="0.2">
      <c r="A527">
        <v>654</v>
      </c>
      <c r="B527" s="6" t="s">
        <v>522</v>
      </c>
      <c r="C527" s="6"/>
      <c r="D527" s="7"/>
      <c r="E527" s="6" t="s">
        <v>482</v>
      </c>
      <c r="F527" s="1">
        <v>0.7</v>
      </c>
      <c r="G527" s="4">
        <v>35</v>
      </c>
      <c r="H527" s="4">
        <v>5.0999999999999996</v>
      </c>
      <c r="I527" s="4"/>
      <c r="J527" s="4">
        <v>8.6</v>
      </c>
      <c r="K527" s="4"/>
      <c r="L527" s="4"/>
      <c r="M527" s="21">
        <f>1-AVERAGE(N527:R527)</f>
        <v>0.51443391310012376</v>
      </c>
      <c r="N527" s="20">
        <f>ABS($D$2-F527)/F527</f>
        <v>0.17142857142857126</v>
      </c>
      <c r="O527" s="20">
        <f>ABS($E$2-G527)/G527</f>
        <v>0.17142857142857143</v>
      </c>
      <c r="P527" s="20">
        <f>ABS($F$2-H527)/H527</f>
        <v>0.21568627450980404</v>
      </c>
      <c r="Q527" s="20">
        <f>ABS($H$2-J527)/J527</f>
        <v>1.3837209302325582</v>
      </c>
      <c r="R527" s="20"/>
    </row>
    <row r="528" spans="1:18" ht="15.75" customHeight="1" x14ac:dyDescent="0.2">
      <c r="A528">
        <v>828</v>
      </c>
      <c r="B528" s="6" t="s">
        <v>663</v>
      </c>
      <c r="C528" s="1"/>
      <c r="D528" s="2"/>
      <c r="E528" s="6" t="s">
        <v>482</v>
      </c>
      <c r="F528" s="1">
        <v>1.6</v>
      </c>
      <c r="G528" s="4">
        <v>37</v>
      </c>
      <c r="H528" s="4">
        <v>4.5999999999999996</v>
      </c>
      <c r="I528" s="4"/>
      <c r="J528" s="4">
        <v>80</v>
      </c>
      <c r="K528" s="4"/>
      <c r="L528" s="4"/>
      <c r="M528" s="21">
        <f>1-AVERAGE(N528:R528)</f>
        <v>0.51367692420681543</v>
      </c>
      <c r="N528" s="20">
        <f>ABS($D$2-F528)/F528</f>
        <v>0.63749999999999996</v>
      </c>
      <c r="O528" s="20">
        <f>ABS($E$2-G528)/G528</f>
        <v>0.21621621621621623</v>
      </c>
      <c r="P528" s="20">
        <f>ABS($F$2-H528)/H528</f>
        <v>0.3478260869565219</v>
      </c>
      <c r="Q528" s="20">
        <f>ABS($H$2-J528)/J528</f>
        <v>0.74375000000000002</v>
      </c>
      <c r="R528" s="20"/>
    </row>
    <row r="529" spans="1:18" ht="15.75" customHeight="1" x14ac:dyDescent="0.2">
      <c r="A529">
        <v>636</v>
      </c>
      <c r="B529" s="6" t="s">
        <v>500</v>
      </c>
      <c r="C529" s="6" t="s">
        <v>512</v>
      </c>
      <c r="D529" s="7"/>
      <c r="E529" s="6" t="s">
        <v>495</v>
      </c>
      <c r="F529" s="1">
        <v>0.5</v>
      </c>
      <c r="G529" s="4">
        <v>32</v>
      </c>
      <c r="H529" s="4">
        <v>5.2</v>
      </c>
      <c r="I529" s="4"/>
      <c r="J529" s="4">
        <v>7</v>
      </c>
      <c r="K529" s="4"/>
      <c r="L529" s="4">
        <v>71</v>
      </c>
      <c r="M529" s="21">
        <f>1-AVERAGE(N529:R529)</f>
        <v>0.51239811948614755</v>
      </c>
      <c r="N529" s="20">
        <f>ABS($D$2-F529)/F529</f>
        <v>0.16000000000000014</v>
      </c>
      <c r="O529" s="20">
        <f>ABS($E$2-G529)/G529</f>
        <v>9.375E-2</v>
      </c>
      <c r="P529" s="20">
        <f>ABS($F$2-H529)/H529</f>
        <v>0.19230769230769229</v>
      </c>
      <c r="Q529" s="20">
        <f>ABS($H$2-J529)/J529</f>
        <v>1.9285714285714286</v>
      </c>
      <c r="R529" s="20">
        <f>ABS($J$2-L529)/L529</f>
        <v>6.3380281690140844E-2</v>
      </c>
    </row>
    <row r="530" spans="1:18" ht="15.75" customHeight="1" x14ac:dyDescent="0.2">
      <c r="A530">
        <v>438</v>
      </c>
      <c r="B530" s="9" t="s">
        <v>346</v>
      </c>
      <c r="E530" s="6" t="s">
        <v>40</v>
      </c>
      <c r="F530" s="3">
        <f>(1.8+2)/2</f>
        <v>1.9</v>
      </c>
      <c r="G530" s="3">
        <f>(31+32)/2</f>
        <v>31.5</v>
      </c>
      <c r="H530" s="3">
        <f>(3.8+3.9)/2</f>
        <v>3.8499999999999996</v>
      </c>
      <c r="I530" s="3"/>
      <c r="J530" s="3">
        <f>(13+15)/2</f>
        <v>14</v>
      </c>
      <c r="K530" s="3"/>
      <c r="L530" s="3">
        <f>(47+48)/2</f>
        <v>47.5</v>
      </c>
      <c r="M530" s="21">
        <f>1-AVERAGE(N530:R530)</f>
        <v>0.51234981392876122</v>
      </c>
      <c r="N530" s="20">
        <f>ABS($D$2-F530)/F530</f>
        <v>0.6947368421052631</v>
      </c>
      <c r="O530" s="20">
        <f>ABS($E$2-G530)/G530</f>
        <v>7.9365079365079361E-2</v>
      </c>
      <c r="P530" s="20">
        <f>ABS($F$2-H530)/H530</f>
        <v>0.61038961038961059</v>
      </c>
      <c r="Q530" s="20">
        <f>ABS($H$2-J530)/J530</f>
        <v>0.4642857142857143</v>
      </c>
      <c r="R530" s="20">
        <f>ABS($J$2-L530)/L530</f>
        <v>0.58947368421052626</v>
      </c>
    </row>
    <row r="531" spans="1:18" ht="15.75" customHeight="1" x14ac:dyDescent="0.2">
      <c r="A531">
        <v>208</v>
      </c>
      <c r="B531" s="1" t="s">
        <v>175</v>
      </c>
      <c r="C531" s="1" t="s">
        <v>176</v>
      </c>
      <c r="D531" s="2"/>
      <c r="E531" s="6" t="s">
        <v>41</v>
      </c>
      <c r="F531" s="3">
        <f>(0.78+1.07)/2</f>
        <v>0.92500000000000004</v>
      </c>
      <c r="G531" s="3">
        <f>(13+15)/2</f>
        <v>14</v>
      </c>
      <c r="H531" s="3">
        <f>(4+5.5)/2</f>
        <v>4.75</v>
      </c>
      <c r="I531" s="3"/>
      <c r="J531" s="3">
        <f>(13+21)/2</f>
        <v>17</v>
      </c>
      <c r="K531" s="3"/>
      <c r="L531" s="3"/>
      <c r="M531" s="21">
        <f>1-AVERAGE(N531:R531)</f>
        <v>0.51111323619063564</v>
      </c>
      <c r="N531" s="20">
        <f>ABS($D$2-F531)/F531</f>
        <v>0.37297297297297294</v>
      </c>
      <c r="O531" s="20">
        <f>ABS($E$2-G531)/G531</f>
        <v>1.0714285714285714</v>
      </c>
      <c r="P531" s="20">
        <f>ABS($F$2-H531)/H531</f>
        <v>0.3052631578947369</v>
      </c>
      <c r="Q531" s="20">
        <f>ABS($H$2-J531)/J531</f>
        <v>0.20588235294117646</v>
      </c>
      <c r="R531" s="20"/>
    </row>
    <row r="532" spans="1:18" ht="15.75" customHeight="1" x14ac:dyDescent="0.2">
      <c r="A532">
        <v>651</v>
      </c>
      <c r="B532" s="6" t="s">
        <v>521</v>
      </c>
      <c r="C532" s="6"/>
      <c r="D532" s="7"/>
      <c r="E532" s="6" t="s">
        <v>495</v>
      </c>
      <c r="F532" s="1">
        <v>1.2</v>
      </c>
      <c r="G532" s="1">
        <v>34</v>
      </c>
      <c r="H532" s="4">
        <v>7</v>
      </c>
      <c r="I532" s="4"/>
      <c r="J532" s="4">
        <v>10.1</v>
      </c>
      <c r="K532" s="4"/>
      <c r="L532" s="4">
        <v>46</v>
      </c>
      <c r="M532" s="21">
        <f>1-AVERAGE(N532:R532)</f>
        <v>0.51019629547901812</v>
      </c>
      <c r="N532" s="20">
        <f>ABS($D$2-F532)/F532</f>
        <v>0.51666666666666661</v>
      </c>
      <c r="O532" s="20">
        <f>ABS($E$2-G532)/G532</f>
        <v>0.14705882352941177</v>
      </c>
      <c r="P532" s="20">
        <f>ABS($F$2-H532)/H532</f>
        <v>0.11428571428571425</v>
      </c>
      <c r="Q532" s="20">
        <f>ABS($H$2-J532)/J532</f>
        <v>1.0297029702970297</v>
      </c>
      <c r="R532" s="20">
        <f>ABS($J$2-L532)/L532</f>
        <v>0.64130434782608692</v>
      </c>
    </row>
    <row r="533" spans="1:18" ht="15.75" customHeight="1" x14ac:dyDescent="0.2">
      <c r="A533">
        <v>791</v>
      </c>
      <c r="B533" s="6" t="s">
        <v>626</v>
      </c>
      <c r="C533" s="6" t="s">
        <v>627</v>
      </c>
      <c r="D533" s="7"/>
      <c r="E533" s="6" t="s">
        <v>495</v>
      </c>
      <c r="F533" s="1">
        <f>(1.6+2.1)/2</f>
        <v>1.85</v>
      </c>
      <c r="G533" s="4">
        <v>37</v>
      </c>
      <c r="H533" s="4">
        <v>4.3</v>
      </c>
      <c r="I533" s="4"/>
      <c r="J533" s="4">
        <v>55</v>
      </c>
      <c r="K533" s="4"/>
      <c r="L533" s="4">
        <v>51</v>
      </c>
      <c r="M533" s="21">
        <f>1-AVERAGE(N533:R533)</f>
        <v>0.50955438960910915</v>
      </c>
      <c r="N533" s="20">
        <f>ABS($D$2-F533)/F533</f>
        <v>0.68648648648648647</v>
      </c>
      <c r="O533" s="20">
        <f>ABS($E$2-G533)/G533</f>
        <v>0.21621621621621623</v>
      </c>
      <c r="P533" s="20">
        <f>ABS($F$2-H533)/H533</f>
        <v>0.44186046511627919</v>
      </c>
      <c r="Q533" s="20">
        <f>ABS($H$2-J533)/J533</f>
        <v>0.62727272727272732</v>
      </c>
      <c r="R533" s="20">
        <f>ABS($J$2-L533)/L533</f>
        <v>0.48039215686274511</v>
      </c>
    </row>
    <row r="534" spans="1:18" ht="15.75" customHeight="1" x14ac:dyDescent="0.2">
      <c r="A534">
        <v>775</v>
      </c>
      <c r="B534" s="6" t="s">
        <v>608</v>
      </c>
      <c r="C534" s="6"/>
      <c r="D534" s="7"/>
      <c r="E534" s="6" t="s">
        <v>482</v>
      </c>
      <c r="F534" s="1">
        <v>2.2999999999999998</v>
      </c>
      <c r="G534" s="4">
        <v>26</v>
      </c>
      <c r="H534" s="4">
        <v>4.3</v>
      </c>
      <c r="I534" s="4"/>
      <c r="J534" s="4">
        <v>60</v>
      </c>
      <c r="K534" s="4"/>
      <c r="L534" s="4"/>
      <c r="M534" s="21">
        <f>1-AVERAGE(N534:R534)</f>
        <v>0.50914887480231263</v>
      </c>
      <c r="N534" s="20">
        <f>ABS($D$2-F534)/F534</f>
        <v>0.74782608695652164</v>
      </c>
      <c r="O534" s="20">
        <f>ABS($E$2-G534)/G534</f>
        <v>0.11538461538461539</v>
      </c>
      <c r="P534" s="20">
        <f>ABS($F$2-H534)/H534</f>
        <v>0.44186046511627919</v>
      </c>
      <c r="Q534" s="20">
        <f>ABS($H$2-J534)/J534</f>
        <v>0.65833333333333333</v>
      </c>
      <c r="R534" s="20"/>
    </row>
    <row r="535" spans="1:18" ht="15.75" customHeight="1" x14ac:dyDescent="0.2">
      <c r="A535">
        <v>905</v>
      </c>
      <c r="B535" s="1" t="s">
        <v>717</v>
      </c>
      <c r="C535" s="1"/>
      <c r="D535" s="2"/>
      <c r="E535" s="6" t="s">
        <v>482</v>
      </c>
      <c r="F535" s="1">
        <v>2</v>
      </c>
      <c r="G535" s="4">
        <v>58</v>
      </c>
      <c r="H535" s="4">
        <v>5.5</v>
      </c>
      <c r="I535" s="4"/>
      <c r="J535" s="4">
        <v>55</v>
      </c>
      <c r="K535" s="4"/>
      <c r="L535" s="4"/>
      <c r="M535" s="21">
        <f>1-AVERAGE(N535:R535)</f>
        <v>0.5088636363636363</v>
      </c>
      <c r="N535" s="20">
        <f>ABS($D$2-F535)/F535</f>
        <v>0.71</v>
      </c>
      <c r="O535" s="20">
        <f>ABS($E$2-G535)/G535</f>
        <v>0.5</v>
      </c>
      <c r="P535" s="20">
        <f>ABS($F$2-H535)/H535</f>
        <v>0.12727272727272732</v>
      </c>
      <c r="Q535" s="20">
        <f>ABS($H$2-J535)/J535</f>
        <v>0.62727272727272732</v>
      </c>
      <c r="R535" s="20"/>
    </row>
    <row r="536" spans="1:18" ht="15.75" customHeight="1" x14ac:dyDescent="0.2">
      <c r="A536">
        <v>782</v>
      </c>
      <c r="B536" s="6" t="s">
        <v>613</v>
      </c>
      <c r="C536" s="6"/>
      <c r="D536" s="7"/>
      <c r="E536" s="6" t="s">
        <v>495</v>
      </c>
      <c r="F536" s="6">
        <v>2.8</v>
      </c>
      <c r="G536" s="4">
        <v>44</v>
      </c>
      <c r="H536" s="4">
        <v>4.5999999999999996</v>
      </c>
      <c r="I536" s="4"/>
      <c r="J536" s="4">
        <v>55</v>
      </c>
      <c r="K536" s="4"/>
      <c r="L536" s="4">
        <v>56</v>
      </c>
      <c r="M536" s="21">
        <f>1-AVERAGE(N536:R536)</f>
        <v>0.5085841332580463</v>
      </c>
      <c r="N536" s="20">
        <f>ABS($D$2-F536)/F536</f>
        <v>0.79285714285714282</v>
      </c>
      <c r="O536" s="20">
        <f>ABS($E$2-G536)/G536</f>
        <v>0.34090909090909088</v>
      </c>
      <c r="P536" s="20">
        <f>ABS($F$2-H536)/H536</f>
        <v>0.3478260869565219</v>
      </c>
      <c r="Q536" s="20">
        <f>ABS($H$2-J536)/J536</f>
        <v>0.62727272727272732</v>
      </c>
      <c r="R536" s="20">
        <f>ABS($J$2-L536)/L536</f>
        <v>0.3482142857142857</v>
      </c>
    </row>
    <row r="537" spans="1:18" ht="15.75" customHeight="1" x14ac:dyDescent="0.2">
      <c r="A537">
        <v>428</v>
      </c>
      <c r="B537" s="9" t="s">
        <v>337</v>
      </c>
      <c r="C537" s="9" t="s">
        <v>338</v>
      </c>
      <c r="E537" s="6" t="s">
        <v>41</v>
      </c>
      <c r="F537" s="3">
        <v>2.7</v>
      </c>
      <c r="G537" s="3">
        <f>(30+45)/2</f>
        <v>37.5</v>
      </c>
      <c r="H537" s="3">
        <f>(4+5)/2</f>
        <v>4.5</v>
      </c>
      <c r="I537" s="3"/>
      <c r="J537" s="3">
        <f>(11+15)/2</f>
        <v>13</v>
      </c>
      <c r="K537" s="10"/>
      <c r="L537" s="10"/>
      <c r="M537" s="21">
        <f>1-AVERAGE(N537:R537)</f>
        <v>0.50836182336182345</v>
      </c>
      <c r="N537" s="20">
        <f>ABS($D$2-F537)/F537</f>
        <v>0.78518518518518521</v>
      </c>
      <c r="O537" s="20">
        <f>ABS($E$2-G537)/G537</f>
        <v>0.22666666666666666</v>
      </c>
      <c r="P537" s="20">
        <f>ABS($F$2-H537)/H537</f>
        <v>0.37777777777777782</v>
      </c>
      <c r="Q537" s="20">
        <f>ABS($H$2-J537)/J537</f>
        <v>0.57692307692307687</v>
      </c>
      <c r="R537" s="20"/>
    </row>
    <row r="538" spans="1:18" ht="15.75" customHeight="1" x14ac:dyDescent="0.2">
      <c r="A538">
        <v>789</v>
      </c>
      <c r="B538" s="6" t="s">
        <v>622</v>
      </c>
      <c r="C538" s="6" t="s">
        <v>623</v>
      </c>
      <c r="D538" s="7"/>
      <c r="E538" s="6" t="s">
        <v>495</v>
      </c>
      <c r="F538" s="1">
        <f>(1.6+1.9)/2</f>
        <v>1.75</v>
      </c>
      <c r="G538" s="4">
        <v>38</v>
      </c>
      <c r="H538" s="4">
        <v>4.8</v>
      </c>
      <c r="I538" s="4"/>
      <c r="J538" s="4">
        <v>66</v>
      </c>
      <c r="K538" s="4"/>
      <c r="L538" s="4">
        <v>48</v>
      </c>
      <c r="M538" s="21">
        <f>1-AVERAGE(N538:R538)</f>
        <v>0.50812183868762817</v>
      </c>
      <c r="N538" s="20">
        <f>ABS($D$2-F538)/F538</f>
        <v>0.66857142857142848</v>
      </c>
      <c r="O538" s="20">
        <f>ABS($E$2-G538)/G538</f>
        <v>0.23684210526315788</v>
      </c>
      <c r="P538" s="20">
        <f>ABS($F$2-H538)/H538</f>
        <v>0.29166666666666674</v>
      </c>
      <c r="Q538" s="20">
        <f>ABS($H$2-J538)/J538</f>
        <v>0.68939393939393945</v>
      </c>
      <c r="R538" s="20">
        <f>ABS($J$2-L538)/L538</f>
        <v>0.57291666666666663</v>
      </c>
    </row>
    <row r="539" spans="1:18" ht="15.75" customHeight="1" x14ac:dyDescent="0.2">
      <c r="A539">
        <v>356</v>
      </c>
      <c r="B539" s="9" t="s">
        <v>281</v>
      </c>
      <c r="E539" s="6" t="s">
        <v>40</v>
      </c>
      <c r="F539" s="3">
        <v>1.5</v>
      </c>
      <c r="G539" s="3">
        <v>30</v>
      </c>
      <c r="H539" s="3">
        <v>5</v>
      </c>
      <c r="I539" s="3"/>
      <c r="J539" s="3">
        <f>(8+9)/2</f>
        <v>8.5</v>
      </c>
      <c r="K539" s="3"/>
      <c r="L539" s="3">
        <v>65</v>
      </c>
      <c r="M539" s="21">
        <f>1-AVERAGE(N539:R539)</f>
        <v>0.5080060331825037</v>
      </c>
      <c r="N539" s="20">
        <f>ABS($D$2-F539)/F539</f>
        <v>0.61333333333333329</v>
      </c>
      <c r="O539" s="20">
        <f>ABS($E$2-G539)/G539</f>
        <v>3.3333333333333333E-2</v>
      </c>
      <c r="P539" s="20">
        <f>ABS($F$2-H539)/H539</f>
        <v>0.24000000000000005</v>
      </c>
      <c r="Q539" s="20">
        <f>ABS($H$2-J539)/J539</f>
        <v>1.411764705882353</v>
      </c>
      <c r="R539" s="20">
        <f>ABS($J$2-L539)/L539</f>
        <v>0.16153846153846155</v>
      </c>
    </row>
    <row r="540" spans="1:18" ht="15.75" customHeight="1" x14ac:dyDescent="0.2">
      <c r="A540">
        <v>456</v>
      </c>
      <c r="B540" s="9" t="s">
        <v>358</v>
      </c>
      <c r="E540" s="6" t="s">
        <v>40</v>
      </c>
      <c r="F540" s="3">
        <f>(1.94+2.32)/2</f>
        <v>2.13</v>
      </c>
      <c r="G540" s="3">
        <f>(36+42)/2</f>
        <v>39</v>
      </c>
      <c r="H540" s="3">
        <f>(7.9+8.3)/2</f>
        <v>8.1000000000000014</v>
      </c>
      <c r="I540" s="3"/>
      <c r="J540" s="3">
        <f>(78+85)/2</f>
        <v>81.5</v>
      </c>
      <c r="K540" s="3"/>
      <c r="L540" s="3">
        <f>(48+53)/2</f>
        <v>50.5</v>
      </c>
      <c r="M540" s="21">
        <f>1-AVERAGE(N540:R540)</f>
        <v>0.50756130984390746</v>
      </c>
      <c r="N540" s="20">
        <f>ABS($D$2-F540)/F540</f>
        <v>0.72769953051643188</v>
      </c>
      <c r="O540" s="20">
        <f>ABS($E$2-G540)/G540</f>
        <v>0.25641025641025639</v>
      </c>
      <c r="P540" s="20">
        <f>ABS($F$2-H540)/H540</f>
        <v>0.23456790123456803</v>
      </c>
      <c r="Q540" s="20">
        <f>ABS($H$2-J540)/J540</f>
        <v>0.74846625766871167</v>
      </c>
      <c r="R540" s="20">
        <f>ABS($J$2-L540)/L540</f>
        <v>0.49504950495049505</v>
      </c>
    </row>
    <row r="541" spans="1:18" ht="15.75" customHeight="1" x14ac:dyDescent="0.2">
      <c r="A541">
        <v>354</v>
      </c>
      <c r="B541" s="9" t="s">
        <v>280</v>
      </c>
      <c r="E541" s="6" t="s">
        <v>40</v>
      </c>
      <c r="F541" s="3">
        <v>1.7</v>
      </c>
      <c r="G541" s="3">
        <f>(30+35)/2</f>
        <v>32.5</v>
      </c>
      <c r="H541" s="3">
        <v>11</v>
      </c>
      <c r="I541" s="3"/>
      <c r="J541" s="3">
        <v>11</v>
      </c>
      <c r="K541" s="3"/>
      <c r="L541" s="3">
        <v>54</v>
      </c>
      <c r="M541" s="21">
        <f>1-AVERAGE(N541:R541)</f>
        <v>0.50706720294955598</v>
      </c>
      <c r="N541" s="20">
        <f>ABS($D$2-F541)/F541</f>
        <v>0.6588235294117647</v>
      </c>
      <c r="O541" s="20">
        <f>ABS($E$2-G541)/G541</f>
        <v>0.1076923076923077</v>
      </c>
      <c r="P541" s="20">
        <f>ABS($F$2-H541)/H541</f>
        <v>0.43636363636363634</v>
      </c>
      <c r="Q541" s="20">
        <f>ABS($H$2-J541)/J541</f>
        <v>0.86363636363636365</v>
      </c>
      <c r="R541" s="20">
        <f>ABS($J$2-L541)/L541</f>
        <v>0.39814814814814814</v>
      </c>
    </row>
    <row r="542" spans="1:18" ht="15.75" customHeight="1" x14ac:dyDescent="0.2">
      <c r="A542">
        <v>46</v>
      </c>
      <c r="B542" s="1" t="s">
        <v>67</v>
      </c>
      <c r="C542" s="1"/>
      <c r="D542" s="2"/>
      <c r="E542" s="6" t="s">
        <v>40</v>
      </c>
      <c r="F542" s="3">
        <f>(2.32+2.66)/2</f>
        <v>2.4900000000000002</v>
      </c>
      <c r="G542" s="3">
        <f>(58+67)/2</f>
        <v>62.5</v>
      </c>
      <c r="H542" s="3">
        <f>(8+9.3)/2</f>
        <v>8.65</v>
      </c>
      <c r="I542" s="3"/>
      <c r="J542" s="3">
        <f>(14+17)/2</f>
        <v>15.5</v>
      </c>
      <c r="K542" s="3"/>
      <c r="L542" s="3">
        <f>(48+49)/2</f>
        <v>48.5</v>
      </c>
      <c r="M542" s="21">
        <f>1-AVERAGE(N542:R542)</f>
        <v>0.50688261131977042</v>
      </c>
      <c r="N542" s="20">
        <f>ABS($D$2-F542)/F542</f>
        <v>0.76706827309236947</v>
      </c>
      <c r="O542" s="20">
        <f>ABS($E$2-G542)/G542</f>
        <v>0.53600000000000003</v>
      </c>
      <c r="P542" s="20">
        <f>ABS($F$2-H542)/H542</f>
        <v>0.2832369942196532</v>
      </c>
      <c r="Q542" s="20">
        <f>ABS($H$2-J542)/J542</f>
        <v>0.32258064516129031</v>
      </c>
      <c r="R542" s="20">
        <f>ABS($J$2-L542)/L542</f>
        <v>0.55670103092783507</v>
      </c>
    </row>
    <row r="543" spans="1:18" ht="15.75" customHeight="1" x14ac:dyDescent="0.2">
      <c r="A543">
        <v>419</v>
      </c>
      <c r="B543" s="9" t="s">
        <v>332</v>
      </c>
      <c r="E543" s="6" t="s">
        <v>40</v>
      </c>
      <c r="F543" s="3">
        <v>2.39</v>
      </c>
      <c r="G543" s="3">
        <v>42</v>
      </c>
      <c r="H543" s="3">
        <v>4.5999999999999996</v>
      </c>
      <c r="I543" s="3"/>
      <c r="J543" s="3">
        <v>65</v>
      </c>
      <c r="K543" s="3"/>
      <c r="L543" s="3">
        <v>55</v>
      </c>
      <c r="M543" s="21">
        <f>1-AVERAGE(N543:R543)</f>
        <v>0.50559705408895872</v>
      </c>
      <c r="N543" s="20">
        <f>ABS($D$2-F543)/F543</f>
        <v>0.75732217573221761</v>
      </c>
      <c r="O543" s="20">
        <f>ABS($E$2-G543)/G543</f>
        <v>0.30952380952380953</v>
      </c>
      <c r="P543" s="20">
        <f>ABS($F$2-H543)/H543</f>
        <v>0.3478260869565219</v>
      </c>
      <c r="Q543" s="20">
        <f>ABS($H$2-J543)/J543</f>
        <v>0.68461538461538463</v>
      </c>
      <c r="R543" s="20">
        <f>ABS($J$2-L543)/L543</f>
        <v>0.37272727272727274</v>
      </c>
    </row>
    <row r="544" spans="1:18" ht="15.75" customHeight="1" x14ac:dyDescent="0.2">
      <c r="A544">
        <v>784</v>
      </c>
      <c r="B544" s="6" t="s">
        <v>614</v>
      </c>
      <c r="C544" s="6" t="s">
        <v>615</v>
      </c>
      <c r="D544" s="7"/>
      <c r="E544" s="6" t="s">
        <v>482</v>
      </c>
      <c r="F544" s="1">
        <v>1</v>
      </c>
      <c r="G544" s="4">
        <v>27</v>
      </c>
      <c r="H544" s="4">
        <v>3.3</v>
      </c>
      <c r="I544" s="4"/>
      <c r="J544" s="4">
        <v>52</v>
      </c>
      <c r="K544" s="4"/>
      <c r="L544" s="4"/>
      <c r="M544" s="21">
        <f>1-AVERAGE(N544:R544)</f>
        <v>0.50534220409220409</v>
      </c>
      <c r="N544" s="20">
        <f>ABS($D$2-F544)/F544</f>
        <v>0.41999999999999993</v>
      </c>
      <c r="O544" s="20">
        <f>ABS($E$2-G544)/G544</f>
        <v>7.407407407407407E-2</v>
      </c>
      <c r="P544" s="20">
        <f>ABS($F$2-H544)/H544</f>
        <v>0.8787878787878789</v>
      </c>
      <c r="Q544" s="20">
        <f>ABS($H$2-J544)/J544</f>
        <v>0.60576923076923073</v>
      </c>
      <c r="R544" s="20"/>
    </row>
    <row r="545" spans="1:18" ht="15.75" customHeight="1" x14ac:dyDescent="0.2">
      <c r="A545">
        <v>769</v>
      </c>
      <c r="B545" s="6" t="s">
        <v>606</v>
      </c>
      <c r="C545" s="6"/>
      <c r="D545" s="7"/>
      <c r="E545" s="6" t="s">
        <v>495</v>
      </c>
      <c r="F545" s="1">
        <v>2.5</v>
      </c>
      <c r="G545" s="4">
        <v>26</v>
      </c>
      <c r="H545" s="4">
        <v>4.9000000000000004</v>
      </c>
      <c r="I545" s="4"/>
      <c r="J545" s="4">
        <v>83</v>
      </c>
      <c r="K545" s="4"/>
      <c r="L545" s="4">
        <v>48</v>
      </c>
      <c r="M545" s="21">
        <f>1-AVERAGE(N545:R545)</f>
        <v>0.50507610946139347</v>
      </c>
      <c r="N545" s="20">
        <f>ABS($D$2-F545)/F545</f>
        <v>0.76800000000000002</v>
      </c>
      <c r="O545" s="20">
        <f>ABS($E$2-G545)/G545</f>
        <v>0.11538461538461539</v>
      </c>
      <c r="P545" s="20">
        <f>ABS($F$2-H545)/H545</f>
        <v>0.26530612244897955</v>
      </c>
      <c r="Q545" s="20">
        <f>ABS($H$2-J545)/J545</f>
        <v>0.75301204819277112</v>
      </c>
      <c r="R545" s="20">
        <f>ABS($J$2-L545)/L545</f>
        <v>0.57291666666666663</v>
      </c>
    </row>
    <row r="546" spans="1:18" ht="15.75" customHeight="1" x14ac:dyDescent="0.2">
      <c r="A546">
        <v>91</v>
      </c>
      <c r="B546" s="1" t="s">
        <v>96</v>
      </c>
      <c r="C546" s="1"/>
      <c r="D546" s="2"/>
      <c r="E546" s="6" t="s">
        <v>41</v>
      </c>
      <c r="F546" s="3">
        <v>0.52</v>
      </c>
      <c r="G546" s="3">
        <v>26</v>
      </c>
      <c r="H546" s="3">
        <v>5.2</v>
      </c>
      <c r="I546" s="3"/>
      <c r="J546" s="3">
        <v>8</v>
      </c>
      <c r="K546" s="3"/>
      <c r="L546" s="3"/>
      <c r="M546" s="21">
        <f>1-AVERAGE(N546:R546)</f>
        <v>0.50360576923076916</v>
      </c>
      <c r="N546" s="20">
        <f>ABS($D$2-F546)/F546</f>
        <v>0.11538461538461549</v>
      </c>
      <c r="O546" s="20">
        <f>ABS($E$2-G546)/G546</f>
        <v>0.11538461538461539</v>
      </c>
      <c r="P546" s="20">
        <f>ABS($F$2-H546)/H546</f>
        <v>0.19230769230769229</v>
      </c>
      <c r="Q546" s="20">
        <f>ABS($H$2-J546)/J546</f>
        <v>1.5625</v>
      </c>
      <c r="R546" s="20"/>
    </row>
    <row r="547" spans="1:18" ht="15.75" customHeight="1" x14ac:dyDescent="0.2">
      <c r="A547">
        <v>771</v>
      </c>
      <c r="B547" s="6" t="s">
        <v>607</v>
      </c>
      <c r="C547" s="6"/>
      <c r="D547" s="7"/>
      <c r="E547" s="6" t="s">
        <v>495</v>
      </c>
      <c r="F547" s="1">
        <f>(1.8+2.4)/2</f>
        <v>2.1</v>
      </c>
      <c r="G547" s="4">
        <v>27</v>
      </c>
      <c r="H547" s="4">
        <v>4</v>
      </c>
      <c r="I547" s="4"/>
      <c r="J547" s="4">
        <v>55</v>
      </c>
      <c r="K547" s="4"/>
      <c r="L547" s="4">
        <v>50</v>
      </c>
      <c r="M547" s="21">
        <f>1-AVERAGE(N547:R547)</f>
        <v>0.50296873496873507</v>
      </c>
      <c r="N547" s="20">
        <f>ABS($D$2-F547)/F547</f>
        <v>0.72380952380952379</v>
      </c>
      <c r="O547" s="20">
        <f>ABS($E$2-G547)/G547</f>
        <v>7.407407407407407E-2</v>
      </c>
      <c r="P547" s="20">
        <f>ABS($F$2-H547)/H547</f>
        <v>0.55000000000000004</v>
      </c>
      <c r="Q547" s="20">
        <f>ABS($H$2-J547)/J547</f>
        <v>0.62727272727272732</v>
      </c>
      <c r="R547" s="20">
        <f>ABS($J$2-L547)/L547</f>
        <v>0.51</v>
      </c>
    </row>
    <row r="548" spans="1:18" ht="15.75" customHeight="1" x14ac:dyDescent="0.2">
      <c r="A548">
        <v>387</v>
      </c>
      <c r="B548" s="9" t="s">
        <v>304</v>
      </c>
      <c r="E548" s="6" t="s">
        <v>40</v>
      </c>
      <c r="F548" s="3">
        <f>(1.5+2.6)/2</f>
        <v>2.0499999999999998</v>
      </c>
      <c r="G548" s="3">
        <f>(42+58)/2</f>
        <v>50</v>
      </c>
      <c r="H548" s="3">
        <f>(3+3.8)/2</f>
        <v>3.4</v>
      </c>
      <c r="I548" s="3"/>
      <c r="J548" s="3">
        <f>(20+28)/2</f>
        <v>24</v>
      </c>
      <c r="K548" s="3"/>
      <c r="L548" s="3">
        <f>(49.5+60)/2</f>
        <v>54.75</v>
      </c>
      <c r="M548" s="21">
        <f>1-AVERAGE(N548:R548)</f>
        <v>0.50291373007605977</v>
      </c>
      <c r="N548" s="20">
        <f>ABS($D$2-F548)/F548</f>
        <v>0.71707317073170729</v>
      </c>
      <c r="O548" s="20">
        <f>ABS($E$2-G548)/G548</f>
        <v>0.42</v>
      </c>
      <c r="P548" s="20">
        <f>ABS($F$2-H548)/H548</f>
        <v>0.82352941176470595</v>
      </c>
      <c r="Q548" s="20">
        <f>ABS($H$2-J548)/J548</f>
        <v>0.14583333333333334</v>
      </c>
      <c r="R548" s="20">
        <f>ABS($J$2-L548)/L548</f>
        <v>0.37899543378995432</v>
      </c>
    </row>
    <row r="549" spans="1:18" ht="15.75" customHeight="1" x14ac:dyDescent="0.2">
      <c r="A549">
        <v>239</v>
      </c>
      <c r="B549" s="9" t="s">
        <v>201</v>
      </c>
      <c r="E549" s="6" t="s">
        <v>40</v>
      </c>
      <c r="F549" s="3">
        <v>0.96</v>
      </c>
      <c r="G549" s="3">
        <v>15</v>
      </c>
      <c r="H549" s="3">
        <v>4.5999999999999996</v>
      </c>
      <c r="I549" s="3"/>
      <c r="J549" s="3">
        <v>50</v>
      </c>
      <c r="K549" s="3"/>
      <c r="L549" s="3">
        <v>97</v>
      </c>
      <c r="M549" s="21">
        <f>1-AVERAGE(N549:R549)</f>
        <v>0.5022715523681458</v>
      </c>
      <c r="N549" s="20">
        <f>ABS($D$2-F549)/F549</f>
        <v>0.39583333333333326</v>
      </c>
      <c r="O549" s="20">
        <f>ABS($E$2-G549)/G549</f>
        <v>0.93333333333333335</v>
      </c>
      <c r="P549" s="20">
        <f>ABS($F$2-H549)/H549</f>
        <v>0.3478260869565219</v>
      </c>
      <c r="Q549" s="20">
        <f>ABS($H$2-J549)/J549</f>
        <v>0.59</v>
      </c>
      <c r="R549" s="20">
        <f>ABS($J$2-L549)/L549</f>
        <v>0.22164948453608246</v>
      </c>
    </row>
    <row r="550" spans="1:18" ht="15.75" customHeight="1" x14ac:dyDescent="0.2">
      <c r="A550">
        <v>732</v>
      </c>
      <c r="B550" s="1" t="s">
        <v>584</v>
      </c>
      <c r="C550" s="1"/>
      <c r="D550" s="2"/>
      <c r="E550" s="6" t="s">
        <v>495</v>
      </c>
      <c r="F550" s="1">
        <v>0.8</v>
      </c>
      <c r="G550" s="4">
        <v>19</v>
      </c>
      <c r="H550" s="4">
        <v>5.2</v>
      </c>
      <c r="I550" s="4"/>
      <c r="J550" s="4">
        <v>8.4</v>
      </c>
      <c r="K550" s="4"/>
      <c r="L550" s="4">
        <v>80</v>
      </c>
      <c r="M550" s="21">
        <f>1-AVERAGE(N550:R550)</f>
        <v>0.50193006554848663</v>
      </c>
      <c r="N550" s="20">
        <f>ABS($D$2-F550)/F550</f>
        <v>0.27499999999999997</v>
      </c>
      <c r="O550" s="20">
        <f>ABS($E$2-G550)/G550</f>
        <v>0.52631578947368418</v>
      </c>
      <c r="P550" s="20">
        <f>ABS($F$2-H550)/H550</f>
        <v>0.19230769230769229</v>
      </c>
      <c r="Q550" s="20">
        <f>ABS($H$2-J550)/J550</f>
        <v>1.4404761904761905</v>
      </c>
      <c r="R550" s="20">
        <f>ABS($J$2-L550)/L550</f>
        <v>5.6250000000000001E-2</v>
      </c>
    </row>
    <row r="551" spans="1:18" ht="15.75" customHeight="1" x14ac:dyDescent="0.2">
      <c r="A551">
        <v>373</v>
      </c>
      <c r="B551" s="9" t="s">
        <v>291</v>
      </c>
      <c r="E551" s="6" t="s">
        <v>41</v>
      </c>
      <c r="F551" s="3">
        <v>1.3</v>
      </c>
      <c r="G551" s="3">
        <f>(30+35)/2</f>
        <v>32.5</v>
      </c>
      <c r="H551" s="3">
        <f>(7+8)/2</f>
        <v>7.5</v>
      </c>
      <c r="I551" s="3"/>
      <c r="J551" s="3">
        <f>(9+10)/2</f>
        <v>9.5</v>
      </c>
      <c r="K551" s="3"/>
      <c r="L551" s="3"/>
      <c r="M551" s="21">
        <f>1-AVERAGE(N551:R551)</f>
        <v>0.50180836707152499</v>
      </c>
      <c r="N551" s="20">
        <f>ABS($D$2-F551)/F551</f>
        <v>0.55384615384615377</v>
      </c>
      <c r="O551" s="20">
        <f>ABS($E$2-G551)/G551</f>
        <v>0.1076923076923077</v>
      </c>
      <c r="P551" s="20">
        <f>ABS($F$2-H551)/H551</f>
        <v>0.17333333333333331</v>
      </c>
      <c r="Q551" s="20">
        <f>ABS($H$2-J551)/J551</f>
        <v>1.1578947368421053</v>
      </c>
      <c r="R551" s="20"/>
    </row>
    <row r="552" spans="1:18" ht="15.75" customHeight="1" x14ac:dyDescent="0.2">
      <c r="A552">
        <v>787</v>
      </c>
      <c r="B552" s="6" t="s">
        <v>618</v>
      </c>
      <c r="C552" s="6" t="s">
        <v>619</v>
      </c>
      <c r="D552" s="7"/>
      <c r="E552" s="6" t="s">
        <v>495</v>
      </c>
      <c r="F552" s="1">
        <v>1.5</v>
      </c>
      <c r="G552" s="4">
        <v>35</v>
      </c>
      <c r="H552" s="4">
        <v>4.3</v>
      </c>
      <c r="I552" s="4"/>
      <c r="J552" s="4">
        <v>60</v>
      </c>
      <c r="K552" s="4"/>
      <c r="L552" s="4">
        <v>47</v>
      </c>
      <c r="M552" s="21">
        <f>1-AVERAGE(N552:R552)</f>
        <v>0.50173226361301571</v>
      </c>
      <c r="N552" s="20">
        <f>ABS($D$2-F552)/F552</f>
        <v>0.61333333333333329</v>
      </c>
      <c r="O552" s="20">
        <f>ABS($E$2-G552)/G552</f>
        <v>0.17142857142857143</v>
      </c>
      <c r="P552" s="20">
        <f>ABS($F$2-H552)/H552</f>
        <v>0.44186046511627919</v>
      </c>
      <c r="Q552" s="20">
        <f>ABS($H$2-J552)/J552</f>
        <v>0.65833333333333333</v>
      </c>
      <c r="R552" s="20">
        <f>ABS($J$2-L552)/L552</f>
        <v>0.6063829787234043</v>
      </c>
    </row>
    <row r="553" spans="1:18" ht="15.75" customHeight="1" x14ac:dyDescent="0.2">
      <c r="A553">
        <v>482</v>
      </c>
      <c r="B553" s="9" t="s">
        <v>381</v>
      </c>
      <c r="E553" s="6" t="s">
        <v>40</v>
      </c>
      <c r="F553" s="3">
        <v>0.9</v>
      </c>
      <c r="G553" s="3">
        <v>32</v>
      </c>
      <c r="H553" s="3">
        <v>5.2</v>
      </c>
      <c r="I553" s="3"/>
      <c r="J553" s="3">
        <v>35</v>
      </c>
      <c r="K553" s="3"/>
      <c r="L553" s="3">
        <v>31</v>
      </c>
      <c r="M553" s="21">
        <f>1-AVERAGE(N553:R553)</f>
        <v>0.50172343337665914</v>
      </c>
      <c r="N553" s="20">
        <f>ABS($D$2-F553)/F553</f>
        <v>0.35555555555555551</v>
      </c>
      <c r="O553" s="20">
        <f>ABS($E$2-G553)/G553</f>
        <v>9.375E-2</v>
      </c>
      <c r="P553" s="20">
        <f>ABS($F$2-H553)/H553</f>
        <v>0.19230769230769229</v>
      </c>
      <c r="Q553" s="20">
        <f>ABS($H$2-J553)/J553</f>
        <v>0.41428571428571431</v>
      </c>
      <c r="R553" s="20">
        <f>ABS($J$2-L553)/L553</f>
        <v>1.435483870967742</v>
      </c>
    </row>
    <row r="554" spans="1:18" ht="15.75" customHeight="1" x14ac:dyDescent="0.2">
      <c r="A554">
        <v>852</v>
      </c>
      <c r="B554" s="1" t="s">
        <v>683</v>
      </c>
      <c r="C554" s="1"/>
      <c r="D554" s="2"/>
      <c r="E554" s="6" t="s">
        <v>495</v>
      </c>
      <c r="F554" s="1">
        <v>2.2000000000000002</v>
      </c>
      <c r="G554" s="4">
        <v>25</v>
      </c>
      <c r="H554" s="4">
        <v>4.0999999999999996</v>
      </c>
      <c r="I554" s="4"/>
      <c r="J554" s="4">
        <v>60</v>
      </c>
      <c r="K554" s="4"/>
      <c r="L554" s="4">
        <v>53</v>
      </c>
      <c r="M554" s="21">
        <f>1-AVERAGE(N554:R554)</f>
        <v>0.50171592129300369</v>
      </c>
      <c r="N554" s="20">
        <f>ABS($D$2-F554)/F554</f>
        <v>0.73636363636363633</v>
      </c>
      <c r="O554" s="20">
        <f>ABS($E$2-G554)/G554</f>
        <v>0.16</v>
      </c>
      <c r="P554" s="20">
        <f>ABS($F$2-H554)/H554</f>
        <v>0.51219512195121963</v>
      </c>
      <c r="Q554" s="20">
        <f>ABS($H$2-J554)/J554</f>
        <v>0.65833333333333333</v>
      </c>
      <c r="R554" s="20">
        <f>ABS($J$2-L554)/L554</f>
        <v>0.42452830188679247</v>
      </c>
    </row>
    <row r="555" spans="1:18" ht="15.75" customHeight="1" x14ac:dyDescent="0.2">
      <c r="A555">
        <v>511</v>
      </c>
      <c r="B555" s="9" t="s">
        <v>401</v>
      </c>
      <c r="E555" s="6" t="s">
        <v>40</v>
      </c>
      <c r="F555" s="3">
        <v>1.1000000000000001</v>
      </c>
      <c r="G555" s="3">
        <v>23</v>
      </c>
      <c r="H555" s="3">
        <v>3.4</v>
      </c>
      <c r="I555" s="3"/>
      <c r="J555" s="3">
        <v>47</v>
      </c>
      <c r="K555" s="3"/>
      <c r="L555" s="3">
        <v>55</v>
      </c>
      <c r="M555" s="21">
        <f>1-AVERAGE(N555:R555)</f>
        <v>0.50126333806586298</v>
      </c>
      <c r="N555" s="20">
        <f>ABS($D$2-F555)/F555</f>
        <v>0.47272727272727272</v>
      </c>
      <c r="O555" s="20">
        <f>ABS($E$2-G555)/G555</f>
        <v>0.2608695652173913</v>
      </c>
      <c r="P555" s="20">
        <f>ABS($F$2-H555)/H555</f>
        <v>0.82352941176470595</v>
      </c>
      <c r="Q555" s="20">
        <f>ABS($H$2-J555)/J555</f>
        <v>0.56382978723404253</v>
      </c>
      <c r="R555" s="20">
        <f>ABS($J$2-L555)/L555</f>
        <v>0.37272727272727274</v>
      </c>
    </row>
    <row r="556" spans="1:18" ht="15.75" customHeight="1" x14ac:dyDescent="0.2">
      <c r="A556">
        <v>155</v>
      </c>
      <c r="B556" s="1" t="s">
        <v>134</v>
      </c>
      <c r="C556" s="1" t="s">
        <v>135</v>
      </c>
      <c r="D556" s="2"/>
      <c r="E556" s="6" t="s">
        <v>41</v>
      </c>
      <c r="F556" s="3">
        <f>(0.79+0.89)/2</f>
        <v>0.84000000000000008</v>
      </c>
      <c r="G556" s="3">
        <f>(17+20)/2</f>
        <v>18.5</v>
      </c>
      <c r="H556" s="3">
        <f>(6.7+8.2)/2</f>
        <v>7.4499999999999993</v>
      </c>
      <c r="I556" s="3"/>
      <c r="J556" s="3">
        <f>(9+12)/2</f>
        <v>10.5</v>
      </c>
      <c r="K556" s="3"/>
      <c r="L556" s="3"/>
      <c r="M556" s="21">
        <f>1-AVERAGE(N556:R556)</f>
        <v>0.50068560890708547</v>
      </c>
      <c r="N556" s="20">
        <f>ABS($D$2-F556)/F556</f>
        <v>0.30952380952380948</v>
      </c>
      <c r="O556" s="20">
        <f>ABS($E$2-G556)/G556</f>
        <v>0.56756756756756754</v>
      </c>
      <c r="P556" s="20">
        <f>ABS($F$2-H556)/H556</f>
        <v>0.16778523489932876</v>
      </c>
      <c r="Q556" s="20">
        <f>ABS($H$2-J556)/J556</f>
        <v>0.95238095238095233</v>
      </c>
      <c r="R556" s="20"/>
    </row>
    <row r="557" spans="1:18" ht="15.75" customHeight="1" x14ac:dyDescent="0.2">
      <c r="A557">
        <v>420</v>
      </c>
      <c r="B557" s="9" t="s">
        <v>333</v>
      </c>
      <c r="E557" s="6" t="s">
        <v>40</v>
      </c>
      <c r="F557" s="3">
        <v>1.2</v>
      </c>
      <c r="G557" s="3">
        <v>40</v>
      </c>
      <c r="H557" s="3">
        <v>4.5</v>
      </c>
      <c r="I557" s="3"/>
      <c r="J557" s="3">
        <v>59</v>
      </c>
      <c r="K557" s="3"/>
      <c r="L557" s="3">
        <v>45</v>
      </c>
      <c r="M557" s="21">
        <f>1-AVERAGE(N557:R557)</f>
        <v>0.5000470809792843</v>
      </c>
      <c r="N557" s="20">
        <f>ABS($D$2-F557)/F557</f>
        <v>0.51666666666666661</v>
      </c>
      <c r="O557" s="20">
        <f>ABS($E$2-G557)/G557</f>
        <v>0.27500000000000002</v>
      </c>
      <c r="P557" s="20">
        <f>ABS($F$2-H557)/H557</f>
        <v>0.37777777777777782</v>
      </c>
      <c r="Q557" s="20">
        <f>ABS($H$2-J557)/J557</f>
        <v>0.65254237288135597</v>
      </c>
      <c r="R557" s="20">
        <f>ABS($J$2-L557)/L557</f>
        <v>0.67777777777777781</v>
      </c>
    </row>
    <row r="558" spans="1:18" ht="15.75" customHeight="1" x14ac:dyDescent="0.2">
      <c r="A558">
        <v>400</v>
      </c>
      <c r="B558" s="9" t="s">
        <v>320</v>
      </c>
      <c r="E558" s="6" t="s">
        <v>40</v>
      </c>
      <c r="F558" s="3">
        <f>(2.07+3.3)/2</f>
        <v>2.6849999999999996</v>
      </c>
      <c r="G558" s="3">
        <f>(20+37)/2</f>
        <v>28.5</v>
      </c>
      <c r="H558" s="3">
        <f>(4.5+5.1)/2</f>
        <v>4.8</v>
      </c>
      <c r="I558" s="3"/>
      <c r="J558" s="3">
        <f>(8.4+15)/2</f>
        <v>11.7</v>
      </c>
      <c r="K558" s="3"/>
      <c r="L558" s="3">
        <f>(41+50)/2</f>
        <v>45.5</v>
      </c>
      <c r="M558" s="21">
        <f>1-AVERAGE(N558:R558)</f>
        <v>0.49906539195718858</v>
      </c>
      <c r="N558" s="20">
        <f>ABS($D$2-F558)/F558</f>
        <v>0.78398510242085651</v>
      </c>
      <c r="O558" s="20">
        <f>ABS($E$2-G558)/G558</f>
        <v>1.7543859649122806E-2</v>
      </c>
      <c r="P558" s="20">
        <f>ABS($F$2-H558)/H558</f>
        <v>0.29166666666666674</v>
      </c>
      <c r="Q558" s="20">
        <f>ABS($H$2-J558)/J558</f>
        <v>0.75213675213675224</v>
      </c>
      <c r="R558" s="20">
        <f>ABS($J$2-L558)/L558</f>
        <v>0.65934065934065933</v>
      </c>
    </row>
    <row r="559" spans="1:18" ht="15.75" customHeight="1" x14ac:dyDescent="0.2">
      <c r="A559">
        <v>240</v>
      </c>
      <c r="B559" s="9" t="s">
        <v>201</v>
      </c>
      <c r="E559" s="6" t="s">
        <v>41</v>
      </c>
      <c r="F559" s="3">
        <v>0.64</v>
      </c>
      <c r="G559" s="3">
        <v>19</v>
      </c>
      <c r="H559" s="3">
        <v>3.7</v>
      </c>
      <c r="I559" s="3"/>
      <c r="J559" s="3">
        <v>12</v>
      </c>
      <c r="K559" s="3"/>
      <c r="L559" s="3"/>
      <c r="M559" s="21">
        <f>1-AVERAGE(N559:R559)</f>
        <v>0.49898130037932675</v>
      </c>
      <c r="N559" s="20">
        <f>ABS($D$2-F559)/F559</f>
        <v>9.3749999999999903E-2</v>
      </c>
      <c r="O559" s="20">
        <f>ABS($E$2-G559)/G559</f>
        <v>0.52631578947368418</v>
      </c>
      <c r="P559" s="20">
        <f>ABS($F$2-H559)/H559</f>
        <v>0.67567567567567566</v>
      </c>
      <c r="Q559" s="20">
        <f>ABS($H$2-J559)/J559</f>
        <v>0.70833333333333337</v>
      </c>
      <c r="R559" s="20"/>
    </row>
    <row r="560" spans="1:18" ht="15.75" customHeight="1" x14ac:dyDescent="0.2">
      <c r="A560">
        <v>730</v>
      </c>
      <c r="B560" s="1" t="s">
        <v>581</v>
      </c>
      <c r="C560" s="1" t="s">
        <v>582</v>
      </c>
      <c r="D560" s="2"/>
      <c r="E560" s="6" t="s">
        <v>495</v>
      </c>
      <c r="F560" s="1">
        <v>0.52</v>
      </c>
      <c r="G560" s="4">
        <v>11</v>
      </c>
      <c r="H560" s="4">
        <v>4.3</v>
      </c>
      <c r="I560" s="4"/>
      <c r="J560" s="4">
        <v>23</v>
      </c>
      <c r="K560" s="4"/>
      <c r="L560" s="4">
        <v>95</v>
      </c>
      <c r="M560" s="21">
        <f>1-AVERAGE(N560:R560)</f>
        <v>0.49848649461336381</v>
      </c>
      <c r="N560" s="20">
        <f>ABS($D$2-F560)/F560</f>
        <v>0.11538461538461549</v>
      </c>
      <c r="O560" s="20">
        <f>ABS($E$2-G560)/G560</f>
        <v>1.6363636363636365</v>
      </c>
      <c r="P560" s="20">
        <f>ABS($F$2-H560)/H560</f>
        <v>0.44186046511627919</v>
      </c>
      <c r="Q560" s="20">
        <f>ABS($H$2-J560)/J560</f>
        <v>0.10869565217391304</v>
      </c>
      <c r="R560" s="20">
        <f>ABS($J$2-L560)/L560</f>
        <v>0.20526315789473684</v>
      </c>
    </row>
    <row r="561" spans="1:18" ht="15.75" customHeight="1" x14ac:dyDescent="0.2">
      <c r="A561">
        <v>881</v>
      </c>
      <c r="B561" s="1" t="s">
        <v>704</v>
      </c>
      <c r="C561" s="1"/>
      <c r="D561" s="2"/>
      <c r="E561" s="6" t="s">
        <v>495</v>
      </c>
      <c r="F561" s="1">
        <v>1.3</v>
      </c>
      <c r="G561" s="4">
        <v>40</v>
      </c>
      <c r="H561" s="4">
        <v>3.7</v>
      </c>
      <c r="I561" s="4"/>
      <c r="J561" s="4">
        <v>64</v>
      </c>
      <c r="K561" s="4"/>
      <c r="L561" s="4">
        <v>57</v>
      </c>
      <c r="M561" s="21">
        <f>1-AVERAGE(N561:R561)</f>
        <v>0.49824585339387972</v>
      </c>
      <c r="N561" s="20">
        <f>ABS($D$2-F561)/F561</f>
        <v>0.55384615384615377</v>
      </c>
      <c r="O561" s="20">
        <f>ABS($E$2-G561)/G561</f>
        <v>0.27500000000000002</v>
      </c>
      <c r="P561" s="20">
        <f>ABS($F$2-H561)/H561</f>
        <v>0.67567567567567566</v>
      </c>
      <c r="Q561" s="20">
        <f>ABS($H$2-J561)/J561</f>
        <v>0.6796875</v>
      </c>
      <c r="R561" s="20">
        <f>ABS($J$2-L561)/L561</f>
        <v>0.32456140350877194</v>
      </c>
    </row>
    <row r="562" spans="1:18" ht="15.75" customHeight="1" x14ac:dyDescent="0.2">
      <c r="A562">
        <v>230</v>
      </c>
      <c r="B562" s="9" t="s">
        <v>194</v>
      </c>
      <c r="C562" s="9" t="s">
        <v>195</v>
      </c>
      <c r="E562" s="6" t="s">
        <v>41</v>
      </c>
      <c r="F562" s="3">
        <f>(0.61+0.74)/2</f>
        <v>0.67500000000000004</v>
      </c>
      <c r="G562" s="3">
        <f>(19+30)/2</f>
        <v>24.5</v>
      </c>
      <c r="H562" s="3">
        <f>(3.6+4.3)/2</f>
        <v>3.95</v>
      </c>
      <c r="I562" s="3"/>
      <c r="J562" s="3">
        <f>(7.4+12)/2</f>
        <v>9.6999999999999993</v>
      </c>
      <c r="K562" s="3"/>
      <c r="L562" s="3"/>
      <c r="M562" s="21">
        <f>1-AVERAGE(N562:R562)</f>
        <v>0.49814086871281926</v>
      </c>
      <c r="N562" s="20">
        <f>ABS($D$2-F562)/F562</f>
        <v>0.14074074074074069</v>
      </c>
      <c r="O562" s="20">
        <f>ABS($E$2-G562)/G562</f>
        <v>0.18367346938775511</v>
      </c>
      <c r="P562" s="20">
        <f>ABS($F$2-H562)/H562</f>
        <v>0.56962025316455689</v>
      </c>
      <c r="Q562" s="20">
        <f>ABS($H$2-J562)/J562</f>
        <v>1.1134020618556704</v>
      </c>
      <c r="R562" s="20"/>
    </row>
    <row r="563" spans="1:18" ht="15.75" customHeight="1" x14ac:dyDescent="0.2">
      <c r="A563">
        <v>442</v>
      </c>
      <c r="B563" s="9" t="s">
        <v>349</v>
      </c>
      <c r="E563" s="6" t="s">
        <v>40</v>
      </c>
      <c r="F563" s="3">
        <f>(1.4+2)/2</f>
        <v>1.7</v>
      </c>
      <c r="G563" s="3">
        <v>20</v>
      </c>
      <c r="H563" s="3">
        <v>5</v>
      </c>
      <c r="I563" s="3"/>
      <c r="J563" s="3">
        <v>50</v>
      </c>
      <c r="K563" s="3"/>
      <c r="L563" s="3">
        <v>48</v>
      </c>
      <c r="M563" s="21">
        <f>1-AVERAGE(N563:R563)</f>
        <v>0.49765196078431373</v>
      </c>
      <c r="N563" s="20">
        <f>ABS($D$2-F563)/F563</f>
        <v>0.6588235294117647</v>
      </c>
      <c r="O563" s="20">
        <f>ABS($E$2-G563)/G563</f>
        <v>0.45</v>
      </c>
      <c r="P563" s="20">
        <f>ABS($F$2-H563)/H563</f>
        <v>0.24000000000000005</v>
      </c>
      <c r="Q563" s="20">
        <f>ABS($H$2-J563)/J563</f>
        <v>0.59</v>
      </c>
      <c r="R563" s="20">
        <f>ABS($J$2-L563)/L563</f>
        <v>0.57291666666666663</v>
      </c>
    </row>
    <row r="564" spans="1:18" ht="15.75" customHeight="1" x14ac:dyDescent="0.2">
      <c r="A564">
        <v>103</v>
      </c>
      <c r="B564" s="1" t="s">
        <v>103</v>
      </c>
      <c r="C564" s="1"/>
      <c r="D564" s="2"/>
      <c r="E564" s="6" t="s">
        <v>41</v>
      </c>
      <c r="F564" s="3">
        <f>(0.63+0.98)/2</f>
        <v>0.80499999999999994</v>
      </c>
      <c r="G564" s="3">
        <f>(96+163)/2</f>
        <v>129.5</v>
      </c>
      <c r="H564" s="3">
        <f>(3.9+7.4)/2</f>
        <v>5.65</v>
      </c>
      <c r="I564" s="3"/>
      <c r="J564" s="3">
        <f>(9.3+12.7)/2</f>
        <v>11</v>
      </c>
      <c r="K564" s="3"/>
      <c r="L564" s="3"/>
      <c r="M564" s="21">
        <f>1-AVERAGE(N564:R564)</f>
        <v>0.49586340549210883</v>
      </c>
      <c r="N564" s="20">
        <f>ABS($D$2-F564)/F564</f>
        <v>0.27950310559006197</v>
      </c>
      <c r="O564" s="20">
        <f>ABS($E$2-G564)/G564</f>
        <v>0.77606177606177607</v>
      </c>
      <c r="P564" s="20">
        <f>ABS($F$2-H564)/H564</f>
        <v>9.7345132743362789E-2</v>
      </c>
      <c r="Q564" s="20">
        <f>ABS($H$2-J564)/J564</f>
        <v>0.86363636363636365</v>
      </c>
      <c r="R564" s="20"/>
    </row>
    <row r="565" spans="1:18" ht="15.75" customHeight="1" x14ac:dyDescent="0.2">
      <c r="A565">
        <v>50</v>
      </c>
      <c r="B565" s="1" t="s">
        <v>69</v>
      </c>
      <c r="C565" s="1"/>
      <c r="D565" s="2"/>
      <c r="E565" s="6" t="s">
        <v>40</v>
      </c>
      <c r="F565" s="3">
        <v>3</v>
      </c>
      <c r="G565" s="3">
        <v>48</v>
      </c>
      <c r="H565" s="3">
        <v>11</v>
      </c>
      <c r="I565" s="3"/>
      <c r="J565" s="3">
        <v>36</v>
      </c>
      <c r="K565" s="3"/>
      <c r="L565" s="3">
        <v>52</v>
      </c>
      <c r="M565" s="21">
        <f>1-AVERAGE(N565:R565)</f>
        <v>0.49573154623154625</v>
      </c>
      <c r="N565" s="20">
        <f>ABS($D$2-F565)/F565</f>
        <v>0.80666666666666664</v>
      </c>
      <c r="O565" s="20">
        <f>ABS($E$2-G565)/G565</f>
        <v>0.39583333333333331</v>
      </c>
      <c r="P565" s="20">
        <f>ABS($F$2-H565)/H565</f>
        <v>0.43636363636363634</v>
      </c>
      <c r="Q565" s="20">
        <f>ABS($H$2-J565)/J565</f>
        <v>0.43055555555555558</v>
      </c>
      <c r="R565" s="20">
        <f>ABS($J$2-L565)/L565</f>
        <v>0.45192307692307693</v>
      </c>
    </row>
    <row r="566" spans="1:18" ht="15.75" customHeight="1" x14ac:dyDescent="0.2">
      <c r="A566">
        <v>737</v>
      </c>
      <c r="B566" s="1" t="s">
        <v>588</v>
      </c>
      <c r="C566" s="1"/>
      <c r="D566" s="2"/>
      <c r="E566" s="6" t="s">
        <v>495</v>
      </c>
      <c r="F566" s="1">
        <v>0.4</v>
      </c>
      <c r="G566" s="4">
        <v>17</v>
      </c>
      <c r="H566" s="4">
        <v>3.6</v>
      </c>
      <c r="I566" s="4"/>
      <c r="J566" s="4">
        <v>13</v>
      </c>
      <c r="K566" s="4"/>
      <c r="L566" s="4">
        <v>81</v>
      </c>
      <c r="M566" s="21">
        <f>1-AVERAGE(N566:R566)</f>
        <v>0.4954142226691246</v>
      </c>
      <c r="N566" s="20">
        <f>ABS($D$2-F566)/F566</f>
        <v>0.45000000000000012</v>
      </c>
      <c r="O566" s="20">
        <f>ABS($E$2-G566)/G566</f>
        <v>0.70588235294117652</v>
      </c>
      <c r="P566" s="20">
        <f>ABS($F$2-H566)/H566</f>
        <v>0.72222222222222221</v>
      </c>
      <c r="Q566" s="20">
        <f>ABS($H$2-J566)/J566</f>
        <v>0.57692307692307687</v>
      </c>
      <c r="R566" s="20">
        <f>ABS($J$2-L566)/L566</f>
        <v>6.7901234567901231E-2</v>
      </c>
    </row>
    <row r="567" spans="1:18" ht="15.75" customHeight="1" x14ac:dyDescent="0.2">
      <c r="A567">
        <v>501</v>
      </c>
      <c r="B567" s="9" t="s">
        <v>394</v>
      </c>
      <c r="E567" s="6" t="s">
        <v>40</v>
      </c>
      <c r="F567" s="3">
        <f>(1.6+2.1)/2</f>
        <v>1.85</v>
      </c>
      <c r="G567" s="3">
        <f>(30+41)/2</f>
        <v>35.5</v>
      </c>
      <c r="H567" s="3">
        <f>(3.2+4.1)/2</f>
        <v>3.65</v>
      </c>
      <c r="I567" s="3"/>
      <c r="J567" s="3">
        <f>(72+90)/2</f>
        <v>81</v>
      </c>
      <c r="K567" s="3"/>
      <c r="L567" s="3">
        <f>(60+65)/2</f>
        <v>62.5</v>
      </c>
      <c r="M567" s="21">
        <f>1-AVERAGE(N567:R567)</f>
        <v>0.49537424094620053</v>
      </c>
      <c r="N567" s="20">
        <f>ABS($D$2-F567)/F567</f>
        <v>0.68648648648648647</v>
      </c>
      <c r="O567" s="20">
        <f>ABS($E$2-G567)/G567</f>
        <v>0.18309859154929578</v>
      </c>
      <c r="P567" s="20">
        <f>ABS($F$2-H567)/H567</f>
        <v>0.6986301369863015</v>
      </c>
      <c r="Q567" s="20">
        <f>ABS($H$2-J567)/J567</f>
        <v>0.74691358024691357</v>
      </c>
      <c r="R567" s="20">
        <f>ABS($J$2-L567)/L567</f>
        <v>0.20799999999999999</v>
      </c>
    </row>
    <row r="568" spans="1:18" ht="15.75" customHeight="1" x14ac:dyDescent="0.2">
      <c r="A568">
        <v>364</v>
      </c>
      <c r="B568" s="9" t="s">
        <v>287</v>
      </c>
      <c r="C568" s="9" t="s">
        <v>288</v>
      </c>
      <c r="E568" s="6" t="s">
        <v>40</v>
      </c>
      <c r="F568" s="3">
        <v>0.74</v>
      </c>
      <c r="G568" s="3">
        <f>(22+25)/2</f>
        <v>23.5</v>
      </c>
      <c r="H568" s="3">
        <f>(6+6.5)/2</f>
        <v>6.25</v>
      </c>
      <c r="I568" s="3"/>
      <c r="J568" s="3">
        <f>(7.5+8.5)/2</f>
        <v>8</v>
      </c>
      <c r="K568" s="3"/>
      <c r="L568" s="3"/>
      <c r="M568" s="21">
        <f>1-AVERAGE(N568:R568)</f>
        <v>0.49481030764807366</v>
      </c>
      <c r="N568" s="20">
        <f>ABS($D$2-F568)/F568</f>
        <v>0.21621621621621612</v>
      </c>
      <c r="O568" s="20">
        <f>ABS($E$2-G568)/G568</f>
        <v>0.23404255319148937</v>
      </c>
      <c r="P568" s="20">
        <f>ABS($F$2-H568)/H568</f>
        <v>7.9999999999999724E-3</v>
      </c>
      <c r="Q568" s="20">
        <f>ABS($H$2-J568)/J568</f>
        <v>1.5625</v>
      </c>
      <c r="R568" s="20"/>
    </row>
    <row r="569" spans="1:18" ht="15.75" customHeight="1" x14ac:dyDescent="0.2">
      <c r="A569">
        <v>914</v>
      </c>
      <c r="B569" s="1" t="s">
        <v>723</v>
      </c>
      <c r="C569" s="1" t="s">
        <v>724</v>
      </c>
      <c r="D569" s="2"/>
      <c r="E569" s="6" t="s">
        <v>495</v>
      </c>
      <c r="F569" s="1">
        <v>1.5</v>
      </c>
      <c r="G569" s="4">
        <v>37</v>
      </c>
      <c r="H569" s="4">
        <v>3.3</v>
      </c>
      <c r="I569" s="4"/>
      <c r="J569" s="4">
        <v>43</v>
      </c>
      <c r="K569" s="4"/>
      <c r="L569" s="4">
        <v>58</v>
      </c>
      <c r="M569" s="21">
        <f>1-AVERAGE(N569:R569)</f>
        <v>0.49333652395560978</v>
      </c>
      <c r="N569" s="20">
        <f>ABS($D$2-F569)/F569</f>
        <v>0.61333333333333329</v>
      </c>
      <c r="O569" s="20">
        <f>ABS($E$2-G569)/G569</f>
        <v>0.21621621621621623</v>
      </c>
      <c r="P569" s="20">
        <f>ABS($F$2-H569)/H569</f>
        <v>0.8787878787878789</v>
      </c>
      <c r="Q569" s="20">
        <f>ABS($H$2-J569)/J569</f>
        <v>0.52325581395348841</v>
      </c>
      <c r="R569" s="20">
        <f>ABS($J$2-L569)/L569</f>
        <v>0.30172413793103448</v>
      </c>
    </row>
    <row r="570" spans="1:18" ht="15.75" customHeight="1" x14ac:dyDescent="0.2">
      <c r="A570">
        <v>778</v>
      </c>
      <c r="B570" s="6" t="s">
        <v>610</v>
      </c>
      <c r="C570" s="6"/>
      <c r="D570" s="7"/>
      <c r="E570" s="6" t="s">
        <v>482</v>
      </c>
      <c r="F570" s="1">
        <v>2.2999999999999998</v>
      </c>
      <c r="G570" s="4">
        <v>41</v>
      </c>
      <c r="H570" s="4">
        <v>4.3</v>
      </c>
      <c r="I570" s="4"/>
      <c r="J570" s="4">
        <v>45</v>
      </c>
      <c r="K570" s="4"/>
      <c r="L570" s="4"/>
      <c r="M570" s="21">
        <f>1-AVERAGE(N570:R570)</f>
        <v>0.49329651916337158</v>
      </c>
      <c r="N570" s="20">
        <f>ABS($D$2-F570)/F570</f>
        <v>0.74782608695652164</v>
      </c>
      <c r="O570" s="20">
        <f>ABS($E$2-G570)/G570</f>
        <v>0.29268292682926828</v>
      </c>
      <c r="P570" s="20">
        <f>ABS($F$2-H570)/H570</f>
        <v>0.44186046511627919</v>
      </c>
      <c r="Q570" s="20">
        <f>ABS($H$2-J570)/J570</f>
        <v>0.5444444444444444</v>
      </c>
      <c r="R570" s="20"/>
    </row>
    <row r="571" spans="1:18" ht="15.75" customHeight="1" x14ac:dyDescent="0.2">
      <c r="A571">
        <v>898</v>
      </c>
      <c r="B571" s="1" t="s">
        <v>712</v>
      </c>
      <c r="C571" s="1"/>
      <c r="D571" s="2"/>
      <c r="E571" s="6" t="s">
        <v>495</v>
      </c>
      <c r="F571" s="1">
        <v>1.7</v>
      </c>
      <c r="G571" s="4">
        <v>36</v>
      </c>
      <c r="H571" s="4">
        <v>4.3</v>
      </c>
      <c r="I571" s="4"/>
      <c r="J571" s="4">
        <v>76</v>
      </c>
      <c r="K571" s="4"/>
      <c r="L571" s="4">
        <v>50</v>
      </c>
      <c r="M571" s="21">
        <f>1-AVERAGE(N571:R571)</f>
        <v>0.49292168062655506</v>
      </c>
      <c r="N571" s="20">
        <f>ABS($D$2-F571)/F571</f>
        <v>0.6588235294117647</v>
      </c>
      <c r="O571" s="20">
        <f>ABS($E$2-G571)/G571</f>
        <v>0.19444444444444445</v>
      </c>
      <c r="P571" s="20">
        <f>ABS($F$2-H571)/H571</f>
        <v>0.44186046511627919</v>
      </c>
      <c r="Q571" s="20">
        <f>ABS($H$2-J571)/J571</f>
        <v>0.73026315789473684</v>
      </c>
      <c r="R571" s="20">
        <f>ABS($J$2-L571)/L571</f>
        <v>0.51</v>
      </c>
    </row>
    <row r="572" spans="1:18" ht="15.75" customHeight="1" x14ac:dyDescent="0.2">
      <c r="A572">
        <v>736</v>
      </c>
      <c r="B572" s="1" t="s">
        <v>587</v>
      </c>
      <c r="C572" s="1"/>
      <c r="D572" s="2"/>
      <c r="E572" s="6" t="s">
        <v>495</v>
      </c>
      <c r="F572" s="1">
        <v>0.25</v>
      </c>
      <c r="G572" s="4">
        <v>21</v>
      </c>
      <c r="H572" s="4">
        <v>4.5</v>
      </c>
      <c r="I572" s="4"/>
      <c r="J572" s="4">
        <v>15</v>
      </c>
      <c r="K572" s="4"/>
      <c r="L572" s="4">
        <v>83</v>
      </c>
      <c r="M572" s="21">
        <f>1-AVERAGE(N572:R572)</f>
        <v>0.49284834576400838</v>
      </c>
      <c r="N572" s="20">
        <f>ABS($D$2-F572)/F572</f>
        <v>1.3200000000000003</v>
      </c>
      <c r="O572" s="20">
        <f>ABS($E$2-G572)/G572</f>
        <v>0.38095238095238093</v>
      </c>
      <c r="P572" s="20">
        <f>ABS($F$2-H572)/H572</f>
        <v>0.37777777777777782</v>
      </c>
      <c r="Q572" s="20">
        <f>ABS($H$2-J572)/J572</f>
        <v>0.36666666666666664</v>
      </c>
      <c r="R572" s="20">
        <f>ABS($J$2-L572)/L572</f>
        <v>9.036144578313253E-2</v>
      </c>
    </row>
    <row r="573" spans="1:18" ht="15.75" customHeight="1" x14ac:dyDescent="0.2">
      <c r="A573">
        <v>509</v>
      </c>
      <c r="B573" s="9" t="s">
        <v>399</v>
      </c>
      <c r="E573" s="6" t="s">
        <v>41</v>
      </c>
      <c r="F573" s="3">
        <f>(2.2+2.6)/2</f>
        <v>2.4000000000000004</v>
      </c>
      <c r="G573" s="3">
        <f>(28+34)/2</f>
        <v>31</v>
      </c>
      <c r="H573" s="3">
        <f>(4.1+4.6)/2</f>
        <v>4.3499999999999996</v>
      </c>
      <c r="I573" s="3"/>
      <c r="J573" s="3">
        <f>(10+13)/2</f>
        <v>11.5</v>
      </c>
      <c r="K573" s="10"/>
      <c r="L573" s="10"/>
      <c r="M573" s="21">
        <f>1-AVERAGE(N573:R573)</f>
        <v>0.49231362141509893</v>
      </c>
      <c r="N573" s="20">
        <f>ABS($D$2-F573)/F573</f>
        <v>0.7583333333333333</v>
      </c>
      <c r="O573" s="20">
        <f>ABS($E$2-G573)/G573</f>
        <v>6.4516129032258063E-2</v>
      </c>
      <c r="P573" s="20">
        <f>ABS($F$2-H573)/H573</f>
        <v>0.42528735632183923</v>
      </c>
      <c r="Q573" s="20">
        <f>ABS($H$2-J573)/J573</f>
        <v>0.78260869565217395</v>
      </c>
      <c r="R573" s="20"/>
    </row>
    <row r="574" spans="1:18" ht="15.75" customHeight="1" x14ac:dyDescent="0.2">
      <c r="A574">
        <v>777</v>
      </c>
      <c r="B574" s="6" t="s">
        <v>610</v>
      </c>
      <c r="C574" s="6"/>
      <c r="D574" s="7"/>
      <c r="E574" s="6" t="s">
        <v>495</v>
      </c>
      <c r="F574" s="1">
        <v>2.9</v>
      </c>
      <c r="G574" s="4">
        <v>58</v>
      </c>
      <c r="H574" s="4">
        <v>5.8</v>
      </c>
      <c r="I574" s="4"/>
      <c r="J574" s="4">
        <v>74</v>
      </c>
      <c r="K574" s="4"/>
      <c r="L574" s="4">
        <v>52</v>
      </c>
      <c r="M574" s="21">
        <f>1-AVERAGE(N574:R574)</f>
        <v>0.49122768657251403</v>
      </c>
      <c r="N574" s="20">
        <f>ABS($D$2-F574)/F574</f>
        <v>0.79999999999999993</v>
      </c>
      <c r="O574" s="20">
        <f>ABS($E$2-G574)/G574</f>
        <v>0.5</v>
      </c>
      <c r="P574" s="20">
        <f>ABS($F$2-H574)/H574</f>
        <v>6.8965517241379379E-2</v>
      </c>
      <c r="Q574" s="20">
        <f>ABS($H$2-J574)/J574</f>
        <v>0.72297297297297303</v>
      </c>
      <c r="R574" s="20">
        <f>ABS($J$2-L574)/L574</f>
        <v>0.45192307692307693</v>
      </c>
    </row>
    <row r="575" spans="1:18" ht="15.75" customHeight="1" x14ac:dyDescent="0.2">
      <c r="A575">
        <v>788</v>
      </c>
      <c r="B575" s="6" t="s">
        <v>620</v>
      </c>
      <c r="C575" s="6" t="s">
        <v>621</v>
      </c>
      <c r="D575" s="7"/>
      <c r="E575" s="6" t="s">
        <v>495</v>
      </c>
      <c r="F575" s="1">
        <v>1.7</v>
      </c>
      <c r="G575" s="1">
        <v>40</v>
      </c>
      <c r="H575" s="4">
        <v>4.5999999999999996</v>
      </c>
      <c r="I575" s="4"/>
      <c r="J575" s="4">
        <v>60</v>
      </c>
      <c r="K575" s="4"/>
      <c r="L575" s="4">
        <v>47</v>
      </c>
      <c r="M575" s="21">
        <f>1-AVERAGE(N575:R575)</f>
        <v>0.4907268143149951</v>
      </c>
      <c r="N575" s="20">
        <f>ABS($D$2-F575)/F575</f>
        <v>0.6588235294117647</v>
      </c>
      <c r="O575" s="20">
        <f>ABS($E$2-G575)/G575</f>
        <v>0.27500000000000002</v>
      </c>
      <c r="P575" s="20">
        <f>ABS($F$2-H575)/H575</f>
        <v>0.3478260869565219</v>
      </c>
      <c r="Q575" s="20">
        <f>ABS($H$2-J575)/J575</f>
        <v>0.65833333333333333</v>
      </c>
      <c r="R575" s="20">
        <f>ABS($J$2-L575)/L575</f>
        <v>0.6063829787234043</v>
      </c>
    </row>
    <row r="576" spans="1:18" ht="15.75" customHeight="1" x14ac:dyDescent="0.2">
      <c r="A576">
        <v>47</v>
      </c>
      <c r="B576" s="1" t="s">
        <v>67</v>
      </c>
      <c r="C576" s="1"/>
      <c r="D576" s="2"/>
      <c r="E576" s="6" t="s">
        <v>41</v>
      </c>
      <c r="F576" s="3">
        <f>(1.8+2.08)/2</f>
        <v>1.94</v>
      </c>
      <c r="G576" s="3">
        <f>(61+89)/2</f>
        <v>75</v>
      </c>
      <c r="H576" s="3">
        <f>(6.8+8.8)/2</f>
        <v>7.8000000000000007</v>
      </c>
      <c r="I576" s="3"/>
      <c r="J576" s="3">
        <f>(13+14)/2</f>
        <v>13.5</v>
      </c>
      <c r="K576" s="3"/>
      <c r="L576" s="3"/>
      <c r="M576" s="21">
        <f>1-AVERAGE(N576:R576)</f>
        <v>0.49049725379622289</v>
      </c>
      <c r="N576" s="20">
        <f>ABS($D$2-F576)/F576</f>
        <v>0.7010309278350515</v>
      </c>
      <c r="O576" s="20">
        <f>ABS($E$2-G576)/G576</f>
        <v>0.61333333333333329</v>
      </c>
      <c r="P576" s="20">
        <f>ABS($F$2-H576)/H576</f>
        <v>0.20512820512820518</v>
      </c>
      <c r="Q576" s="20">
        <f>ABS($H$2-J576)/J576</f>
        <v>0.51851851851851849</v>
      </c>
      <c r="R576" s="20"/>
    </row>
    <row r="577" spans="1:18" ht="15.75" customHeight="1" x14ac:dyDescent="0.2">
      <c r="A577">
        <v>195</v>
      </c>
      <c r="B577" s="1" t="s">
        <v>164</v>
      </c>
      <c r="C577" s="1" t="s">
        <v>165</v>
      </c>
      <c r="D577" s="2"/>
      <c r="E577" s="6" t="s">
        <v>40</v>
      </c>
      <c r="F577" s="3">
        <f>(0.78+1.1)/2</f>
        <v>0.94000000000000006</v>
      </c>
      <c r="G577" s="3">
        <f>(18+27)/2</f>
        <v>22.5</v>
      </c>
      <c r="H577" s="3">
        <f>(3.6+5.2)/2</f>
        <v>4.4000000000000004</v>
      </c>
      <c r="I577" s="3"/>
      <c r="J577" s="3">
        <f>(9+10)/2</f>
        <v>9.5</v>
      </c>
      <c r="K577" s="3"/>
      <c r="L577" s="3">
        <f>(57+58)/2</f>
        <v>57.5</v>
      </c>
      <c r="M577" s="21">
        <f>1-AVERAGE(N577:R577)</f>
        <v>0.48962065270259436</v>
      </c>
      <c r="N577" s="20">
        <f>ABS($D$2-F577)/F577</f>
        <v>0.38297872340425526</v>
      </c>
      <c r="O577" s="20">
        <f>ABS($E$2-G577)/G577</f>
        <v>0.28888888888888886</v>
      </c>
      <c r="P577" s="20">
        <f>ABS($F$2-H577)/H577</f>
        <v>0.40909090909090901</v>
      </c>
      <c r="Q577" s="20">
        <f>ABS($H$2-J577)/J577</f>
        <v>1.1578947368421053</v>
      </c>
      <c r="R577" s="20">
        <f>ABS($J$2-L577)/L577</f>
        <v>0.31304347826086959</v>
      </c>
    </row>
    <row r="578" spans="1:18" ht="15.75" customHeight="1" x14ac:dyDescent="0.2">
      <c r="A578">
        <v>216</v>
      </c>
      <c r="B578" s="1" t="s">
        <v>183</v>
      </c>
      <c r="C578" s="1" t="s">
        <v>184</v>
      </c>
      <c r="D578" s="2"/>
      <c r="E578" s="6" t="s">
        <v>41</v>
      </c>
      <c r="F578" s="3">
        <v>0.75</v>
      </c>
      <c r="G578" s="3">
        <v>17</v>
      </c>
      <c r="H578" s="3">
        <v>3.5</v>
      </c>
      <c r="I578" s="3"/>
      <c r="J578" s="3">
        <v>31</v>
      </c>
      <c r="K578" s="3"/>
      <c r="L578" s="3"/>
      <c r="M578" s="21">
        <f>1-AVERAGE(N578:R578)</f>
        <v>0.48932818288605762</v>
      </c>
      <c r="N578" s="20">
        <f>ABS($D$2-F578)/F578</f>
        <v>0.22666666666666657</v>
      </c>
      <c r="O578" s="20">
        <f>ABS($E$2-G578)/G578</f>
        <v>0.70588235294117652</v>
      </c>
      <c r="P578" s="20">
        <f>ABS($F$2-H578)/H578</f>
        <v>0.77142857142857146</v>
      </c>
      <c r="Q578" s="20">
        <f>ABS($H$2-J578)/J578</f>
        <v>0.33870967741935482</v>
      </c>
      <c r="R578" s="20"/>
    </row>
    <row r="579" spans="1:18" ht="15.75" customHeight="1" x14ac:dyDescent="0.2">
      <c r="A579">
        <v>845</v>
      </c>
      <c r="B579" s="1" t="s">
        <v>676</v>
      </c>
      <c r="C579" s="1" t="s">
        <v>677</v>
      </c>
      <c r="D579" s="2"/>
      <c r="E579" s="6" t="s">
        <v>482</v>
      </c>
      <c r="F579" s="1">
        <v>2.4</v>
      </c>
      <c r="G579" s="1">
        <v>59</v>
      </c>
      <c r="H579" s="1">
        <v>5.9</v>
      </c>
      <c r="I579" s="1"/>
      <c r="J579" s="1">
        <v>75</v>
      </c>
      <c r="K579" s="1"/>
      <c r="L579" s="1"/>
      <c r="M579" s="21">
        <f>1-AVERAGE(N579:R579)</f>
        <v>0.4889194915254238</v>
      </c>
      <c r="N579" s="20">
        <f>ABS($D$2-F579)/F579</f>
        <v>0.7583333333333333</v>
      </c>
      <c r="O579" s="20">
        <f>ABS($E$2-G579)/G579</f>
        <v>0.50847457627118642</v>
      </c>
      <c r="P579" s="20">
        <f>ABS($F$2-H579)/H579</f>
        <v>5.0847457627118613E-2</v>
      </c>
      <c r="Q579" s="20">
        <f>ABS($H$2-J579)/J579</f>
        <v>0.72666666666666668</v>
      </c>
      <c r="R579" s="20"/>
    </row>
    <row r="580" spans="1:18" ht="15.75" customHeight="1" x14ac:dyDescent="0.2">
      <c r="A580">
        <v>386</v>
      </c>
      <c r="B580" s="9" t="s">
        <v>302</v>
      </c>
      <c r="C580" s="9" t="s">
        <v>303</v>
      </c>
      <c r="E580" s="6" t="s">
        <v>41</v>
      </c>
      <c r="F580" s="3">
        <v>1.95</v>
      </c>
      <c r="G580" s="3">
        <v>45</v>
      </c>
      <c r="H580" s="3">
        <v>13</v>
      </c>
      <c r="I580" s="3"/>
      <c r="J580" s="3">
        <v>14</v>
      </c>
      <c r="K580" s="10"/>
      <c r="L580" s="10"/>
      <c r="M580" s="21">
        <f>1-AVERAGE(N580:R580)</f>
        <v>0.48862942612942606</v>
      </c>
      <c r="N580" s="20">
        <f>ABS($D$2-F580)/F580</f>
        <v>0.70256410256410251</v>
      </c>
      <c r="O580" s="20">
        <f>ABS($E$2-G580)/G580</f>
        <v>0.35555555555555557</v>
      </c>
      <c r="P580" s="20">
        <f>ABS($F$2-H580)/H580</f>
        <v>0.52307692307692311</v>
      </c>
      <c r="Q580" s="20">
        <f>ABS($H$2-J580)/J580</f>
        <v>0.4642857142857143</v>
      </c>
      <c r="R580" s="20"/>
    </row>
    <row r="581" spans="1:18" ht="15.75" customHeight="1" x14ac:dyDescent="0.2">
      <c r="A581">
        <v>933</v>
      </c>
      <c r="B581" s="1" t="s">
        <v>739</v>
      </c>
      <c r="C581" s="1" t="s">
        <v>740</v>
      </c>
      <c r="D581" s="2"/>
      <c r="E581" s="6" t="s">
        <v>495</v>
      </c>
      <c r="F581" s="1">
        <v>0.5</v>
      </c>
      <c r="G581" s="4">
        <f>(10+15)/2</f>
        <v>12.5</v>
      </c>
      <c r="H581" s="4">
        <v>3.7</v>
      </c>
      <c r="I581" s="4"/>
      <c r="J581" s="4">
        <v>19</v>
      </c>
      <c r="K581" s="4"/>
      <c r="L581" s="4">
        <v>57</v>
      </c>
      <c r="M581" s="21">
        <f>1-AVERAGE(N581:R581)</f>
        <v>0.48816311047889993</v>
      </c>
      <c r="N581" s="20">
        <f>ABS($D$2-F581)/F581</f>
        <v>0.16000000000000014</v>
      </c>
      <c r="O581" s="20">
        <f>ABS($E$2-G581)/G581</f>
        <v>1.32</v>
      </c>
      <c r="P581" s="20">
        <f>ABS($F$2-H581)/H581</f>
        <v>0.67567567567567566</v>
      </c>
      <c r="Q581" s="20">
        <f>ABS($H$2-J581)/J581</f>
        <v>7.8947368421052627E-2</v>
      </c>
      <c r="R581" s="20">
        <f>ABS($J$2-L581)/L581</f>
        <v>0.32456140350877194</v>
      </c>
    </row>
    <row r="582" spans="1:18" ht="15.75" customHeight="1" x14ac:dyDescent="0.2">
      <c r="A582">
        <v>167</v>
      </c>
      <c r="B582" s="1" t="s">
        <v>145</v>
      </c>
      <c r="C582" s="1"/>
      <c r="D582" s="2"/>
      <c r="E582" s="6" t="s">
        <v>40</v>
      </c>
      <c r="F582" s="3">
        <f>(1.08+1.26)/2</f>
        <v>1.17</v>
      </c>
      <c r="G582" s="3">
        <f>(18+23)/2</f>
        <v>20.5</v>
      </c>
      <c r="H582" s="3">
        <f>(6.5+7.9)/2</f>
        <v>7.2</v>
      </c>
      <c r="I582" s="3"/>
      <c r="J582" s="3">
        <f>(9+11)/2</f>
        <v>10</v>
      </c>
      <c r="K582" s="3"/>
      <c r="L582" s="3">
        <f>(50+54)/2</f>
        <v>52</v>
      </c>
      <c r="M582" s="21">
        <f>1-AVERAGE(N582:R582)</f>
        <v>0.48805607671461337</v>
      </c>
      <c r="N582" s="20">
        <f>ABS($D$2-F582)/F582</f>
        <v>0.50427350427350415</v>
      </c>
      <c r="O582" s="20">
        <f>ABS($E$2-G582)/G582</f>
        <v>0.41463414634146339</v>
      </c>
      <c r="P582" s="20">
        <f>ABS($F$2-H582)/H582</f>
        <v>0.1388888888888889</v>
      </c>
      <c r="Q582" s="20">
        <f>ABS($H$2-J582)/J582</f>
        <v>1.05</v>
      </c>
      <c r="R582" s="20">
        <f>ABS($J$2-L582)/L582</f>
        <v>0.45192307692307693</v>
      </c>
    </row>
    <row r="583" spans="1:18" ht="15.75" customHeight="1" x14ac:dyDescent="0.2">
      <c r="A583">
        <v>448</v>
      </c>
      <c r="B583" s="9" t="s">
        <v>353</v>
      </c>
      <c r="E583" s="6" t="s">
        <v>40</v>
      </c>
      <c r="F583" s="3">
        <v>1.6</v>
      </c>
      <c r="G583" s="3">
        <f>(24+28)/2</f>
        <v>26</v>
      </c>
      <c r="H583" s="3">
        <f>(4.5+5)/2</f>
        <v>4.75</v>
      </c>
      <c r="I583" s="3"/>
      <c r="J583" s="3">
        <f>(62+77)/2</f>
        <v>69.5</v>
      </c>
      <c r="K583" s="3"/>
      <c r="L583" s="3">
        <v>42</v>
      </c>
      <c r="M583" s="21">
        <f>1-AVERAGE(N583:R583)</f>
        <v>0.48783944157571568</v>
      </c>
      <c r="N583" s="20">
        <f>ABS($D$2-F583)/F583</f>
        <v>0.63749999999999996</v>
      </c>
      <c r="O583" s="20">
        <f>ABS($E$2-G583)/G583</f>
        <v>0.11538461538461539</v>
      </c>
      <c r="P583" s="20">
        <f>ABS($F$2-H583)/H583</f>
        <v>0.3052631578947369</v>
      </c>
      <c r="Q583" s="20">
        <f>ABS($H$2-J583)/J583</f>
        <v>0.70503597122302153</v>
      </c>
      <c r="R583" s="20">
        <f>ABS($J$2-L583)/L583</f>
        <v>0.79761904761904767</v>
      </c>
    </row>
    <row r="584" spans="1:18" ht="15.75" customHeight="1" x14ac:dyDescent="0.2">
      <c r="A584">
        <v>913</v>
      </c>
      <c r="B584" s="1" t="s">
        <v>722</v>
      </c>
      <c r="C584" s="1"/>
      <c r="D584" s="2"/>
      <c r="E584" s="6" t="s">
        <v>482</v>
      </c>
      <c r="F584" s="1">
        <v>2</v>
      </c>
      <c r="G584" s="4">
        <v>53</v>
      </c>
      <c r="H584" s="4">
        <v>5.3</v>
      </c>
      <c r="I584" s="4"/>
      <c r="J584" s="4">
        <v>73</v>
      </c>
      <c r="K584" s="4"/>
      <c r="L584" s="4"/>
      <c r="M584" s="21">
        <f>1-AVERAGE(N584:R584)</f>
        <v>0.48704510209356422</v>
      </c>
      <c r="N584" s="20">
        <f>ABS($D$2-F584)/F584</f>
        <v>0.71</v>
      </c>
      <c r="O584" s="20">
        <f>ABS($E$2-G584)/G584</f>
        <v>0.45283018867924529</v>
      </c>
      <c r="P584" s="20">
        <f>ABS($F$2-H584)/H584</f>
        <v>0.16981132075471705</v>
      </c>
      <c r="Q584" s="20">
        <f>ABS($H$2-J584)/J584</f>
        <v>0.71917808219178081</v>
      </c>
      <c r="R584" s="20"/>
    </row>
    <row r="585" spans="1:18" ht="15.75" customHeight="1" x14ac:dyDescent="0.2">
      <c r="A585">
        <v>283</v>
      </c>
      <c r="B585" s="9" t="s">
        <v>228</v>
      </c>
      <c r="E585" s="6" t="s">
        <v>40</v>
      </c>
      <c r="F585" s="3">
        <f>(0.85+0.97)/2</f>
        <v>0.90999999999999992</v>
      </c>
      <c r="G585" s="3">
        <f>(21+24)/2</f>
        <v>22.5</v>
      </c>
      <c r="H585" s="3">
        <f>(4.7+4.8)/2</f>
        <v>4.75</v>
      </c>
      <c r="I585" s="3"/>
      <c r="J585" s="3">
        <f>(8+11)/2</f>
        <v>9.5</v>
      </c>
      <c r="K585" s="3"/>
      <c r="L585" s="3">
        <f>(50+54)/2</f>
        <v>52</v>
      </c>
      <c r="M585" s="21">
        <f>1-AVERAGE(N585:R585)</f>
        <v>0.48667855536276583</v>
      </c>
      <c r="N585" s="20">
        <f>ABS($D$2-F585)/F585</f>
        <v>0.36263736263736251</v>
      </c>
      <c r="O585" s="20">
        <f>ABS($E$2-G585)/G585</f>
        <v>0.28888888888888886</v>
      </c>
      <c r="P585" s="20">
        <f>ABS($F$2-H585)/H585</f>
        <v>0.3052631578947369</v>
      </c>
      <c r="Q585" s="20">
        <f>ABS($H$2-J585)/J585</f>
        <v>1.1578947368421053</v>
      </c>
      <c r="R585" s="20">
        <f>ABS($J$2-L585)/L585</f>
        <v>0.45192307692307693</v>
      </c>
    </row>
    <row r="586" spans="1:18" ht="15.75" customHeight="1" x14ac:dyDescent="0.2">
      <c r="A586">
        <v>768</v>
      </c>
      <c r="B586" s="6" t="s">
        <v>605</v>
      </c>
      <c r="C586" s="6"/>
      <c r="D586" s="7"/>
      <c r="E586" s="6" t="s">
        <v>482</v>
      </c>
      <c r="F586" s="1">
        <v>2.1</v>
      </c>
      <c r="G586" s="4">
        <v>33</v>
      </c>
      <c r="H586" s="4">
        <v>4</v>
      </c>
      <c r="I586" s="4"/>
      <c r="J586" s="4">
        <v>60</v>
      </c>
      <c r="K586" s="4"/>
      <c r="L586" s="4"/>
      <c r="M586" s="21">
        <f>1-AVERAGE(N586:R586)</f>
        <v>0.48666125541125538</v>
      </c>
      <c r="N586" s="20">
        <f>ABS($D$2-F586)/F586</f>
        <v>0.72380952380952379</v>
      </c>
      <c r="O586" s="20">
        <f>ABS($E$2-G586)/G586</f>
        <v>0.12121212121212122</v>
      </c>
      <c r="P586" s="20">
        <f>ABS($F$2-H586)/H586</f>
        <v>0.55000000000000004</v>
      </c>
      <c r="Q586" s="20">
        <f>ABS($H$2-J586)/J586</f>
        <v>0.65833333333333333</v>
      </c>
      <c r="R586" s="20"/>
    </row>
    <row r="587" spans="1:18" ht="15.75" customHeight="1" x14ac:dyDescent="0.2">
      <c r="A587">
        <v>291</v>
      </c>
      <c r="B587" s="9" t="s">
        <v>232</v>
      </c>
      <c r="E587" s="6" t="s">
        <v>40</v>
      </c>
      <c r="F587" s="3">
        <f>(0.35+0.48)/2</f>
        <v>0.41499999999999998</v>
      </c>
      <c r="G587" s="3">
        <f>(12+15)/2</f>
        <v>13.5</v>
      </c>
      <c r="H587" s="3">
        <f>(3.4+3.7)/2</f>
        <v>3.55</v>
      </c>
      <c r="I587" s="3"/>
      <c r="J587" s="3">
        <f>(16+20)/2</f>
        <v>18</v>
      </c>
      <c r="K587" s="3"/>
      <c r="L587" s="3">
        <v>66</v>
      </c>
      <c r="M587" s="21">
        <f>1-AVERAGE(N587:R587)</f>
        <v>0.48499086686766968</v>
      </c>
      <c r="N587" s="20">
        <f>ABS($D$2-F587)/F587</f>
        <v>0.39759036144578336</v>
      </c>
      <c r="O587" s="20">
        <f>ABS($E$2-G587)/G587</f>
        <v>1.1481481481481481</v>
      </c>
      <c r="P587" s="20">
        <f>ABS($F$2-H587)/H587</f>
        <v>0.74647887323943674</v>
      </c>
      <c r="Q587" s="20">
        <f>ABS($H$2-J587)/J587</f>
        <v>0.1388888888888889</v>
      </c>
      <c r="R587" s="20">
        <f>ABS($J$2-L587)/L587</f>
        <v>0.14393939393939395</v>
      </c>
    </row>
    <row r="588" spans="1:18" ht="15.75" customHeight="1" x14ac:dyDescent="0.2">
      <c r="A588">
        <v>233</v>
      </c>
      <c r="B588" s="9" t="s">
        <v>197</v>
      </c>
      <c r="E588" s="6" t="s">
        <v>40</v>
      </c>
      <c r="F588" s="3">
        <f>(0.4+0.53)/2</f>
        <v>0.46500000000000002</v>
      </c>
      <c r="G588" s="3">
        <f>(22+33)/2</f>
        <v>27.5</v>
      </c>
      <c r="H588" s="3">
        <f>(3.7+4.7)/2</f>
        <v>4.2</v>
      </c>
      <c r="I588" s="3"/>
      <c r="J588" s="3">
        <f>(8+9)/2</f>
        <v>8.5</v>
      </c>
      <c r="K588" s="3"/>
      <c r="L588" s="3">
        <f>(51+58)/2</f>
        <v>54.5</v>
      </c>
      <c r="M588" s="21">
        <f>1-AVERAGE(N588:R588)</f>
        <v>0.48497328690145913</v>
      </c>
      <c r="N588" s="20">
        <f>ABS($D$2-F588)/F588</f>
        <v>0.24731182795698933</v>
      </c>
      <c r="O588" s="20">
        <f>ABS($E$2-G588)/G588</f>
        <v>5.4545454545454543E-2</v>
      </c>
      <c r="P588" s="20">
        <f>ABS($F$2-H588)/H588</f>
        <v>0.47619047619047616</v>
      </c>
      <c r="Q588" s="20">
        <f>ABS($H$2-J588)/J588</f>
        <v>1.411764705882353</v>
      </c>
      <c r="R588" s="20">
        <f>ABS($J$2-L588)/L588</f>
        <v>0.38532110091743121</v>
      </c>
    </row>
    <row r="589" spans="1:18" ht="15.75" customHeight="1" x14ac:dyDescent="0.2">
      <c r="A589">
        <v>915</v>
      </c>
      <c r="B589" s="1" t="s">
        <v>723</v>
      </c>
      <c r="C589" s="1" t="s">
        <v>724</v>
      </c>
      <c r="D589" s="2"/>
      <c r="E589" s="6" t="s">
        <v>482</v>
      </c>
      <c r="F589" s="1">
        <v>1.5</v>
      </c>
      <c r="G589" s="4">
        <v>43</v>
      </c>
      <c r="H589" s="4">
        <v>3.7</v>
      </c>
      <c r="I589" s="4"/>
      <c r="J589" s="4">
        <v>37</v>
      </c>
      <c r="K589" s="4"/>
      <c r="L589" s="4"/>
      <c r="M589" s="21">
        <f>1-AVERAGE(N589:R589)</f>
        <v>0.48486591242405197</v>
      </c>
      <c r="N589" s="20">
        <f>ABS($D$2-F589)/F589</f>
        <v>0.61333333333333329</v>
      </c>
      <c r="O589" s="20">
        <f>ABS($E$2-G589)/G589</f>
        <v>0.32558139534883723</v>
      </c>
      <c r="P589" s="20">
        <f>ABS($F$2-H589)/H589</f>
        <v>0.67567567567567566</v>
      </c>
      <c r="Q589" s="20">
        <f>ABS($H$2-J589)/J589</f>
        <v>0.44594594594594594</v>
      </c>
      <c r="R589" s="20"/>
    </row>
    <row r="590" spans="1:18" ht="15.75" customHeight="1" x14ac:dyDescent="0.2">
      <c r="A590">
        <v>315</v>
      </c>
      <c r="B590" s="9" t="s">
        <v>249</v>
      </c>
      <c r="C590" s="9" t="s">
        <v>251</v>
      </c>
      <c r="E590" s="6" t="s">
        <v>40</v>
      </c>
      <c r="F590" s="10">
        <v>0.55000000000000004</v>
      </c>
      <c r="G590" s="3">
        <v>14</v>
      </c>
      <c r="H590" s="3">
        <v>4.2</v>
      </c>
      <c r="I590" s="3"/>
      <c r="J590" s="3">
        <v>14</v>
      </c>
      <c r="K590" s="3"/>
      <c r="L590" s="3">
        <v>50</v>
      </c>
      <c r="M590" s="21">
        <f>1-AVERAGE(N590:R590)</f>
        <v>0.48470995670995676</v>
      </c>
      <c r="N590" s="20">
        <f>ABS($D$2-F590)/F590</f>
        <v>5.4545454545454591E-2</v>
      </c>
      <c r="O590" s="20">
        <f>ABS($E$2-G590)/G590</f>
        <v>1.0714285714285714</v>
      </c>
      <c r="P590" s="20">
        <f>ABS($F$2-H590)/H590</f>
        <v>0.47619047619047616</v>
      </c>
      <c r="Q590" s="20">
        <f>ABS($H$2-J590)/J590</f>
        <v>0.4642857142857143</v>
      </c>
      <c r="R590" s="20">
        <f>ABS($J$2-L590)/L590</f>
        <v>0.51</v>
      </c>
    </row>
    <row r="591" spans="1:18" ht="15.75" customHeight="1" x14ac:dyDescent="0.2">
      <c r="A591">
        <v>720</v>
      </c>
      <c r="B591" s="1" t="s">
        <v>572</v>
      </c>
      <c r="C591" s="1"/>
      <c r="D591" s="2"/>
      <c r="E591" s="6" t="s">
        <v>495</v>
      </c>
      <c r="F591" s="1">
        <v>0.5</v>
      </c>
      <c r="G591" s="4">
        <v>22</v>
      </c>
      <c r="H591" s="4">
        <v>4.4000000000000004</v>
      </c>
      <c r="I591" s="4"/>
      <c r="J591" s="4">
        <v>8</v>
      </c>
      <c r="K591" s="4"/>
      <c r="L591" s="4">
        <v>67</v>
      </c>
      <c r="M591" s="21">
        <f>1-AVERAGE(N591:R591)</f>
        <v>0.48467232021709639</v>
      </c>
      <c r="N591" s="20">
        <f>ABS($D$2-F591)/F591</f>
        <v>0.16000000000000014</v>
      </c>
      <c r="O591" s="20">
        <f>ABS($E$2-G591)/G591</f>
        <v>0.31818181818181818</v>
      </c>
      <c r="P591" s="20">
        <f>ABS($F$2-H591)/H591</f>
        <v>0.40909090909090901</v>
      </c>
      <c r="Q591" s="20">
        <f>ABS($H$2-J591)/J591</f>
        <v>1.5625</v>
      </c>
      <c r="R591" s="20">
        <f>ABS($J$2-L591)/L591</f>
        <v>0.12686567164179105</v>
      </c>
    </row>
    <row r="592" spans="1:18" ht="15.75" customHeight="1" x14ac:dyDescent="0.2">
      <c r="A592">
        <v>772</v>
      </c>
      <c r="B592" s="6" t="s">
        <v>605</v>
      </c>
      <c r="C592" s="6"/>
      <c r="D592" s="7"/>
      <c r="E592" s="6" t="s">
        <v>495</v>
      </c>
      <c r="F592" s="1">
        <v>2.5</v>
      </c>
      <c r="G592" s="4">
        <v>32</v>
      </c>
      <c r="H592" s="4">
        <v>4.2</v>
      </c>
      <c r="I592" s="4"/>
      <c r="J592" s="4">
        <v>51</v>
      </c>
      <c r="K592" s="4"/>
      <c r="L592" s="4">
        <v>46</v>
      </c>
      <c r="M592" s="21">
        <f>1-AVERAGE(N592:R592)</f>
        <v>0.48454319205943253</v>
      </c>
      <c r="N592" s="20">
        <f>ABS($D$2-F592)/F592</f>
        <v>0.76800000000000002</v>
      </c>
      <c r="O592" s="20">
        <f>ABS($E$2-G592)/G592</f>
        <v>9.375E-2</v>
      </c>
      <c r="P592" s="20">
        <f>ABS($F$2-H592)/H592</f>
        <v>0.47619047619047616</v>
      </c>
      <c r="Q592" s="20">
        <f>ABS($H$2-J592)/J592</f>
        <v>0.59803921568627449</v>
      </c>
      <c r="R592" s="20">
        <f>ABS($J$2-L592)/L592</f>
        <v>0.64130434782608692</v>
      </c>
    </row>
    <row r="593" spans="1:18" ht="15.75" customHeight="1" x14ac:dyDescent="0.2">
      <c r="A593">
        <v>761</v>
      </c>
      <c r="B593" s="6" t="s">
        <v>603</v>
      </c>
      <c r="C593" s="6"/>
      <c r="D593" s="7"/>
      <c r="E593" s="6" t="s">
        <v>495</v>
      </c>
      <c r="F593" s="1">
        <v>6.5</v>
      </c>
      <c r="G593" s="4">
        <v>38</v>
      </c>
      <c r="H593" s="4">
        <v>5.9</v>
      </c>
      <c r="I593" s="4"/>
      <c r="J593" s="4">
        <v>108</v>
      </c>
      <c r="K593" s="4"/>
      <c r="L593" s="4">
        <v>48</v>
      </c>
      <c r="M593" s="21">
        <f>1-AVERAGE(N593:R593)</f>
        <v>0.48368787089772813</v>
      </c>
      <c r="N593" s="20">
        <f>ABS($D$2-F593)/F593</f>
        <v>0.91076923076923078</v>
      </c>
      <c r="O593" s="20">
        <f>ABS($E$2-G593)/G593</f>
        <v>0.23684210526315788</v>
      </c>
      <c r="P593" s="20">
        <f>ABS($F$2-H593)/H593</f>
        <v>5.0847457627118613E-2</v>
      </c>
      <c r="Q593" s="20">
        <f>ABS($H$2-J593)/J593</f>
        <v>0.81018518518518523</v>
      </c>
      <c r="R593" s="20">
        <f>ABS($J$2-L593)/L593</f>
        <v>0.57291666666666663</v>
      </c>
    </row>
    <row r="594" spans="1:18" ht="15.75" customHeight="1" x14ac:dyDescent="0.2">
      <c r="A594">
        <v>866</v>
      </c>
      <c r="B594" s="1" t="s">
        <v>353</v>
      </c>
      <c r="C594" s="1"/>
      <c r="D594" s="2"/>
      <c r="E594" s="6" t="s">
        <v>495</v>
      </c>
      <c r="F594" s="1">
        <v>1.5</v>
      </c>
      <c r="G594" s="4">
        <v>26</v>
      </c>
      <c r="H594" s="4">
        <v>4.3</v>
      </c>
      <c r="I594" s="4"/>
      <c r="J594" s="4">
        <v>68</v>
      </c>
      <c r="K594" s="4"/>
      <c r="L594" s="4">
        <v>44</v>
      </c>
      <c r="M594" s="21">
        <f>1-AVERAGE(N594:R594)</f>
        <v>0.48299661669839511</v>
      </c>
      <c r="N594" s="20">
        <f>ABS($D$2-F594)/F594</f>
        <v>0.61333333333333329</v>
      </c>
      <c r="O594" s="20">
        <f>ABS($E$2-G594)/G594</f>
        <v>0.11538461538461539</v>
      </c>
      <c r="P594" s="20">
        <f>ABS($F$2-H594)/H594</f>
        <v>0.44186046511627919</v>
      </c>
      <c r="Q594" s="20">
        <f>ABS($H$2-J594)/J594</f>
        <v>0.69852941176470584</v>
      </c>
      <c r="R594" s="20">
        <f>ABS($J$2-L594)/L594</f>
        <v>0.71590909090909094</v>
      </c>
    </row>
    <row r="595" spans="1:18" ht="15.75" customHeight="1" x14ac:dyDescent="0.2">
      <c r="A595">
        <v>894</v>
      </c>
      <c r="B595" s="1" t="s">
        <v>710</v>
      </c>
      <c r="C595" s="1"/>
      <c r="D595" s="2"/>
      <c r="E595" s="6" t="s">
        <v>495</v>
      </c>
      <c r="F595" s="1">
        <v>1.3</v>
      </c>
      <c r="G595" s="4">
        <v>40</v>
      </c>
      <c r="H595" s="4">
        <v>3.6</v>
      </c>
      <c r="I595" s="4"/>
      <c r="J595" s="4">
        <v>46</v>
      </c>
      <c r="K595" s="4"/>
      <c r="L595" s="4">
        <v>51</v>
      </c>
      <c r="M595" s="21">
        <f>1-AVERAGE(N595:R595)</f>
        <v>0.4828383281963845</v>
      </c>
      <c r="N595" s="20">
        <f>ABS($D$2-F595)/F595</f>
        <v>0.55384615384615377</v>
      </c>
      <c r="O595" s="20">
        <f>ABS($E$2-G595)/G595</f>
        <v>0.27500000000000002</v>
      </c>
      <c r="P595" s="20">
        <f>ABS($F$2-H595)/H595</f>
        <v>0.72222222222222221</v>
      </c>
      <c r="Q595" s="20">
        <f>ABS($H$2-J595)/J595</f>
        <v>0.55434782608695654</v>
      </c>
      <c r="R595" s="20">
        <f>ABS($J$2-L595)/L595</f>
        <v>0.48039215686274511</v>
      </c>
    </row>
    <row r="596" spans="1:18" ht="15.75" customHeight="1" x14ac:dyDescent="0.2">
      <c r="A596">
        <v>498</v>
      </c>
      <c r="B596" s="9" t="s">
        <v>392</v>
      </c>
      <c r="E596" s="6" t="s">
        <v>40</v>
      </c>
      <c r="F596" s="3">
        <v>1.4</v>
      </c>
      <c r="G596" s="3">
        <v>37</v>
      </c>
      <c r="H596" s="3">
        <v>3.3</v>
      </c>
      <c r="I596" s="3"/>
      <c r="J596" s="3">
        <v>12</v>
      </c>
      <c r="K596" s="3"/>
      <c r="L596" s="3">
        <v>63</v>
      </c>
      <c r="M596" s="21">
        <f>1-AVERAGE(N596:R596)</f>
        <v>0.4825071175071175</v>
      </c>
      <c r="N596" s="20">
        <f>ABS($D$2-F596)/F596</f>
        <v>0.58571428571428563</v>
      </c>
      <c r="O596" s="20">
        <f>ABS($E$2-G596)/G596</f>
        <v>0.21621621621621623</v>
      </c>
      <c r="P596" s="20">
        <f>ABS($F$2-H596)/H596</f>
        <v>0.8787878787878789</v>
      </c>
      <c r="Q596" s="20">
        <f>ABS($H$2-J596)/J596</f>
        <v>0.70833333333333337</v>
      </c>
      <c r="R596" s="20">
        <f>ABS($J$2-L596)/L596</f>
        <v>0.1984126984126984</v>
      </c>
    </row>
    <row r="597" spans="1:18" ht="15.75" customHeight="1" x14ac:dyDescent="0.2">
      <c r="A597">
        <v>655</v>
      </c>
      <c r="B597" s="6" t="s">
        <v>523</v>
      </c>
      <c r="C597" s="6"/>
      <c r="D597" s="7"/>
      <c r="E597" s="6" t="s">
        <v>482</v>
      </c>
      <c r="F597" s="1">
        <v>1.5</v>
      </c>
      <c r="G597" s="4">
        <v>39</v>
      </c>
      <c r="H597" s="4">
        <v>7.3</v>
      </c>
      <c r="I597" s="4"/>
      <c r="J597" s="4">
        <v>10</v>
      </c>
      <c r="K597" s="4"/>
      <c r="L597" s="4"/>
      <c r="M597" s="21">
        <f>1-AVERAGE(N597:R597)</f>
        <v>0.48239286968739026</v>
      </c>
      <c r="N597" s="20">
        <f>ABS($D$2-F597)/F597</f>
        <v>0.61333333333333329</v>
      </c>
      <c r="O597" s="20">
        <f>ABS($E$2-G597)/G597</f>
        <v>0.25641025641025639</v>
      </c>
      <c r="P597" s="20">
        <f>ABS($F$2-H597)/H597</f>
        <v>0.15068493150684928</v>
      </c>
      <c r="Q597" s="20">
        <f>ABS($H$2-J597)/J597</f>
        <v>1.05</v>
      </c>
      <c r="R597" s="20"/>
    </row>
    <row r="598" spans="1:18" ht="15.75" customHeight="1" x14ac:dyDescent="0.2">
      <c r="A598">
        <v>218</v>
      </c>
      <c r="B598" s="9" t="s">
        <v>185</v>
      </c>
      <c r="C598" s="9" t="s">
        <v>186</v>
      </c>
      <c r="E598" s="6" t="s">
        <v>41</v>
      </c>
      <c r="F598" s="3">
        <f>(1.07+1.24)/2</f>
        <v>1.155</v>
      </c>
      <c r="G598" s="3">
        <f>(13+16)/2</f>
        <v>14.5</v>
      </c>
      <c r="H598" s="3">
        <f>(4.8+5.9)/2</f>
        <v>5.35</v>
      </c>
      <c r="I598" s="3"/>
      <c r="J598" s="3">
        <f>(29+41)/2</f>
        <v>35</v>
      </c>
      <c r="K598" s="3"/>
      <c r="L598" s="3"/>
      <c r="M598" s="21">
        <f>1-AVERAGE(N598:R598)</f>
        <v>0.48225007080147264</v>
      </c>
      <c r="N598" s="20">
        <f>ABS($D$2-F598)/F598</f>
        <v>0.4978354978354978</v>
      </c>
      <c r="O598" s="20">
        <f>ABS($E$2-G598)/G598</f>
        <v>1</v>
      </c>
      <c r="P598" s="20">
        <f>ABS($F$2-H598)/H598</f>
        <v>0.1588785046728973</v>
      </c>
      <c r="Q598" s="20">
        <f>ABS($H$2-J598)/J598</f>
        <v>0.41428571428571431</v>
      </c>
      <c r="R598" s="20"/>
    </row>
    <row r="599" spans="1:18" ht="15.75" customHeight="1" x14ac:dyDescent="0.2">
      <c r="A599">
        <v>406</v>
      </c>
      <c r="B599" s="9" t="s">
        <v>324</v>
      </c>
      <c r="E599" s="6" t="s">
        <v>41</v>
      </c>
      <c r="F599" s="3">
        <v>4.2</v>
      </c>
      <c r="G599" s="3">
        <v>33</v>
      </c>
      <c r="H599" s="3">
        <v>4.5</v>
      </c>
      <c r="I599" s="3"/>
      <c r="J599" s="3">
        <v>71</v>
      </c>
      <c r="K599" s="10"/>
      <c r="L599" s="10"/>
      <c r="M599" s="21">
        <f>1-AVERAGE(N599:R599)</f>
        <v>0.48195943336788405</v>
      </c>
      <c r="N599" s="20">
        <f>ABS($D$2-F599)/F599</f>
        <v>0.86190476190476184</v>
      </c>
      <c r="O599" s="20">
        <f>ABS($E$2-G599)/G599</f>
        <v>0.12121212121212122</v>
      </c>
      <c r="P599" s="20">
        <f>ABS($F$2-H599)/H599</f>
        <v>0.37777777777777782</v>
      </c>
      <c r="Q599" s="20">
        <f>ABS($H$2-J599)/J599</f>
        <v>0.71126760563380287</v>
      </c>
      <c r="R599" s="20"/>
    </row>
    <row r="600" spans="1:18" ht="15.75" customHeight="1" x14ac:dyDescent="0.2">
      <c r="A600">
        <v>464</v>
      </c>
      <c r="B600" s="9" t="s">
        <v>366</v>
      </c>
      <c r="E600" s="6" t="s">
        <v>41</v>
      </c>
      <c r="F600" s="3">
        <v>2.1</v>
      </c>
      <c r="G600" s="3">
        <v>45</v>
      </c>
      <c r="H600" s="3">
        <v>5</v>
      </c>
      <c r="I600" s="3"/>
      <c r="J600" s="3">
        <v>83</v>
      </c>
      <c r="K600" s="10"/>
      <c r="L600" s="10"/>
      <c r="M600" s="21">
        <f>1-AVERAGE(N600:R600)</f>
        <v>0.4819057181105374</v>
      </c>
      <c r="N600" s="20">
        <f>ABS($D$2-F600)/F600</f>
        <v>0.72380952380952379</v>
      </c>
      <c r="O600" s="20">
        <f>ABS($E$2-G600)/G600</f>
        <v>0.35555555555555557</v>
      </c>
      <c r="P600" s="20">
        <f>ABS($F$2-H600)/H600</f>
        <v>0.24000000000000005</v>
      </c>
      <c r="Q600" s="20">
        <f>ABS($H$2-J600)/J600</f>
        <v>0.75301204819277112</v>
      </c>
      <c r="R600" s="20"/>
    </row>
    <row r="601" spans="1:18" ht="15.75" customHeight="1" x14ac:dyDescent="0.2">
      <c r="A601">
        <v>897</v>
      </c>
      <c r="B601" s="1" t="s">
        <v>711</v>
      </c>
      <c r="C601" s="1"/>
      <c r="D601" s="2"/>
      <c r="E601" s="6" t="s">
        <v>482</v>
      </c>
      <c r="F601" s="1">
        <v>2</v>
      </c>
      <c r="G601" s="4">
        <v>46</v>
      </c>
      <c r="H601" s="4">
        <v>4.7</v>
      </c>
      <c r="I601" s="4"/>
      <c r="J601" s="4">
        <v>63</v>
      </c>
      <c r="K601" s="4"/>
      <c r="L601" s="4"/>
      <c r="M601" s="21">
        <f>1-AVERAGE(N601:R601)</f>
        <v>0.48167066795882718</v>
      </c>
      <c r="N601" s="20">
        <f>ABS($D$2-F601)/F601</f>
        <v>0.71</v>
      </c>
      <c r="O601" s="20">
        <f>ABS($E$2-G601)/G601</f>
        <v>0.36956521739130432</v>
      </c>
      <c r="P601" s="20">
        <f>ABS($F$2-H601)/H601</f>
        <v>0.31914893617021273</v>
      </c>
      <c r="Q601" s="20">
        <f>ABS($H$2-J601)/J601</f>
        <v>0.67460317460317465</v>
      </c>
      <c r="R601" s="20"/>
    </row>
    <row r="602" spans="1:18" ht="15.75" customHeight="1" x14ac:dyDescent="0.2">
      <c r="A602">
        <v>767</v>
      </c>
      <c r="B602" s="6" t="s">
        <v>605</v>
      </c>
      <c r="C602" s="6"/>
      <c r="D602" s="7"/>
      <c r="E602" s="6" t="s">
        <v>495</v>
      </c>
      <c r="F602" s="1">
        <f>(1.8+3)/2</f>
        <v>2.4</v>
      </c>
      <c r="G602" s="4">
        <v>26</v>
      </c>
      <c r="H602" s="4">
        <v>4</v>
      </c>
      <c r="I602" s="4"/>
      <c r="J602" s="4">
        <f>(50+70)/2</f>
        <v>60</v>
      </c>
      <c r="K602" s="4"/>
      <c r="L602" s="4">
        <v>50</v>
      </c>
      <c r="M602" s="21">
        <f>1-AVERAGE(N602:R602)</f>
        <v>0.48158974358974349</v>
      </c>
      <c r="N602" s="20">
        <f>ABS($D$2-F602)/F602</f>
        <v>0.7583333333333333</v>
      </c>
      <c r="O602" s="20">
        <f>ABS($E$2-G602)/G602</f>
        <v>0.11538461538461539</v>
      </c>
      <c r="P602" s="20">
        <f>ABS($F$2-H602)/H602</f>
        <v>0.55000000000000004</v>
      </c>
      <c r="Q602" s="20">
        <f>ABS($H$2-J602)/J602</f>
        <v>0.65833333333333333</v>
      </c>
      <c r="R602" s="20">
        <f>ABS($J$2-L602)/L602</f>
        <v>0.51</v>
      </c>
    </row>
    <row r="603" spans="1:18" ht="15.75" customHeight="1" x14ac:dyDescent="0.2">
      <c r="A603">
        <v>830</v>
      </c>
      <c r="B603" s="6" t="s">
        <v>666</v>
      </c>
      <c r="C603" s="1"/>
      <c r="D603" s="2"/>
      <c r="E603" s="6" t="s">
        <v>495</v>
      </c>
      <c r="F603" s="1">
        <v>1.3</v>
      </c>
      <c r="G603" s="4">
        <v>35</v>
      </c>
      <c r="H603" s="4">
        <v>6</v>
      </c>
      <c r="I603" s="4"/>
      <c r="J603" s="4">
        <v>9.5</v>
      </c>
      <c r="K603" s="4"/>
      <c r="L603" s="9">
        <v>45</v>
      </c>
      <c r="M603" s="21">
        <f>1-AVERAGE(N603:R603)</f>
        <v>0.48114388535441166</v>
      </c>
      <c r="N603" s="20">
        <f>ABS($D$2-F603)/F603</f>
        <v>0.55384615384615377</v>
      </c>
      <c r="O603" s="20">
        <f>ABS($E$2-G603)/G603</f>
        <v>0.17142857142857143</v>
      </c>
      <c r="P603" s="20">
        <f>ABS($F$2-H603)/H603</f>
        <v>3.3333333333333361E-2</v>
      </c>
      <c r="Q603" s="20">
        <f>ABS($H$2-J603)/J603</f>
        <v>1.1578947368421053</v>
      </c>
      <c r="R603" s="20">
        <f>ABS($J$2-L603)/L603</f>
        <v>0.67777777777777781</v>
      </c>
    </row>
    <row r="604" spans="1:18" ht="15.75" customHeight="1" x14ac:dyDescent="0.2">
      <c r="A604">
        <v>355</v>
      </c>
      <c r="B604" s="9" t="s">
        <v>280</v>
      </c>
      <c r="E604" s="6" t="s">
        <v>41</v>
      </c>
      <c r="F604" s="3">
        <v>1.8</v>
      </c>
      <c r="G604" s="3">
        <f>(30+35)/2</f>
        <v>32.5</v>
      </c>
      <c r="H604" s="3">
        <v>11</v>
      </c>
      <c r="I604" s="3"/>
      <c r="J604" s="3">
        <v>11</v>
      </c>
      <c r="K604" s="3"/>
      <c r="L604" s="3"/>
      <c r="M604" s="21">
        <f>1-AVERAGE(N604:R604)</f>
        <v>0.47863247863247871</v>
      </c>
      <c r="N604" s="20">
        <f>ABS($D$2-F604)/F604</f>
        <v>0.6777777777777777</v>
      </c>
      <c r="O604" s="20">
        <f>ABS($E$2-G604)/G604</f>
        <v>0.1076923076923077</v>
      </c>
      <c r="P604" s="20">
        <f>ABS($F$2-H604)/H604</f>
        <v>0.43636363636363634</v>
      </c>
      <c r="Q604" s="20">
        <f>ABS($H$2-J604)/J604</f>
        <v>0.86363636363636365</v>
      </c>
      <c r="R604" s="20"/>
    </row>
    <row r="605" spans="1:18" ht="15.75" customHeight="1" x14ac:dyDescent="0.2">
      <c r="A605">
        <v>234</v>
      </c>
      <c r="B605" s="9" t="s">
        <v>197</v>
      </c>
      <c r="E605" s="6" t="s">
        <v>41</v>
      </c>
      <c r="F605" s="3">
        <v>0.49</v>
      </c>
      <c r="G605" s="3">
        <v>29</v>
      </c>
      <c r="H605" s="3">
        <v>3.8</v>
      </c>
      <c r="I605" s="3"/>
      <c r="J605" s="3">
        <v>9</v>
      </c>
      <c r="K605" s="3"/>
      <c r="L605" s="3"/>
      <c r="M605" s="21">
        <f>1-AVERAGE(N605:R605)</f>
        <v>0.4767424513665115</v>
      </c>
      <c r="N605" s="20">
        <f>ABS($D$2-F605)/F605</f>
        <v>0.18367346938775528</v>
      </c>
      <c r="O605" s="20">
        <f>ABS($E$2-G605)/G605</f>
        <v>0</v>
      </c>
      <c r="P605" s="20">
        <f>ABS($F$2-H605)/H605</f>
        <v>0.63157894736842113</v>
      </c>
      <c r="Q605" s="20">
        <f>ABS($H$2-J605)/J605</f>
        <v>1.2777777777777777</v>
      </c>
      <c r="R605" s="20"/>
    </row>
    <row r="606" spans="1:18" ht="15.75" customHeight="1" x14ac:dyDescent="0.2">
      <c r="A606">
        <v>182</v>
      </c>
      <c r="B606" s="1" t="s">
        <v>154</v>
      </c>
      <c r="C606" s="1" t="s">
        <v>155</v>
      </c>
      <c r="D606" s="2"/>
      <c r="E606" s="6" t="s">
        <v>41</v>
      </c>
      <c r="F606" s="3">
        <f>(0.79+0.83)/2</f>
        <v>0.81</v>
      </c>
      <c r="G606" s="3">
        <f>(19+21)/2</f>
        <v>20</v>
      </c>
      <c r="H606" s="3">
        <f>(9.6+9.8)/2</f>
        <v>9.6999999999999993</v>
      </c>
      <c r="I606" s="3"/>
      <c r="J606" s="3">
        <f>(10.1+10.4)/2</f>
        <v>10.25</v>
      </c>
      <c r="K606" s="3"/>
      <c r="L606" s="3"/>
      <c r="M606" s="21">
        <f>1-AVERAGE(N606:R606)</f>
        <v>0.476306160112002</v>
      </c>
      <c r="N606" s="20">
        <f>ABS($D$2-F606)/F606</f>
        <v>0.2839506172839506</v>
      </c>
      <c r="O606" s="20">
        <f>ABS($E$2-G606)/G606</f>
        <v>0.45</v>
      </c>
      <c r="P606" s="20">
        <f>ABS($F$2-H606)/H606</f>
        <v>0.36082474226804118</v>
      </c>
      <c r="Q606" s="20">
        <f>ABS($H$2-J606)/J606</f>
        <v>1</v>
      </c>
      <c r="R606" s="20"/>
    </row>
    <row r="607" spans="1:18" ht="15.75" customHeight="1" x14ac:dyDescent="0.2">
      <c r="A607">
        <v>854</v>
      </c>
      <c r="B607" s="1" t="s">
        <v>684</v>
      </c>
      <c r="C607" s="1"/>
      <c r="D607" s="2"/>
      <c r="E607" s="6" t="s">
        <v>482</v>
      </c>
      <c r="F607" s="1">
        <v>1.4</v>
      </c>
      <c r="G607" s="4">
        <v>22</v>
      </c>
      <c r="H607" s="4">
        <v>4.0999999999999996</v>
      </c>
      <c r="I607" s="4"/>
      <c r="J607" s="4">
        <v>64</v>
      </c>
      <c r="K607" s="4"/>
      <c r="L607" s="4"/>
      <c r="M607" s="21">
        <f>1-AVERAGE(N607:R607)</f>
        <v>0.47605531853816918</v>
      </c>
      <c r="N607" s="20">
        <f>ABS($D$2-F607)/F607</f>
        <v>0.58571428571428563</v>
      </c>
      <c r="O607" s="20">
        <f>ABS($E$2-G607)/G607</f>
        <v>0.31818181818181818</v>
      </c>
      <c r="P607" s="20">
        <f>ABS($F$2-H607)/H607</f>
        <v>0.51219512195121963</v>
      </c>
      <c r="Q607" s="20">
        <f>ABS($H$2-J607)/J607</f>
        <v>0.6796875</v>
      </c>
      <c r="R607" s="20"/>
    </row>
    <row r="608" spans="1:18" ht="15.75" customHeight="1" x14ac:dyDescent="0.2">
      <c r="A608">
        <v>909</v>
      </c>
      <c r="B608" s="1" t="s">
        <v>349</v>
      </c>
      <c r="C608" s="1"/>
      <c r="D608" s="2"/>
      <c r="E608" s="6" t="s">
        <v>495</v>
      </c>
      <c r="F608" s="1">
        <v>1.6</v>
      </c>
      <c r="G608" s="4">
        <v>37</v>
      </c>
      <c r="H608" s="4">
        <v>4.2</v>
      </c>
      <c r="I608" s="4"/>
      <c r="J608" s="4">
        <v>65</v>
      </c>
      <c r="K608" s="4"/>
      <c r="L608" s="4">
        <v>47</v>
      </c>
      <c r="M608" s="21">
        <f>1-AVERAGE(N608:R608)</f>
        <v>0.47581898885090368</v>
      </c>
      <c r="N608" s="20">
        <f>ABS($D$2-F608)/F608</f>
        <v>0.63749999999999996</v>
      </c>
      <c r="O608" s="20">
        <f>ABS($E$2-G608)/G608</f>
        <v>0.21621621621621623</v>
      </c>
      <c r="P608" s="20">
        <f>ABS($F$2-H608)/H608</f>
        <v>0.47619047619047616</v>
      </c>
      <c r="Q608" s="20">
        <f>ABS($H$2-J608)/J608</f>
        <v>0.68461538461538463</v>
      </c>
      <c r="R608" s="20">
        <f>ABS($J$2-L608)/L608</f>
        <v>0.6063829787234043</v>
      </c>
    </row>
    <row r="609" spans="1:18" ht="15.75" customHeight="1" x14ac:dyDescent="0.2">
      <c r="A609">
        <v>705</v>
      </c>
      <c r="B609" s="1" t="s">
        <v>565</v>
      </c>
      <c r="C609" s="1"/>
      <c r="D609" s="2"/>
      <c r="E609" s="6" t="s">
        <v>495</v>
      </c>
      <c r="F609" s="1">
        <v>2</v>
      </c>
      <c r="G609" s="1">
        <v>48</v>
      </c>
      <c r="H609" s="1">
        <v>9.3000000000000007</v>
      </c>
      <c r="I609" s="1"/>
      <c r="J609" s="1">
        <v>13</v>
      </c>
      <c r="K609" s="1"/>
      <c r="L609" s="1">
        <v>47</v>
      </c>
      <c r="M609" s="21">
        <f>1-AVERAGE(N609:R609)</f>
        <v>0.47550545553737034</v>
      </c>
      <c r="N609" s="20">
        <f>ABS($D$2-F609)/F609</f>
        <v>0.71</v>
      </c>
      <c r="O609" s="20">
        <f>ABS($E$2-G609)/G609</f>
        <v>0.39583333333333331</v>
      </c>
      <c r="P609" s="20">
        <f>ABS($F$2-H609)/H609</f>
        <v>0.33333333333333337</v>
      </c>
      <c r="Q609" s="20">
        <f>ABS($H$2-J609)/J609</f>
        <v>0.57692307692307687</v>
      </c>
      <c r="R609" s="20">
        <f>ABS($J$2-L609)/L609</f>
        <v>0.6063829787234043</v>
      </c>
    </row>
    <row r="610" spans="1:18" ht="15.75" customHeight="1" x14ac:dyDescent="0.2">
      <c r="A610">
        <v>394</v>
      </c>
      <c r="B610" s="9" t="s">
        <v>313</v>
      </c>
      <c r="E610" s="6" t="s">
        <v>40</v>
      </c>
      <c r="F610" s="3">
        <v>1</v>
      </c>
      <c r="G610" s="3">
        <v>26.2</v>
      </c>
      <c r="H610" s="3">
        <v>3.84</v>
      </c>
      <c r="I610" s="3"/>
      <c r="J610" s="3">
        <v>9.1999999999999993</v>
      </c>
      <c r="K610" s="3"/>
      <c r="L610" s="3">
        <v>60</v>
      </c>
      <c r="M610" s="21">
        <f>1-AVERAGE(N610:R610)</f>
        <v>0.47439044695209642</v>
      </c>
      <c r="N610" s="20">
        <f>ABS($D$2-F610)/F610</f>
        <v>0.41999999999999993</v>
      </c>
      <c r="O610" s="20">
        <f>ABS($E$2-G610)/G610</f>
        <v>0.10687022900763361</v>
      </c>
      <c r="P610" s="20">
        <f>ABS($F$2-H610)/H610</f>
        <v>0.61458333333333348</v>
      </c>
      <c r="Q610" s="20">
        <f>ABS($H$2-J610)/J610</f>
        <v>1.2282608695652175</v>
      </c>
      <c r="R610" s="20">
        <f>ABS($J$2-L610)/L610</f>
        <v>0.25833333333333336</v>
      </c>
    </row>
    <row r="611" spans="1:18" ht="15.75" customHeight="1" x14ac:dyDescent="0.2">
      <c r="A611">
        <v>316</v>
      </c>
      <c r="B611" s="9" t="s">
        <v>252</v>
      </c>
      <c r="E611" s="6" t="s">
        <v>40</v>
      </c>
      <c r="F611" s="10">
        <v>2.9</v>
      </c>
      <c r="G611" s="3">
        <v>38</v>
      </c>
      <c r="H611" s="3">
        <v>4.3</v>
      </c>
      <c r="I611" s="3"/>
      <c r="J611" s="3">
        <v>93</v>
      </c>
      <c r="K611" s="3"/>
      <c r="L611" s="3">
        <v>55</v>
      </c>
      <c r="M611" s="21">
        <f>1-AVERAGE(N611:R611)</f>
        <v>0.47380005288403448</v>
      </c>
      <c r="N611" s="20">
        <f>ABS($D$2-F611)/F611</f>
        <v>0.79999999999999993</v>
      </c>
      <c r="O611" s="20">
        <f>ABS($E$2-G611)/G611</f>
        <v>0.23684210526315788</v>
      </c>
      <c r="P611" s="20">
        <f>ABS($F$2-H611)/H611</f>
        <v>0.44186046511627919</v>
      </c>
      <c r="Q611" s="20">
        <f>ABS($H$2-J611)/J611</f>
        <v>0.77956989247311825</v>
      </c>
      <c r="R611" s="20">
        <f>ABS($J$2-L611)/L611</f>
        <v>0.37272727272727274</v>
      </c>
    </row>
    <row r="612" spans="1:18" ht="15.75" customHeight="1" x14ac:dyDescent="0.2">
      <c r="A612">
        <v>863</v>
      </c>
      <c r="B612" s="1" t="s">
        <v>692</v>
      </c>
      <c r="C612" s="1"/>
      <c r="D612" s="2"/>
      <c r="E612" s="6" t="s">
        <v>495</v>
      </c>
      <c r="F612" s="9">
        <v>1.8</v>
      </c>
      <c r="G612" s="4">
        <v>35</v>
      </c>
      <c r="H612" s="4">
        <v>5</v>
      </c>
      <c r="I612" s="4"/>
      <c r="J612" s="4">
        <v>60</v>
      </c>
      <c r="K612" s="4"/>
      <c r="L612" s="4">
        <v>40</v>
      </c>
      <c r="M612" s="21">
        <f>1-AVERAGE(N612:R612)</f>
        <v>0.47299206349206346</v>
      </c>
      <c r="N612" s="20">
        <f>ABS($D$2-F612)/F612</f>
        <v>0.6777777777777777</v>
      </c>
      <c r="O612" s="20">
        <f>ABS($E$2-G612)/G612</f>
        <v>0.17142857142857143</v>
      </c>
      <c r="P612" s="20">
        <f>ABS($F$2-H612)/H612</f>
        <v>0.24000000000000005</v>
      </c>
      <c r="Q612" s="20">
        <f>ABS($H$2-J612)/J612</f>
        <v>0.65833333333333333</v>
      </c>
      <c r="R612" s="20">
        <f>ABS($J$2-L612)/L612</f>
        <v>0.88749999999999996</v>
      </c>
    </row>
    <row r="613" spans="1:18" ht="15.75" customHeight="1" x14ac:dyDescent="0.2">
      <c r="A613">
        <v>488</v>
      </c>
      <c r="B613" s="9" t="s">
        <v>385</v>
      </c>
      <c r="E613" s="6" t="s">
        <v>40</v>
      </c>
      <c r="F613" s="3">
        <v>1</v>
      </c>
      <c r="G613" s="3">
        <v>28</v>
      </c>
      <c r="H613" s="3">
        <v>4.5</v>
      </c>
      <c r="I613" s="3"/>
      <c r="J613" s="3">
        <f>(60+80)/2</f>
        <v>70</v>
      </c>
      <c r="K613" s="3"/>
      <c r="L613" s="3">
        <v>36</v>
      </c>
      <c r="M613" s="21">
        <f>1-AVERAGE(N613:R613)</f>
        <v>0.47242857142857142</v>
      </c>
      <c r="N613" s="20">
        <f>ABS($D$2-F613)/F613</f>
        <v>0.41999999999999993</v>
      </c>
      <c r="O613" s="20">
        <f>ABS($E$2-G613)/G613</f>
        <v>3.5714285714285712E-2</v>
      </c>
      <c r="P613" s="20">
        <f>ABS($F$2-H613)/H613</f>
        <v>0.37777777777777782</v>
      </c>
      <c r="Q613" s="20">
        <f>ABS($H$2-J613)/J613</f>
        <v>0.70714285714285718</v>
      </c>
      <c r="R613" s="20">
        <f>ABS($J$2-L613)/L613</f>
        <v>1.0972222222222223</v>
      </c>
    </row>
    <row r="614" spans="1:18" ht="15.75" customHeight="1" x14ac:dyDescent="0.2">
      <c r="A614">
        <v>665</v>
      </c>
      <c r="B614" s="1" t="s">
        <v>531</v>
      </c>
      <c r="C614" s="1" t="s">
        <v>532</v>
      </c>
      <c r="D614" s="2"/>
      <c r="E614" s="6" t="s">
        <v>482</v>
      </c>
      <c r="F614" s="1">
        <v>0.8</v>
      </c>
      <c r="G614" s="4">
        <v>47</v>
      </c>
      <c r="H614" s="4">
        <v>6.3</v>
      </c>
      <c r="I614" s="4"/>
      <c r="J614" s="4">
        <v>8.4</v>
      </c>
      <c r="K614" s="4"/>
      <c r="L614" s="4"/>
      <c r="M614" s="21">
        <f>1-AVERAGE(N614:R614)</f>
        <v>0.47141801756163459</v>
      </c>
      <c r="N614" s="20">
        <f>ABS($D$2-F614)/F614</f>
        <v>0.27499999999999997</v>
      </c>
      <c r="O614" s="20">
        <f>ABS($E$2-G614)/G614</f>
        <v>0.38297872340425532</v>
      </c>
      <c r="P614" s="20">
        <f>ABS($F$2-H614)/H614</f>
        <v>1.5873015873015817E-2</v>
      </c>
      <c r="Q614" s="20">
        <f>ABS($H$2-J614)/J614</f>
        <v>1.4404761904761905</v>
      </c>
      <c r="R614" s="20"/>
    </row>
    <row r="615" spans="1:18" ht="15.75" customHeight="1" x14ac:dyDescent="0.2">
      <c r="A615">
        <v>226</v>
      </c>
      <c r="B615" s="9" t="s">
        <v>192</v>
      </c>
      <c r="E615" s="6" t="s">
        <v>41</v>
      </c>
      <c r="F615" s="3">
        <v>0.55000000000000004</v>
      </c>
      <c r="G615" s="3">
        <v>19</v>
      </c>
      <c r="H615" s="3">
        <v>4.5</v>
      </c>
      <c r="I615" s="3"/>
      <c r="J615" s="3">
        <v>9.5</v>
      </c>
      <c r="K615" s="3"/>
      <c r="L615" s="3"/>
      <c r="M615" s="21">
        <f>1-AVERAGE(N615:R615)</f>
        <v>0.47086656034024454</v>
      </c>
      <c r="N615" s="20">
        <f>ABS($D$2-F615)/F615</f>
        <v>5.4545454545454591E-2</v>
      </c>
      <c r="O615" s="20">
        <f>ABS($E$2-G615)/G615</f>
        <v>0.52631578947368418</v>
      </c>
      <c r="P615" s="20">
        <f>ABS($F$2-H615)/H615</f>
        <v>0.37777777777777782</v>
      </c>
      <c r="Q615" s="20">
        <f>ABS($H$2-J615)/J615</f>
        <v>1.1578947368421053</v>
      </c>
      <c r="R615" s="20"/>
    </row>
    <row r="616" spans="1:18" ht="15.75" customHeight="1" x14ac:dyDescent="0.2">
      <c r="A616">
        <v>859</v>
      </c>
      <c r="B616" s="1" t="s">
        <v>332</v>
      </c>
      <c r="C616" s="1"/>
      <c r="D616" s="2"/>
      <c r="E616" s="6" t="s">
        <v>495</v>
      </c>
      <c r="F616" s="1">
        <v>2.2000000000000002</v>
      </c>
      <c r="G616" s="4">
        <v>40</v>
      </c>
      <c r="H616" s="4">
        <v>4.4000000000000004</v>
      </c>
      <c r="I616" s="4"/>
      <c r="J616" s="4">
        <v>55</v>
      </c>
      <c r="K616" s="4"/>
      <c r="L616" s="4">
        <v>47</v>
      </c>
      <c r="M616" s="21">
        <f>1-AVERAGE(N616:R616)</f>
        <v>0.46917794970986471</v>
      </c>
      <c r="N616" s="20">
        <f>ABS($D$2-F616)/F616</f>
        <v>0.73636363636363633</v>
      </c>
      <c r="O616" s="20">
        <f>ABS($E$2-G616)/G616</f>
        <v>0.27500000000000002</v>
      </c>
      <c r="P616" s="20">
        <f>ABS($F$2-H616)/H616</f>
        <v>0.40909090909090901</v>
      </c>
      <c r="Q616" s="20">
        <f>ABS($H$2-J616)/J616</f>
        <v>0.62727272727272732</v>
      </c>
      <c r="R616" s="20">
        <f>ABS($J$2-L616)/L616</f>
        <v>0.6063829787234043</v>
      </c>
    </row>
    <row r="617" spans="1:18" ht="15.75" customHeight="1" x14ac:dyDescent="0.2">
      <c r="A617">
        <v>640</v>
      </c>
      <c r="B617" s="6" t="s">
        <v>514</v>
      </c>
      <c r="C617" s="6"/>
      <c r="D617" s="7"/>
      <c r="E617" s="6" t="s">
        <v>482</v>
      </c>
      <c r="F617" s="1">
        <v>1</v>
      </c>
      <c r="G617" s="4">
        <v>37</v>
      </c>
      <c r="H617" s="4">
        <v>5.0999999999999996</v>
      </c>
      <c r="I617" s="4"/>
      <c r="J617" s="4">
        <v>9</v>
      </c>
      <c r="K617" s="4"/>
      <c r="L617" s="4"/>
      <c r="M617" s="21">
        <f>1-AVERAGE(N617:R617)</f>
        <v>0.46757993287405053</v>
      </c>
      <c r="N617" s="20">
        <f>ABS($D$2-F617)/F617</f>
        <v>0.41999999999999993</v>
      </c>
      <c r="O617" s="20">
        <f>ABS($E$2-G617)/G617</f>
        <v>0.21621621621621623</v>
      </c>
      <c r="P617" s="20">
        <f>ABS($F$2-H617)/H617</f>
        <v>0.21568627450980404</v>
      </c>
      <c r="Q617" s="20">
        <f>ABS($H$2-J617)/J617</f>
        <v>1.2777777777777777</v>
      </c>
      <c r="R617" s="20"/>
    </row>
    <row r="618" spans="1:18" ht="15.75" customHeight="1" x14ac:dyDescent="0.2">
      <c r="A618">
        <v>659</v>
      </c>
      <c r="B618" s="9" t="s">
        <v>526</v>
      </c>
      <c r="C618" s="1" t="s">
        <v>527</v>
      </c>
      <c r="D618" s="2"/>
      <c r="E618" s="6" t="s">
        <v>495</v>
      </c>
      <c r="F618" s="1">
        <v>0.9</v>
      </c>
      <c r="G618" s="4">
        <v>34</v>
      </c>
      <c r="H618" s="4">
        <v>6.6</v>
      </c>
      <c r="I618" s="4"/>
      <c r="J618" s="4">
        <f>(6.3+7.3)/2</f>
        <v>6.8</v>
      </c>
      <c r="K618" s="4"/>
      <c r="L618" s="4">
        <f>(66+73)/2</f>
        <v>69.5</v>
      </c>
      <c r="M618" s="21">
        <f>1-AVERAGE(N618:R618)</f>
        <v>0.46714854854084653</v>
      </c>
      <c r="N618" s="20">
        <f>ABS($D$2-F618)/F618</f>
        <v>0.35555555555555551</v>
      </c>
      <c r="O618" s="20">
        <f>ABS($E$2-G618)/G618</f>
        <v>0.14705882352941177</v>
      </c>
      <c r="P618" s="20">
        <f>ABS($F$2-H618)/H618</f>
        <v>6.0606060606060531E-2</v>
      </c>
      <c r="Q618" s="20">
        <f>ABS($H$2-J618)/J618</f>
        <v>2.0147058823529411</v>
      </c>
      <c r="R618" s="20">
        <f>ABS($J$2-L618)/L618</f>
        <v>8.6330935251798566E-2</v>
      </c>
    </row>
    <row r="619" spans="1:18" ht="15.75" customHeight="1" x14ac:dyDescent="0.2">
      <c r="A619">
        <v>227</v>
      </c>
      <c r="B619" s="9" t="s">
        <v>193</v>
      </c>
      <c r="E619" s="6" t="s">
        <v>40</v>
      </c>
      <c r="F619" s="3">
        <f>(1.05+1.13)/2</f>
        <v>1.0899999999999999</v>
      </c>
      <c r="G619" s="3">
        <f>(13+16)/2</f>
        <v>14.5</v>
      </c>
      <c r="H619" s="3">
        <f>(4.8+5.3)/2</f>
        <v>5.05</v>
      </c>
      <c r="I619" s="3"/>
      <c r="J619" s="3">
        <f>(10+12)/2</f>
        <v>11</v>
      </c>
      <c r="K619" s="3"/>
      <c r="L619" s="3">
        <f>(83+87)/2</f>
        <v>85</v>
      </c>
      <c r="M619" s="21">
        <f>1-AVERAGE(N619:R619)</f>
        <v>0.46579724998943495</v>
      </c>
      <c r="N619" s="20">
        <f>ABS($D$2-F619)/F619</f>
        <v>0.46788990825688059</v>
      </c>
      <c r="O619" s="20">
        <f>ABS($E$2-G619)/G619</f>
        <v>1</v>
      </c>
      <c r="P619" s="20">
        <f>ABS($F$2-H619)/H619</f>
        <v>0.22772277227722781</v>
      </c>
      <c r="Q619" s="20">
        <f>ABS($H$2-J619)/J619</f>
        <v>0.86363636363636365</v>
      </c>
      <c r="R619" s="20">
        <f>ABS($J$2-L619)/L619</f>
        <v>0.11176470588235295</v>
      </c>
    </row>
    <row r="620" spans="1:18" ht="15.75" customHeight="1" x14ac:dyDescent="0.2">
      <c r="A620">
        <v>912</v>
      </c>
      <c r="B620" s="1" t="s">
        <v>722</v>
      </c>
      <c r="C620" s="1"/>
      <c r="D620" s="2"/>
      <c r="E620" s="6" t="s">
        <v>495</v>
      </c>
      <c r="F620" s="1">
        <v>2.2000000000000002</v>
      </c>
      <c r="G620" s="4">
        <v>46</v>
      </c>
      <c r="H620" s="4">
        <v>5.3</v>
      </c>
      <c r="I620" s="4"/>
      <c r="J620" s="4">
        <v>73</v>
      </c>
      <c r="K620" s="4"/>
      <c r="L620" s="4">
        <v>45</v>
      </c>
      <c r="M620" s="21">
        <f>1-AVERAGE(N620:R620)</f>
        <v>0.46546079310415678</v>
      </c>
      <c r="N620" s="20">
        <f>ABS($D$2-F620)/F620</f>
        <v>0.73636363636363633</v>
      </c>
      <c r="O620" s="20">
        <f>ABS($E$2-G620)/G620</f>
        <v>0.36956521739130432</v>
      </c>
      <c r="P620" s="20">
        <f>ABS($F$2-H620)/H620</f>
        <v>0.16981132075471705</v>
      </c>
      <c r="Q620" s="20">
        <f>ABS($H$2-J620)/J620</f>
        <v>0.71917808219178081</v>
      </c>
      <c r="R620" s="20">
        <f>ABS($J$2-L620)/L620</f>
        <v>0.67777777777777781</v>
      </c>
    </row>
    <row r="621" spans="1:18" ht="15.75" customHeight="1" x14ac:dyDescent="0.2">
      <c r="A621">
        <v>706</v>
      </c>
      <c r="B621" s="1" t="s">
        <v>565</v>
      </c>
      <c r="C621" s="1"/>
      <c r="D621" s="2"/>
      <c r="E621" s="6" t="s">
        <v>482</v>
      </c>
      <c r="F621" s="1">
        <v>2</v>
      </c>
      <c r="G621" s="1">
        <v>62</v>
      </c>
      <c r="H621" s="1">
        <v>11</v>
      </c>
      <c r="I621" s="1"/>
      <c r="J621" s="1">
        <v>14</v>
      </c>
      <c r="K621" s="1"/>
      <c r="L621" s="1"/>
      <c r="M621" s="21">
        <f>1-AVERAGE(N621:R621)</f>
        <v>0.46427314620863014</v>
      </c>
      <c r="N621" s="20">
        <f>ABS($D$2-F621)/F621</f>
        <v>0.71</v>
      </c>
      <c r="O621" s="20">
        <f>ABS($E$2-G621)/G621</f>
        <v>0.532258064516129</v>
      </c>
      <c r="P621" s="20">
        <f>ABS($F$2-H621)/H621</f>
        <v>0.43636363636363634</v>
      </c>
      <c r="Q621" s="20">
        <f>ABS($H$2-J621)/J621</f>
        <v>0.4642857142857143</v>
      </c>
      <c r="R621" s="20"/>
    </row>
    <row r="622" spans="1:18" ht="15.75" customHeight="1" x14ac:dyDescent="0.2">
      <c r="A622">
        <v>277</v>
      </c>
      <c r="B622" s="9" t="s">
        <v>224</v>
      </c>
      <c r="E622" s="6" t="s">
        <v>41</v>
      </c>
      <c r="F622" s="3">
        <f>(0.9+1.4)/2</f>
        <v>1.1499999999999999</v>
      </c>
      <c r="G622" s="3">
        <f>(19+21)/2</f>
        <v>20</v>
      </c>
      <c r="H622" s="3">
        <f>(3.9+5.2)/2</f>
        <v>4.55</v>
      </c>
      <c r="I622" s="3"/>
      <c r="J622" s="3">
        <f>(9.3+13)/2</f>
        <v>11.15</v>
      </c>
      <c r="K622" s="3"/>
      <c r="L622" s="3"/>
      <c r="M622" s="21">
        <f>1-AVERAGE(N622:R622)</f>
        <v>0.4632863602570173</v>
      </c>
      <c r="N622" s="20">
        <f>ABS($D$2-F622)/F622</f>
        <v>0.49565217391304339</v>
      </c>
      <c r="O622" s="20">
        <f>ABS($E$2-G622)/G622</f>
        <v>0.45</v>
      </c>
      <c r="P622" s="20">
        <f>ABS($F$2-H622)/H622</f>
        <v>0.36263736263736274</v>
      </c>
      <c r="Q622" s="20">
        <f>ABS($H$2-J622)/J622</f>
        <v>0.83856502242152464</v>
      </c>
      <c r="R622" s="20"/>
    </row>
    <row r="623" spans="1:18" ht="15.75" customHeight="1" x14ac:dyDescent="0.2">
      <c r="A623">
        <v>888</v>
      </c>
      <c r="B623" s="1" t="s">
        <v>707</v>
      </c>
      <c r="C623" s="1"/>
      <c r="D623" s="2"/>
      <c r="E623" s="6" t="s">
        <v>495</v>
      </c>
      <c r="F623" s="1">
        <v>3.6</v>
      </c>
      <c r="G623" s="4">
        <v>38</v>
      </c>
      <c r="H623" s="4">
        <v>4.5</v>
      </c>
      <c r="I623" s="4"/>
      <c r="J623" s="4">
        <v>66</v>
      </c>
      <c r="K623" s="4"/>
      <c r="L623" s="4">
        <v>49</v>
      </c>
      <c r="M623" s="21">
        <f>1-AVERAGE(N623:R623)</f>
        <v>0.46325619242912475</v>
      </c>
      <c r="N623" s="20">
        <f>ABS($D$2-F623)/F623</f>
        <v>0.83888888888888891</v>
      </c>
      <c r="O623" s="20">
        <f>ABS($E$2-G623)/G623</f>
        <v>0.23684210526315788</v>
      </c>
      <c r="P623" s="20">
        <f>ABS($F$2-H623)/H623</f>
        <v>0.37777777777777782</v>
      </c>
      <c r="Q623" s="20">
        <f>ABS($H$2-J623)/J623</f>
        <v>0.68939393939393945</v>
      </c>
      <c r="R623" s="20">
        <f>ABS($J$2-L623)/L623</f>
        <v>0.54081632653061229</v>
      </c>
    </row>
    <row r="624" spans="1:18" ht="15.75" customHeight="1" x14ac:dyDescent="0.2">
      <c r="A624">
        <v>251</v>
      </c>
      <c r="B624" s="9" t="s">
        <v>209</v>
      </c>
      <c r="E624" s="6" t="s">
        <v>40</v>
      </c>
      <c r="F624" s="3">
        <f>(0.28+0.5)/2</f>
        <v>0.39</v>
      </c>
      <c r="G624" s="3">
        <f>(13+15)/2</f>
        <v>14</v>
      </c>
      <c r="H624" s="3">
        <f>(5.4+6.6)/2</f>
        <v>6</v>
      </c>
      <c r="I624" s="3"/>
      <c r="J624" s="3">
        <f>(10.5+13)/2</f>
        <v>11.75</v>
      </c>
      <c r="K624" s="3"/>
      <c r="L624" s="3">
        <f>(55+57)/2</f>
        <v>56</v>
      </c>
      <c r="M624" s="21">
        <f>1-AVERAGE(N624:R624)</f>
        <v>0.4630326942560985</v>
      </c>
      <c r="N624" s="20">
        <f>ABS($D$2-F624)/F624</f>
        <v>0.48717948717948734</v>
      </c>
      <c r="O624" s="20">
        <f>ABS($E$2-G624)/G624</f>
        <v>1.0714285714285714</v>
      </c>
      <c r="P624" s="20">
        <f>ABS($F$2-H624)/H624</f>
        <v>3.3333333333333361E-2</v>
      </c>
      <c r="Q624" s="20">
        <f>ABS($H$2-J624)/J624</f>
        <v>0.74468085106382975</v>
      </c>
      <c r="R624" s="20">
        <f>ABS($J$2-L624)/L624</f>
        <v>0.3482142857142857</v>
      </c>
    </row>
    <row r="625" spans="1:18" ht="15.75" customHeight="1" x14ac:dyDescent="0.2">
      <c r="A625">
        <v>29</v>
      </c>
      <c r="B625" s="6" t="s">
        <v>59</v>
      </c>
      <c r="C625" s="6"/>
      <c r="D625" s="7"/>
      <c r="E625" s="6" t="s">
        <v>40</v>
      </c>
      <c r="F625" s="3">
        <f>(0.35+0.49)/2</f>
        <v>0.42</v>
      </c>
      <c r="G625" s="3">
        <f>(29+32)/2</f>
        <v>30.5</v>
      </c>
      <c r="H625" s="3">
        <f>(3+3.6)/2</f>
        <v>3.3</v>
      </c>
      <c r="I625" s="3"/>
      <c r="J625" s="3">
        <f>(7.6+9.9)/2</f>
        <v>8.75</v>
      </c>
      <c r="K625" s="3"/>
      <c r="L625" s="3">
        <f>(72+74)/2</f>
        <v>73</v>
      </c>
      <c r="M625" s="21">
        <f>1-AVERAGE(N625:R625)</f>
        <v>0.46279513883825574</v>
      </c>
      <c r="N625" s="20">
        <f>ABS($D$2-F625)/F625</f>
        <v>0.38095238095238115</v>
      </c>
      <c r="O625" s="20">
        <f>ABS($E$2-G625)/G625</f>
        <v>4.9180327868852458E-2</v>
      </c>
      <c r="P625" s="20">
        <f>ABS($F$2-H625)/H625</f>
        <v>0.8787878787878789</v>
      </c>
      <c r="Q625" s="20">
        <f>ABS($H$2-J625)/J625</f>
        <v>1.3428571428571427</v>
      </c>
      <c r="R625" s="20">
        <f>ABS($J$2-L625)/L625</f>
        <v>3.4246575342465752E-2</v>
      </c>
    </row>
    <row r="626" spans="1:18" ht="15.75" customHeight="1" x14ac:dyDescent="0.2">
      <c r="A626">
        <v>780</v>
      </c>
      <c r="B626" s="6" t="s">
        <v>612</v>
      </c>
      <c r="C626" s="6"/>
      <c r="D626" s="7"/>
      <c r="E626" s="6" t="s">
        <v>495</v>
      </c>
      <c r="F626" s="6">
        <v>4</v>
      </c>
      <c r="G626" s="6">
        <v>46</v>
      </c>
      <c r="H626" s="6">
        <v>4.2</v>
      </c>
      <c r="I626" s="6"/>
      <c r="J626" s="6">
        <v>58</v>
      </c>
      <c r="K626" s="6"/>
      <c r="L626" s="6">
        <v>56</v>
      </c>
      <c r="M626" s="21">
        <f>1-AVERAGE(N626:R626)</f>
        <v>0.46089565931320053</v>
      </c>
      <c r="N626" s="20">
        <f>ABS($D$2-F626)/F626</f>
        <v>0.85499999999999998</v>
      </c>
      <c r="O626" s="20">
        <f>ABS($E$2-G626)/G626</f>
        <v>0.36956521739130432</v>
      </c>
      <c r="P626" s="20">
        <f>ABS($F$2-H626)/H626</f>
        <v>0.47619047619047616</v>
      </c>
      <c r="Q626" s="20">
        <f>ABS($H$2-J626)/J626</f>
        <v>0.64655172413793105</v>
      </c>
      <c r="R626" s="20">
        <f>ABS($J$2-L626)/L626</f>
        <v>0.3482142857142857</v>
      </c>
    </row>
    <row r="627" spans="1:18" ht="15.75" customHeight="1" x14ac:dyDescent="0.2">
      <c r="A627">
        <v>505</v>
      </c>
      <c r="B627" s="9" t="s">
        <v>396</v>
      </c>
      <c r="E627" s="6" t="s">
        <v>41</v>
      </c>
      <c r="F627" s="3">
        <f>(2.17+2.87)/2</f>
        <v>2.52</v>
      </c>
      <c r="G627" s="3">
        <f>(46+53)/2</f>
        <v>49.5</v>
      </c>
      <c r="H627" s="3">
        <f>(3.5+4)/2</f>
        <v>3.75</v>
      </c>
      <c r="I627" s="3"/>
      <c r="J627" s="3">
        <f>(27+34)/2</f>
        <v>30.5</v>
      </c>
      <c r="K627" s="10"/>
      <c r="L627" s="10"/>
      <c r="M627" s="21">
        <f>1-AVERAGE(N627:R627)</f>
        <v>0.45870378255624156</v>
      </c>
      <c r="N627" s="20">
        <f>ABS($D$2-F627)/F627</f>
        <v>0.76984126984126977</v>
      </c>
      <c r="O627" s="20">
        <f>ABS($E$2-G627)/G627</f>
        <v>0.41414141414141414</v>
      </c>
      <c r="P627" s="20">
        <f>ABS($F$2-H627)/H627</f>
        <v>0.65333333333333343</v>
      </c>
      <c r="Q627" s="20">
        <f>ABS($H$2-J627)/J627</f>
        <v>0.32786885245901637</v>
      </c>
      <c r="R627" s="20"/>
    </row>
    <row r="628" spans="1:18" ht="15.75" customHeight="1" x14ac:dyDescent="0.2">
      <c r="A628">
        <v>896</v>
      </c>
      <c r="B628" s="1" t="s">
        <v>711</v>
      </c>
      <c r="C628" s="1"/>
      <c r="D628" s="2"/>
      <c r="E628" s="6" t="s">
        <v>495</v>
      </c>
      <c r="F628" s="1">
        <v>2.2999999999999998</v>
      </c>
      <c r="G628" s="4">
        <v>44</v>
      </c>
      <c r="H628" s="4">
        <v>4.9000000000000004</v>
      </c>
      <c r="I628" s="4"/>
      <c r="J628" s="4">
        <v>64</v>
      </c>
      <c r="K628" s="4"/>
      <c r="L628" s="4">
        <v>45</v>
      </c>
      <c r="M628" s="21">
        <f>1-AVERAGE(N628:R628)</f>
        <v>0.45769868438152606</v>
      </c>
      <c r="N628" s="20">
        <f>ABS($D$2-F628)/F628</f>
        <v>0.74782608695652164</v>
      </c>
      <c r="O628" s="20">
        <f>ABS($E$2-G628)/G628</f>
        <v>0.34090909090909088</v>
      </c>
      <c r="P628" s="20">
        <f>ABS($F$2-H628)/H628</f>
        <v>0.26530612244897955</v>
      </c>
      <c r="Q628" s="20">
        <f>ABS($H$2-J628)/J628</f>
        <v>0.6796875</v>
      </c>
      <c r="R628" s="20">
        <f>ABS($J$2-L628)/L628</f>
        <v>0.67777777777777781</v>
      </c>
    </row>
    <row r="629" spans="1:18" ht="15.75" customHeight="1" x14ac:dyDescent="0.2">
      <c r="A629">
        <v>437</v>
      </c>
      <c r="B629" s="9" t="s">
        <v>345</v>
      </c>
      <c r="E629" s="6" t="s">
        <v>40</v>
      </c>
      <c r="F629" s="3">
        <v>0.71</v>
      </c>
      <c r="G629" s="3">
        <f>(23+26)/2</f>
        <v>24.5</v>
      </c>
      <c r="H629" s="3">
        <v>4</v>
      </c>
      <c r="I629" s="3"/>
      <c r="J629" s="3">
        <v>13</v>
      </c>
      <c r="K629" s="3"/>
      <c r="L629" s="3">
        <v>34</v>
      </c>
      <c r="M629" s="21">
        <f>1-AVERAGE(N629:R629)</f>
        <v>0.45714332536915092</v>
      </c>
      <c r="N629" s="20">
        <f>ABS($D$2-F629)/F629</f>
        <v>0.18309859154929564</v>
      </c>
      <c r="O629" s="20">
        <f>ABS($E$2-G629)/G629</f>
        <v>0.18367346938775511</v>
      </c>
      <c r="P629" s="20">
        <f>ABS($F$2-H629)/H629</f>
        <v>0.55000000000000004</v>
      </c>
      <c r="Q629" s="20">
        <f>ABS($H$2-J629)/J629</f>
        <v>0.57692307692307687</v>
      </c>
      <c r="R629" s="20">
        <f>ABS($J$2-L629)/L629</f>
        <v>1.2205882352941178</v>
      </c>
    </row>
    <row r="630" spans="1:18" ht="15.75" customHeight="1" x14ac:dyDescent="0.2">
      <c r="A630">
        <v>858</v>
      </c>
      <c r="B630" s="1" t="s">
        <v>687</v>
      </c>
      <c r="C630" s="1"/>
      <c r="D630" s="2"/>
      <c r="E630" s="6" t="s">
        <v>495</v>
      </c>
      <c r="F630" s="1">
        <v>1.2</v>
      </c>
      <c r="G630" s="4">
        <v>36</v>
      </c>
      <c r="H630" s="4">
        <v>3.7</v>
      </c>
      <c r="I630" s="4"/>
      <c r="J630" s="4">
        <v>40</v>
      </c>
      <c r="K630" s="4"/>
      <c r="L630" s="4">
        <v>41</v>
      </c>
      <c r="M630" s="21">
        <f>1-AVERAGE(N630:R630)</f>
        <v>0.45684995971581333</v>
      </c>
      <c r="N630" s="20">
        <f>ABS($D$2-F630)/F630</f>
        <v>0.51666666666666661</v>
      </c>
      <c r="O630" s="20">
        <f>ABS($E$2-G630)/G630</f>
        <v>0.19444444444444445</v>
      </c>
      <c r="P630" s="20">
        <f>ABS($F$2-H630)/H630</f>
        <v>0.67567567567567566</v>
      </c>
      <c r="Q630" s="20">
        <f>ABS($H$2-J630)/J630</f>
        <v>0.48749999999999999</v>
      </c>
      <c r="R630" s="20">
        <f>ABS($J$2-L630)/L630</f>
        <v>0.84146341463414631</v>
      </c>
    </row>
    <row r="631" spans="1:18" ht="15.75" customHeight="1" x14ac:dyDescent="0.2">
      <c r="A631">
        <v>396</v>
      </c>
      <c r="B631" s="9" t="s">
        <v>316</v>
      </c>
      <c r="E631" s="6" t="s">
        <v>40</v>
      </c>
      <c r="F631" s="3">
        <v>7.2</v>
      </c>
      <c r="G631" s="3">
        <v>90</v>
      </c>
      <c r="H631" s="3">
        <v>8.5</v>
      </c>
      <c r="I631" s="3"/>
      <c r="J631" s="3">
        <v>50</v>
      </c>
      <c r="K631" s="3"/>
      <c r="L631" s="3">
        <v>60</v>
      </c>
      <c r="M631" s="21">
        <f>1-AVERAGE(N631:R631)</f>
        <v>0.45677124183006534</v>
      </c>
      <c r="N631" s="20">
        <f>ABS($D$2-F631)/F631</f>
        <v>0.9194444444444444</v>
      </c>
      <c r="O631" s="20">
        <f>ABS($E$2-G631)/G631</f>
        <v>0.67777777777777781</v>
      </c>
      <c r="P631" s="20">
        <f>ABS($F$2-H631)/H631</f>
        <v>0.27058823529411763</v>
      </c>
      <c r="Q631" s="20">
        <f>ABS($H$2-J631)/J631</f>
        <v>0.59</v>
      </c>
      <c r="R631" s="20">
        <f>ABS($J$2-L631)/L631</f>
        <v>0.25833333333333336</v>
      </c>
    </row>
    <row r="632" spans="1:18" ht="15.75" customHeight="1" x14ac:dyDescent="0.2">
      <c r="A632">
        <v>851</v>
      </c>
      <c r="B632" s="1" t="s">
        <v>327</v>
      </c>
      <c r="C632" s="1"/>
      <c r="D632" s="2"/>
      <c r="E632" s="6" t="s">
        <v>482</v>
      </c>
      <c r="F632" s="1">
        <v>3.7</v>
      </c>
      <c r="G632" s="4">
        <v>37</v>
      </c>
      <c r="H632" s="4">
        <v>4.7</v>
      </c>
      <c r="I632" s="4"/>
      <c r="J632" s="4">
        <v>100</v>
      </c>
      <c r="K632" s="4"/>
      <c r="L632" s="4"/>
      <c r="M632" s="21">
        <f>1-AVERAGE(N632:R632)</f>
        <v>0.45659790109258203</v>
      </c>
      <c r="N632" s="20">
        <f>ABS($D$2-F632)/F632</f>
        <v>0.84324324324324318</v>
      </c>
      <c r="O632" s="20">
        <f>ABS($E$2-G632)/G632</f>
        <v>0.21621621621621623</v>
      </c>
      <c r="P632" s="20">
        <f>ABS($F$2-H632)/H632</f>
        <v>0.31914893617021273</v>
      </c>
      <c r="Q632" s="20">
        <f>ABS($H$2-J632)/J632</f>
        <v>0.79500000000000004</v>
      </c>
      <c r="R632" s="20"/>
    </row>
    <row r="633" spans="1:18" ht="15.75" customHeight="1" x14ac:dyDescent="0.2">
      <c r="A633">
        <v>900</v>
      </c>
      <c r="B633" s="1" t="s">
        <v>713</v>
      </c>
      <c r="C633" s="1"/>
      <c r="D633" s="2"/>
      <c r="E633" s="6" t="s">
        <v>495</v>
      </c>
      <c r="F633" s="1">
        <v>0.4</v>
      </c>
      <c r="G633" s="4">
        <v>17</v>
      </c>
      <c r="H633" s="4">
        <v>3</v>
      </c>
      <c r="I633" s="4"/>
      <c r="J633" s="4">
        <v>31</v>
      </c>
      <c r="K633" s="4"/>
      <c r="L633" s="4">
        <v>65</v>
      </c>
      <c r="M633" s="21">
        <f>1-AVERAGE(N633:R633)</f>
        <v>0.45544056828686807</v>
      </c>
      <c r="N633" s="20">
        <f>ABS($D$2-F633)/F633</f>
        <v>0.45000000000000012</v>
      </c>
      <c r="O633" s="20">
        <f>ABS($E$2-G633)/G633</f>
        <v>0.70588235294117652</v>
      </c>
      <c r="P633" s="20">
        <f>ABS($F$2-H633)/H633</f>
        <v>1.0666666666666667</v>
      </c>
      <c r="Q633" s="20">
        <f>ABS($H$2-J633)/J633</f>
        <v>0.33870967741935482</v>
      </c>
      <c r="R633" s="20">
        <f>ABS($J$2-L633)/L633</f>
        <v>0.16153846153846155</v>
      </c>
    </row>
    <row r="634" spans="1:18" ht="15.75" customHeight="1" x14ac:dyDescent="0.2">
      <c r="A634">
        <v>219</v>
      </c>
      <c r="B634" s="9" t="s">
        <v>187</v>
      </c>
      <c r="C634" s="9" t="s">
        <v>188</v>
      </c>
      <c r="E634" s="6" t="s">
        <v>40</v>
      </c>
      <c r="F634" s="3">
        <f>(0.89+1.99)/2</f>
        <v>1.44</v>
      </c>
      <c r="G634" s="3">
        <f>(12+15)/2</f>
        <v>13.5</v>
      </c>
      <c r="H634" s="3">
        <f>(4.1+7.1)/2</f>
        <v>5.6</v>
      </c>
      <c r="I634" s="3"/>
      <c r="J634" s="3">
        <f>(43+64)/2</f>
        <v>53.5</v>
      </c>
      <c r="K634" s="3"/>
      <c r="L634" s="3">
        <f>(59+61)/2</f>
        <v>60</v>
      </c>
      <c r="M634" s="21">
        <f>1-AVERAGE(N634:R634)</f>
        <v>0.45446620184937947</v>
      </c>
      <c r="N634" s="20">
        <f>ABS($D$2-F634)/F634</f>
        <v>0.59722222222222221</v>
      </c>
      <c r="O634" s="20">
        <f>ABS($E$2-G634)/G634</f>
        <v>1.1481481481481481</v>
      </c>
      <c r="P634" s="20">
        <f>ABS($F$2-H634)/H634</f>
        <v>0.10714285714285725</v>
      </c>
      <c r="Q634" s="20">
        <f>ABS($H$2-J634)/J634</f>
        <v>0.61682242990654201</v>
      </c>
      <c r="R634" s="20">
        <f>ABS($J$2-L634)/L634</f>
        <v>0.25833333333333336</v>
      </c>
    </row>
    <row r="635" spans="1:18" ht="15.75" customHeight="1" x14ac:dyDescent="0.2">
      <c r="A635">
        <v>323</v>
      </c>
      <c r="B635" s="9" t="s">
        <v>256</v>
      </c>
      <c r="E635" s="6" t="s">
        <v>41</v>
      </c>
      <c r="F635" s="3">
        <f>(0.56+0.64)/2</f>
        <v>0.60000000000000009</v>
      </c>
      <c r="G635" s="3">
        <f>(25+28)/2</f>
        <v>26.5</v>
      </c>
      <c r="H635" s="3">
        <f>(5.4+5.8)/2</f>
        <v>5.6</v>
      </c>
      <c r="I635" s="3"/>
      <c r="J635" s="3">
        <f>(6.6+7.3)/2</f>
        <v>6.9499999999999993</v>
      </c>
      <c r="K635" s="3"/>
      <c r="L635" s="3"/>
      <c r="M635" s="21">
        <f>1-AVERAGE(N635:R635)</f>
        <v>0.45388597477812886</v>
      </c>
      <c r="N635" s="20">
        <f>ABS($D$2-F635)/F635</f>
        <v>3.3333333333333361E-2</v>
      </c>
      <c r="O635" s="20">
        <f>ABS($E$2-G635)/G635</f>
        <v>9.4339622641509441E-2</v>
      </c>
      <c r="P635" s="20">
        <f>ABS($F$2-H635)/H635</f>
        <v>0.10714285714285725</v>
      </c>
      <c r="Q635" s="20">
        <f>ABS($H$2-J635)/J635</f>
        <v>1.9496402877697845</v>
      </c>
      <c r="R635" s="20"/>
    </row>
    <row r="636" spans="1:18" ht="15.75" customHeight="1" x14ac:dyDescent="0.2">
      <c r="A636">
        <v>79</v>
      </c>
      <c r="B636" s="1" t="s">
        <v>88</v>
      </c>
      <c r="C636" s="1"/>
      <c r="D636" s="2"/>
      <c r="E636" s="6" t="s">
        <v>41</v>
      </c>
      <c r="F636" s="3">
        <v>0.36</v>
      </c>
      <c r="G636" s="3">
        <v>33</v>
      </c>
      <c r="H636" s="3">
        <v>3.9</v>
      </c>
      <c r="I636" s="3"/>
      <c r="J636" s="3">
        <v>11</v>
      </c>
      <c r="K636" s="3"/>
      <c r="L636" s="3"/>
      <c r="M636" s="21">
        <f>1-AVERAGE(N636:R636)</f>
        <v>0.45357420357420342</v>
      </c>
      <c r="N636" s="20">
        <f>ABS($D$2-F636)/F636</f>
        <v>0.61111111111111138</v>
      </c>
      <c r="O636" s="20">
        <f>ABS($E$2-G636)/G636</f>
        <v>0.12121212121212122</v>
      </c>
      <c r="P636" s="20">
        <f>ABS($F$2-H636)/H636</f>
        <v>0.58974358974358987</v>
      </c>
      <c r="Q636" s="20">
        <f>ABS($H$2-J636)/J636</f>
        <v>0.86363636363636365</v>
      </c>
      <c r="R636" s="20"/>
    </row>
    <row r="637" spans="1:18" ht="15.75" customHeight="1" x14ac:dyDescent="0.2">
      <c r="A637">
        <v>739</v>
      </c>
      <c r="B637" s="1" t="s">
        <v>590</v>
      </c>
      <c r="C637" s="1"/>
      <c r="D637" s="2"/>
      <c r="E637" s="6" t="s">
        <v>495</v>
      </c>
      <c r="F637" s="1">
        <v>0.35</v>
      </c>
      <c r="G637" s="4">
        <v>16</v>
      </c>
      <c r="H637" s="4">
        <v>3.8</v>
      </c>
      <c r="I637" s="4"/>
      <c r="J637" s="4">
        <v>13</v>
      </c>
      <c r="K637" s="4"/>
      <c r="L637" s="4">
        <v>80</v>
      </c>
      <c r="M637" s="21">
        <f>1-AVERAGE(N637:R637)</f>
        <v>0.4531210237131289</v>
      </c>
      <c r="N637" s="20">
        <f>ABS($D$2-F637)/F637</f>
        <v>0.65714285714285747</v>
      </c>
      <c r="O637" s="20">
        <f>ABS($E$2-G637)/G637</f>
        <v>0.8125</v>
      </c>
      <c r="P637" s="20">
        <f>ABS($F$2-H637)/H637</f>
        <v>0.63157894736842113</v>
      </c>
      <c r="Q637" s="20">
        <f>ABS($H$2-J637)/J637</f>
        <v>0.57692307692307687</v>
      </c>
      <c r="R637" s="20">
        <f>ABS($J$2-L637)/L637</f>
        <v>5.6250000000000001E-2</v>
      </c>
    </row>
    <row r="638" spans="1:18" ht="15.75" customHeight="1" x14ac:dyDescent="0.2">
      <c r="A638">
        <v>895</v>
      </c>
      <c r="B638" s="1" t="s">
        <v>710</v>
      </c>
      <c r="C638" s="1"/>
      <c r="D638" s="2"/>
      <c r="E638" s="6" t="s">
        <v>482</v>
      </c>
      <c r="F638" s="1">
        <v>1.3</v>
      </c>
      <c r="G638" s="4">
        <v>41</v>
      </c>
      <c r="H638" s="4">
        <v>3.4</v>
      </c>
      <c r="I638" s="4"/>
      <c r="J638" s="4">
        <v>43</v>
      </c>
      <c r="K638" s="4"/>
      <c r="L638" s="4"/>
      <c r="M638" s="21">
        <f>1-AVERAGE(N638:R638)</f>
        <v>0.45167142340159594</v>
      </c>
      <c r="N638" s="20">
        <f>ABS($D$2-F638)/F638</f>
        <v>0.55384615384615377</v>
      </c>
      <c r="O638" s="20">
        <f>ABS($E$2-G638)/G638</f>
        <v>0.29268292682926828</v>
      </c>
      <c r="P638" s="20">
        <f>ABS($F$2-H638)/H638</f>
        <v>0.82352941176470595</v>
      </c>
      <c r="Q638" s="20">
        <f>ABS($H$2-J638)/J638</f>
        <v>0.52325581395348841</v>
      </c>
      <c r="R638" s="20"/>
    </row>
    <row r="639" spans="1:18" ht="15.75" customHeight="1" x14ac:dyDescent="0.2">
      <c r="A639">
        <v>880</v>
      </c>
      <c r="B639" s="1" t="s">
        <v>703</v>
      </c>
      <c r="C639" s="1"/>
      <c r="D639" s="2"/>
      <c r="E639" s="6" t="s">
        <v>495</v>
      </c>
      <c r="F639" s="1">
        <v>1.8</v>
      </c>
      <c r="G639" s="4">
        <v>34</v>
      </c>
      <c r="H639" s="4">
        <v>3.1</v>
      </c>
      <c r="I639" s="4"/>
      <c r="J639" s="4">
        <v>65</v>
      </c>
      <c r="K639" s="4"/>
      <c r="L639" s="4">
        <v>61</v>
      </c>
      <c r="M639" s="21">
        <f>1-AVERAGE(N639:R639)</f>
        <v>0.45056861920892777</v>
      </c>
      <c r="N639" s="20">
        <f>ABS($D$2-F639)/F639</f>
        <v>0.6777777777777777</v>
      </c>
      <c r="O639" s="20">
        <f>ABS($E$2-G639)/G639</f>
        <v>0.14705882352941177</v>
      </c>
      <c r="P639" s="20">
        <f>ABS($F$2-H639)/H639</f>
        <v>1</v>
      </c>
      <c r="Q639" s="20">
        <f>ABS($H$2-J639)/J639</f>
        <v>0.68461538461538463</v>
      </c>
      <c r="R639" s="20">
        <f>ABS($J$2-L639)/L639</f>
        <v>0.23770491803278687</v>
      </c>
    </row>
    <row r="640" spans="1:18" ht="15.75" customHeight="1" x14ac:dyDescent="0.2">
      <c r="A640">
        <v>232</v>
      </c>
      <c r="B640" s="9" t="s">
        <v>175</v>
      </c>
      <c r="C640" s="9" t="s">
        <v>196</v>
      </c>
      <c r="E640" s="6" t="s">
        <v>41</v>
      </c>
      <c r="F640" s="3">
        <f>(0.64+1.05)/2</f>
        <v>0.84499999999999997</v>
      </c>
      <c r="G640" s="3">
        <f>(15+25)/2</f>
        <v>20</v>
      </c>
      <c r="H640" s="3">
        <f>(3.3+4.5)/2</f>
        <v>3.9</v>
      </c>
      <c r="I640" s="3"/>
      <c r="J640" s="3">
        <f>(8.2+14)/2</f>
        <v>11.1</v>
      </c>
      <c r="K640" s="3"/>
      <c r="L640" s="3"/>
      <c r="M640" s="21">
        <f>1-AVERAGE(N640:R640)</f>
        <v>0.44995002398848549</v>
      </c>
      <c r="N640" s="20">
        <f>ABS($D$2-F640)/F640</f>
        <v>0.31360946745562118</v>
      </c>
      <c r="O640" s="20">
        <f>ABS($E$2-G640)/G640</f>
        <v>0.45</v>
      </c>
      <c r="P640" s="20">
        <f>ABS($F$2-H640)/H640</f>
        <v>0.58974358974358987</v>
      </c>
      <c r="Q640" s="20">
        <f>ABS($H$2-J640)/J640</f>
        <v>0.84684684684684686</v>
      </c>
      <c r="R640" s="20"/>
    </row>
    <row r="641" spans="1:18" ht="15.75" customHeight="1" x14ac:dyDescent="0.2">
      <c r="A641">
        <v>471</v>
      </c>
      <c r="B641" s="9" t="s">
        <v>372</v>
      </c>
      <c r="C641" s="9" t="s">
        <v>373</v>
      </c>
      <c r="E641" s="6" t="s">
        <v>40</v>
      </c>
      <c r="F641" s="3">
        <f>(2.5+3.7)/2</f>
        <v>3.1</v>
      </c>
      <c r="G641" s="3">
        <v>37</v>
      </c>
      <c r="H641" s="3">
        <v>4</v>
      </c>
      <c r="I641" s="3"/>
      <c r="J641" s="3">
        <v>67</v>
      </c>
      <c r="K641" s="3"/>
      <c r="L641" s="3">
        <v>51</v>
      </c>
      <c r="M641" s="21">
        <f>1-AVERAGE(N641:R641)</f>
        <v>0.44929171007366364</v>
      </c>
      <c r="N641" s="20">
        <f>ABS($D$2-F641)/F641</f>
        <v>0.81290322580645158</v>
      </c>
      <c r="O641" s="20">
        <f>ABS($E$2-G641)/G641</f>
        <v>0.21621621621621623</v>
      </c>
      <c r="P641" s="20">
        <f>ABS($F$2-H641)/H641</f>
        <v>0.55000000000000004</v>
      </c>
      <c r="Q641" s="20">
        <f>ABS($H$2-J641)/J641</f>
        <v>0.69402985074626866</v>
      </c>
      <c r="R641" s="20">
        <f>ABS($J$2-L641)/L641</f>
        <v>0.48039215686274511</v>
      </c>
    </row>
    <row r="642" spans="1:18" ht="15.75" customHeight="1" x14ac:dyDescent="0.2">
      <c r="A642">
        <v>770</v>
      </c>
      <c r="B642" s="6" t="s">
        <v>605</v>
      </c>
      <c r="C642" s="6"/>
      <c r="D642" s="7"/>
      <c r="E642" s="6" t="s">
        <v>495</v>
      </c>
      <c r="F642" s="1">
        <v>3.2</v>
      </c>
      <c r="G642" s="4">
        <v>24</v>
      </c>
      <c r="H642" s="4">
        <v>4.5</v>
      </c>
      <c r="I642" s="4"/>
      <c r="J642" s="4">
        <v>80</v>
      </c>
      <c r="K642" s="4"/>
      <c r="L642" s="4">
        <v>47</v>
      </c>
      <c r="M642" s="21">
        <f>1-AVERAGE(N642:R642)</f>
        <v>0.4490011820330968</v>
      </c>
      <c r="N642" s="20">
        <f>ABS($D$2-F642)/F642</f>
        <v>0.81874999999999998</v>
      </c>
      <c r="O642" s="20">
        <f>ABS($E$2-G642)/G642</f>
        <v>0.20833333333333334</v>
      </c>
      <c r="P642" s="20">
        <f>ABS($F$2-H642)/H642</f>
        <v>0.37777777777777782</v>
      </c>
      <c r="Q642" s="20">
        <f>ABS($H$2-J642)/J642</f>
        <v>0.74375000000000002</v>
      </c>
      <c r="R642" s="20">
        <f>ABS($J$2-L642)/L642</f>
        <v>0.6063829787234043</v>
      </c>
    </row>
    <row r="643" spans="1:18" ht="15.75" customHeight="1" x14ac:dyDescent="0.2">
      <c r="A643">
        <v>887</v>
      </c>
      <c r="B643" s="1" t="s">
        <v>706</v>
      </c>
      <c r="C643" s="1"/>
      <c r="D643" s="2"/>
      <c r="E643" s="6" t="s">
        <v>482</v>
      </c>
      <c r="F643" s="1">
        <v>2.2999999999999998</v>
      </c>
      <c r="G643" s="4">
        <v>39</v>
      </c>
      <c r="H643" s="4">
        <v>4</v>
      </c>
      <c r="I643" s="4"/>
      <c r="J643" s="4">
        <v>59</v>
      </c>
      <c r="K643" s="4"/>
      <c r="L643" s="4"/>
      <c r="M643" s="21">
        <f>1-AVERAGE(N643:R643)</f>
        <v>0.44830532093796649</v>
      </c>
      <c r="N643" s="20">
        <f>ABS($D$2-F643)/F643</f>
        <v>0.74782608695652164</v>
      </c>
      <c r="O643" s="20">
        <f>ABS($E$2-G643)/G643</f>
        <v>0.25641025641025639</v>
      </c>
      <c r="P643" s="20">
        <f>ABS($F$2-H643)/H643</f>
        <v>0.55000000000000004</v>
      </c>
      <c r="Q643" s="20">
        <f>ABS($H$2-J643)/J643</f>
        <v>0.65254237288135597</v>
      </c>
      <c r="R643" s="20"/>
    </row>
    <row r="644" spans="1:18" ht="15.75" customHeight="1" x14ac:dyDescent="0.2">
      <c r="A644">
        <v>473</v>
      </c>
      <c r="B644" s="9" t="s">
        <v>374</v>
      </c>
      <c r="E644" s="6" t="s">
        <v>40</v>
      </c>
      <c r="F644" s="3">
        <f>(6+10)/2</f>
        <v>8</v>
      </c>
      <c r="G644" s="3">
        <v>59</v>
      </c>
      <c r="H644" s="3">
        <v>6.3</v>
      </c>
      <c r="I644" s="3"/>
      <c r="J644" s="3">
        <v>143</v>
      </c>
      <c r="K644" s="3"/>
      <c r="L644" s="3">
        <v>52</v>
      </c>
      <c r="M644" s="21">
        <f>1-AVERAGE(N644:R644)</f>
        <v>0.44791719485787285</v>
      </c>
      <c r="N644" s="20">
        <f>ABS($D$2-F644)/F644</f>
        <v>0.92749999999999999</v>
      </c>
      <c r="O644" s="20">
        <f>ABS($E$2-G644)/G644</f>
        <v>0.50847457627118642</v>
      </c>
      <c r="P644" s="20">
        <f>ABS($F$2-H644)/H644</f>
        <v>1.5873015873015817E-2</v>
      </c>
      <c r="Q644" s="20">
        <f>ABS($H$2-J644)/J644</f>
        <v>0.85664335664335667</v>
      </c>
      <c r="R644" s="20">
        <f>ABS($J$2-L644)/L644</f>
        <v>0.45192307692307693</v>
      </c>
    </row>
    <row r="645" spans="1:18" ht="15.75" customHeight="1" x14ac:dyDescent="0.2">
      <c r="A645">
        <v>889</v>
      </c>
      <c r="B645" s="1" t="s">
        <v>707</v>
      </c>
      <c r="C645" s="1"/>
      <c r="D645" s="2"/>
      <c r="E645" s="6" t="s">
        <v>482</v>
      </c>
      <c r="F645" s="1">
        <v>3.3</v>
      </c>
      <c r="G645" s="4">
        <v>41</v>
      </c>
      <c r="H645" s="4">
        <v>4.4000000000000004</v>
      </c>
      <c r="I645" s="4"/>
      <c r="J645" s="4">
        <v>66</v>
      </c>
      <c r="K645" s="4"/>
      <c r="L645" s="4"/>
      <c r="M645" s="21">
        <f>1-AVERAGE(N645:R645)</f>
        <v>0.44614745011086476</v>
      </c>
      <c r="N645" s="20">
        <f>ABS($D$2-F645)/F645</f>
        <v>0.82424242424242422</v>
      </c>
      <c r="O645" s="20">
        <f>ABS($E$2-G645)/G645</f>
        <v>0.29268292682926828</v>
      </c>
      <c r="P645" s="20">
        <f>ABS($F$2-H645)/H645</f>
        <v>0.40909090909090901</v>
      </c>
      <c r="Q645" s="20">
        <f>ABS($H$2-J645)/J645</f>
        <v>0.68939393939393945</v>
      </c>
      <c r="R645" s="20"/>
    </row>
    <row r="646" spans="1:18" ht="15.75" customHeight="1" x14ac:dyDescent="0.2">
      <c r="A646">
        <v>765</v>
      </c>
      <c r="B646" s="6" t="s">
        <v>604</v>
      </c>
      <c r="C646" s="6"/>
      <c r="D646" s="7"/>
      <c r="E646" s="6" t="s">
        <v>495</v>
      </c>
      <c r="F646" s="1">
        <v>2</v>
      </c>
      <c r="G646" s="4">
        <v>34</v>
      </c>
      <c r="H646" s="4">
        <v>3.4</v>
      </c>
      <c r="I646" s="4"/>
      <c r="J646" s="4">
        <v>80</v>
      </c>
      <c r="K646" s="4"/>
      <c r="L646" s="4">
        <v>56</v>
      </c>
      <c r="M646" s="21">
        <f>1-AVERAGE(N646:R646)</f>
        <v>0.44548949579831931</v>
      </c>
      <c r="N646" s="20">
        <f>ABS($D$2-F646)/F646</f>
        <v>0.71</v>
      </c>
      <c r="O646" s="20">
        <f>ABS($E$2-G646)/G646</f>
        <v>0.14705882352941177</v>
      </c>
      <c r="P646" s="20">
        <f>ABS($F$2-H646)/H646</f>
        <v>0.82352941176470595</v>
      </c>
      <c r="Q646" s="20">
        <f>ABS($H$2-J646)/J646</f>
        <v>0.74375000000000002</v>
      </c>
      <c r="R646" s="20">
        <f>ABS($J$2-L646)/L646</f>
        <v>0.3482142857142857</v>
      </c>
    </row>
    <row r="647" spans="1:18" ht="15.75" customHeight="1" x14ac:dyDescent="0.2">
      <c r="A647">
        <v>266</v>
      </c>
      <c r="B647" s="9" t="s">
        <v>217</v>
      </c>
      <c r="E647" s="6" t="s">
        <v>41</v>
      </c>
      <c r="F647" s="3">
        <f>(0.59+0.65)/2</f>
        <v>0.62</v>
      </c>
      <c r="G647" s="3">
        <v>23</v>
      </c>
      <c r="H647" s="3">
        <f>(5.4+5.8)/2</f>
        <v>5.6</v>
      </c>
      <c r="I647" s="3"/>
      <c r="J647" s="3">
        <f>(7.3+7.4)/2</f>
        <v>7.35</v>
      </c>
      <c r="K647" s="3"/>
      <c r="L647" s="3"/>
      <c r="M647" s="21">
        <f>1-AVERAGE(N647:R647)</f>
        <v>0.44458895058724746</v>
      </c>
      <c r="N647" s="20">
        <f>ABS($D$2-F647)/F647</f>
        <v>6.4516129032257938E-2</v>
      </c>
      <c r="O647" s="20">
        <f>ABS($E$2-G647)/G647</f>
        <v>0.2608695652173913</v>
      </c>
      <c r="P647" s="20">
        <f>ABS($F$2-H647)/H647</f>
        <v>0.10714285714285725</v>
      </c>
      <c r="Q647" s="20">
        <f>ABS($H$2-J647)/J647</f>
        <v>1.7891156462585036</v>
      </c>
      <c r="R647" s="20"/>
    </row>
    <row r="648" spans="1:18" ht="15.75" customHeight="1" x14ac:dyDescent="0.2">
      <c r="A648">
        <v>781</v>
      </c>
      <c r="B648" s="6" t="s">
        <v>612</v>
      </c>
      <c r="C648" s="6"/>
      <c r="D648" s="7"/>
      <c r="E648" s="6" t="s">
        <v>482</v>
      </c>
      <c r="F648" s="1">
        <v>4</v>
      </c>
      <c r="G648" s="4">
        <v>45</v>
      </c>
      <c r="H648" s="4">
        <v>4.5</v>
      </c>
      <c r="I648" s="4"/>
      <c r="J648" s="4">
        <v>56</v>
      </c>
      <c r="K648" s="4"/>
      <c r="L648" s="4"/>
      <c r="M648" s="21">
        <f>1-AVERAGE(N648:R648)</f>
        <v>0.44443452380952375</v>
      </c>
      <c r="N648" s="20">
        <f>ABS($D$2-F648)/F648</f>
        <v>0.85499999999999998</v>
      </c>
      <c r="O648" s="20">
        <f>ABS($E$2-G648)/G648</f>
        <v>0.35555555555555557</v>
      </c>
      <c r="P648" s="20">
        <f>ABS($F$2-H648)/H648</f>
        <v>0.37777777777777782</v>
      </c>
      <c r="Q648" s="20">
        <f>ABS($H$2-J648)/J648</f>
        <v>0.6339285714285714</v>
      </c>
      <c r="R648" s="20"/>
    </row>
    <row r="649" spans="1:18" ht="15.75" customHeight="1" x14ac:dyDescent="0.2">
      <c r="A649">
        <v>223</v>
      </c>
      <c r="B649" s="9" t="s">
        <v>190</v>
      </c>
      <c r="C649" s="9" t="s">
        <v>191</v>
      </c>
      <c r="E649" s="6" t="s">
        <v>40</v>
      </c>
      <c r="F649" s="3">
        <f>(0.69+1.11)/2</f>
        <v>0.9</v>
      </c>
      <c r="G649" s="3">
        <f>(14+20)/2</f>
        <v>17</v>
      </c>
      <c r="H649" s="3">
        <f>(5.3+8.6)/2</f>
        <v>6.9499999999999993</v>
      </c>
      <c r="I649" s="3"/>
      <c r="J649" s="3">
        <f>(8+11)/2</f>
        <v>9.5</v>
      </c>
      <c r="K649" s="3"/>
      <c r="L649" s="3">
        <f>(49+55)/2</f>
        <v>52</v>
      </c>
      <c r="M649" s="21">
        <f>1-AVERAGE(N649:R649)</f>
        <v>0.44416612173466752</v>
      </c>
      <c r="N649" s="20">
        <f>ABS($D$2-F649)/F649</f>
        <v>0.35555555555555551</v>
      </c>
      <c r="O649" s="20">
        <f>ABS($E$2-G649)/G649</f>
        <v>0.70588235294117652</v>
      </c>
      <c r="P649" s="20">
        <f>ABS($F$2-H649)/H649</f>
        <v>0.10791366906474809</v>
      </c>
      <c r="Q649" s="20">
        <f>ABS($H$2-J649)/J649</f>
        <v>1.1578947368421053</v>
      </c>
      <c r="R649" s="20">
        <f>ABS($J$2-L649)/L649</f>
        <v>0.45192307692307693</v>
      </c>
    </row>
    <row r="650" spans="1:18" ht="15.75" customHeight="1" x14ac:dyDescent="0.2">
      <c r="A650">
        <v>779</v>
      </c>
      <c r="B650" s="6" t="s">
        <v>611</v>
      </c>
      <c r="C650" s="6"/>
      <c r="D650" s="7"/>
      <c r="E650" s="6" t="s">
        <v>495</v>
      </c>
      <c r="F650" s="1">
        <v>2.5</v>
      </c>
      <c r="G650" s="4">
        <v>39</v>
      </c>
      <c r="H650" s="4">
        <v>4.2</v>
      </c>
      <c r="I650" s="4"/>
      <c r="J650" s="4">
        <v>52</v>
      </c>
      <c r="K650" s="4"/>
      <c r="L650" s="4">
        <v>45</v>
      </c>
      <c r="M650" s="21">
        <f>1-AVERAGE(N650:R650)</f>
        <v>0.44317045177045178</v>
      </c>
      <c r="N650" s="20">
        <f>ABS($D$2-F650)/F650</f>
        <v>0.76800000000000002</v>
      </c>
      <c r="O650" s="20">
        <f>ABS($E$2-G650)/G650</f>
        <v>0.25641025641025639</v>
      </c>
      <c r="P650" s="20">
        <f>ABS($F$2-H650)/H650</f>
        <v>0.47619047619047616</v>
      </c>
      <c r="Q650" s="20">
        <f>ABS($H$2-J650)/J650</f>
        <v>0.60576923076923073</v>
      </c>
      <c r="R650" s="20">
        <f>ABS($J$2-L650)/L650</f>
        <v>0.67777777777777781</v>
      </c>
    </row>
    <row r="651" spans="1:18" ht="15.75" customHeight="1" x14ac:dyDescent="0.2">
      <c r="A651">
        <v>882</v>
      </c>
      <c r="B651" s="1" t="s">
        <v>372</v>
      </c>
      <c r="C651" s="1"/>
      <c r="D651" s="2"/>
      <c r="E651" s="6" t="s">
        <v>495</v>
      </c>
      <c r="F651" s="1">
        <f>(2.2+2.6)/2</f>
        <v>2.4000000000000004</v>
      </c>
      <c r="G651" s="4">
        <v>46</v>
      </c>
      <c r="H651" s="4">
        <v>4.3</v>
      </c>
      <c r="I651" s="4"/>
      <c r="J651" s="4">
        <v>70</v>
      </c>
      <c r="K651" s="4"/>
      <c r="L651" s="4">
        <v>50</v>
      </c>
      <c r="M651" s="21">
        <f>1-AVERAGE(N651:R651)</f>
        <v>0.44261962540324529</v>
      </c>
      <c r="N651" s="20">
        <f>ABS($D$2-F651)/F651</f>
        <v>0.7583333333333333</v>
      </c>
      <c r="O651" s="20">
        <f>ABS($E$2-G651)/G651</f>
        <v>0.36956521739130432</v>
      </c>
      <c r="P651" s="20">
        <f>ABS($F$2-H651)/H651</f>
        <v>0.44186046511627919</v>
      </c>
      <c r="Q651" s="20">
        <f>ABS($H$2-J651)/J651</f>
        <v>0.70714285714285718</v>
      </c>
      <c r="R651" s="20">
        <f>ABS($J$2-L651)/L651</f>
        <v>0.51</v>
      </c>
    </row>
    <row r="652" spans="1:18" ht="15.75" customHeight="1" x14ac:dyDescent="0.2">
      <c r="A652">
        <v>413</v>
      </c>
      <c r="B652" s="9" t="s">
        <v>328</v>
      </c>
      <c r="E652" s="6" t="s">
        <v>40</v>
      </c>
      <c r="F652" s="3">
        <v>1.9</v>
      </c>
      <c r="G652" s="3">
        <v>67</v>
      </c>
      <c r="H652" s="3">
        <v>7.1</v>
      </c>
      <c r="I652" s="3"/>
      <c r="J652" s="3">
        <v>25</v>
      </c>
      <c r="K652" s="3"/>
      <c r="L652" s="3">
        <v>34</v>
      </c>
      <c r="M652" s="21">
        <f>1-AVERAGE(N652:R652)</f>
        <v>0.44215003602317204</v>
      </c>
      <c r="N652" s="20">
        <f>ABS($D$2-F652)/F652</f>
        <v>0.6947368421052631</v>
      </c>
      <c r="O652" s="20">
        <f>ABS($E$2-G652)/G652</f>
        <v>0.56716417910447758</v>
      </c>
      <c r="P652" s="20">
        <f>ABS($F$2-H652)/H652</f>
        <v>0.12676056338028163</v>
      </c>
      <c r="Q652" s="20">
        <f>ABS($H$2-J652)/J652</f>
        <v>0.18</v>
      </c>
      <c r="R652" s="20">
        <f>ABS($J$2-L652)/L652</f>
        <v>1.2205882352941178</v>
      </c>
    </row>
    <row r="653" spans="1:18" ht="15.75" customHeight="1" x14ac:dyDescent="0.2">
      <c r="A653">
        <v>726</v>
      </c>
      <c r="B653" s="1" t="s">
        <v>579</v>
      </c>
      <c r="C653" s="1" t="s">
        <v>580</v>
      </c>
      <c r="D653" s="2"/>
      <c r="E653" s="6" t="s">
        <v>495</v>
      </c>
      <c r="F653" s="9">
        <v>0.4</v>
      </c>
      <c r="G653" s="4">
        <v>11</v>
      </c>
      <c r="H653" s="4">
        <v>4.3</v>
      </c>
      <c r="I653" s="4"/>
      <c r="J653" s="4">
        <v>18</v>
      </c>
      <c r="K653" s="4"/>
      <c r="L653" s="4">
        <v>87</v>
      </c>
      <c r="M653" s="21">
        <f>1-AVERAGE(N653:R653)</f>
        <v>0.44014062031704371</v>
      </c>
      <c r="N653" s="20">
        <f>ABS($D$2-F653)/F653</f>
        <v>0.45000000000000012</v>
      </c>
      <c r="O653" s="20">
        <f>ABS($E$2-G653)/G653</f>
        <v>1.6363636363636365</v>
      </c>
      <c r="P653" s="20">
        <f>ABS($F$2-H653)/H653</f>
        <v>0.44186046511627919</v>
      </c>
      <c r="Q653" s="20">
        <f>ABS($H$2-J653)/J653</f>
        <v>0.1388888888888889</v>
      </c>
      <c r="R653" s="20">
        <f>ABS($J$2-L653)/L653</f>
        <v>0.13218390804597702</v>
      </c>
    </row>
    <row r="654" spans="1:18" ht="15.75" customHeight="1" x14ac:dyDescent="0.2">
      <c r="A654">
        <v>418</v>
      </c>
      <c r="B654" s="9" t="s">
        <v>331</v>
      </c>
      <c r="E654" s="6" t="s">
        <v>40</v>
      </c>
      <c r="F654" s="3">
        <f>(1.7+2.2)/2</f>
        <v>1.9500000000000002</v>
      </c>
      <c r="G654" s="3">
        <f>(31+39)/2</f>
        <v>35</v>
      </c>
      <c r="H654" s="3">
        <f>(3.7+5)/2</f>
        <v>4.3499999999999996</v>
      </c>
      <c r="I654" s="3"/>
      <c r="J654" s="3">
        <f>(68+70)/2</f>
        <v>69</v>
      </c>
      <c r="K654" s="3"/>
      <c r="L654" s="3">
        <f>(39+45)/2</f>
        <v>42</v>
      </c>
      <c r="M654" s="21">
        <f>1-AVERAGE(N654:R654)</f>
        <v>0.44004047426836035</v>
      </c>
      <c r="N654" s="20">
        <f>ABS($D$2-F654)/F654</f>
        <v>0.70256410256410251</v>
      </c>
      <c r="O654" s="20">
        <f>ABS($E$2-G654)/G654</f>
        <v>0.17142857142857143</v>
      </c>
      <c r="P654" s="20">
        <f>ABS($F$2-H654)/H654</f>
        <v>0.42528735632183923</v>
      </c>
      <c r="Q654" s="20">
        <f>ABS($H$2-J654)/J654</f>
        <v>0.70289855072463769</v>
      </c>
      <c r="R654" s="20">
        <f>ABS($J$2-L654)/L654</f>
        <v>0.79761904761904767</v>
      </c>
    </row>
    <row r="655" spans="1:18" ht="15.75" customHeight="1" x14ac:dyDescent="0.2">
      <c r="A655">
        <v>850</v>
      </c>
      <c r="B655" s="1" t="s">
        <v>327</v>
      </c>
      <c r="C655" s="1"/>
      <c r="D655" s="2"/>
      <c r="E655" s="6" t="s">
        <v>495</v>
      </c>
      <c r="F655" s="1">
        <v>3.5</v>
      </c>
      <c r="G655" s="4">
        <v>36</v>
      </c>
      <c r="H655" s="4">
        <v>4.2</v>
      </c>
      <c r="I655" s="4"/>
      <c r="J655" s="4">
        <v>115</v>
      </c>
      <c r="K655" s="4"/>
      <c r="L655" s="4">
        <v>51</v>
      </c>
      <c r="M655" s="21">
        <f>1-AVERAGE(N655:R655)</f>
        <v>0.43858961555636744</v>
      </c>
      <c r="N655" s="20">
        <f>ABS($D$2-F655)/F655</f>
        <v>0.8342857142857143</v>
      </c>
      <c r="O655" s="20">
        <f>ABS($E$2-G655)/G655</f>
        <v>0.19444444444444445</v>
      </c>
      <c r="P655" s="20">
        <f>ABS($F$2-H655)/H655</f>
        <v>0.47619047619047616</v>
      </c>
      <c r="Q655" s="20">
        <f>ABS($H$2-J655)/J655</f>
        <v>0.82173913043478264</v>
      </c>
      <c r="R655" s="20">
        <f>ABS($J$2-L655)/L655</f>
        <v>0.48039215686274511</v>
      </c>
    </row>
    <row r="656" spans="1:18" ht="15.75" customHeight="1" x14ac:dyDescent="0.2">
      <c r="A656">
        <v>411</v>
      </c>
      <c r="B656" s="9" t="s">
        <v>327</v>
      </c>
      <c r="E656" s="6" t="s">
        <v>40</v>
      </c>
      <c r="F656" s="3">
        <f>(3+3.6)/2</f>
        <v>3.3</v>
      </c>
      <c r="G656" s="3">
        <v>35</v>
      </c>
      <c r="H656" s="3">
        <v>4.0999999999999996</v>
      </c>
      <c r="I656" s="3"/>
      <c r="J656" s="3">
        <v>100</v>
      </c>
      <c r="K656" s="3"/>
      <c r="L656" s="3">
        <v>50</v>
      </c>
      <c r="M656" s="21">
        <f>1-AVERAGE(N656:R656)</f>
        <v>0.43742677647555683</v>
      </c>
      <c r="N656" s="20">
        <f>ABS($D$2-F656)/F656</f>
        <v>0.82424242424242422</v>
      </c>
      <c r="O656" s="20">
        <f>ABS($E$2-G656)/G656</f>
        <v>0.17142857142857143</v>
      </c>
      <c r="P656" s="20">
        <f>ABS($F$2-H656)/H656</f>
        <v>0.51219512195121963</v>
      </c>
      <c r="Q656" s="20">
        <f>ABS($H$2-J656)/J656</f>
        <v>0.79500000000000004</v>
      </c>
      <c r="R656" s="20">
        <f>ABS($J$2-L656)/L656</f>
        <v>0.51</v>
      </c>
    </row>
    <row r="657" spans="1:18" ht="15.75" customHeight="1" x14ac:dyDescent="0.2">
      <c r="A657">
        <v>424</v>
      </c>
      <c r="B657" s="9" t="s">
        <v>335</v>
      </c>
      <c r="E657" s="6" t="s">
        <v>41</v>
      </c>
      <c r="F657" s="3">
        <v>2.2999999999999998</v>
      </c>
      <c r="G657" s="3">
        <v>24</v>
      </c>
      <c r="H657" s="3">
        <v>38</v>
      </c>
      <c r="I657" s="3"/>
      <c r="J657" s="3">
        <v>38</v>
      </c>
      <c r="K657" s="10"/>
      <c r="L657" s="10"/>
      <c r="M657" s="21">
        <f>1-AVERAGE(N657:R657)</f>
        <v>0.4366180396643784</v>
      </c>
      <c r="N657" s="20">
        <f>ABS($D$2-F657)/F657</f>
        <v>0.74782608695652164</v>
      </c>
      <c r="O657" s="20">
        <f>ABS($E$2-G657)/G657</f>
        <v>0.20833333333333334</v>
      </c>
      <c r="P657" s="20">
        <f>ABS($F$2-H657)/H657</f>
        <v>0.83684210526315794</v>
      </c>
      <c r="Q657" s="20">
        <f>ABS($H$2-J657)/J657</f>
        <v>0.46052631578947367</v>
      </c>
      <c r="R657" s="20"/>
    </row>
    <row r="658" spans="1:18" ht="15.75" customHeight="1" x14ac:dyDescent="0.2">
      <c r="A658">
        <v>825</v>
      </c>
      <c r="B658" s="6" t="s">
        <v>662</v>
      </c>
      <c r="C658" s="1"/>
      <c r="D658" s="2"/>
      <c r="E658" s="6" t="s">
        <v>495</v>
      </c>
      <c r="F658" s="1">
        <v>1.5</v>
      </c>
      <c r="G658" s="4">
        <v>34</v>
      </c>
      <c r="H658" s="4">
        <v>4.8</v>
      </c>
      <c r="I658" s="4"/>
      <c r="J658" s="4">
        <v>10</v>
      </c>
      <c r="K658" s="4"/>
      <c r="L658" s="4">
        <v>44</v>
      </c>
      <c r="M658" s="21">
        <f>1-AVERAGE(N658:R658)</f>
        <v>0.43640641711229944</v>
      </c>
      <c r="N658" s="20">
        <f>ABS($D$2-F658)/F658</f>
        <v>0.61333333333333329</v>
      </c>
      <c r="O658" s="20">
        <f>ABS($E$2-G658)/G658</f>
        <v>0.14705882352941177</v>
      </c>
      <c r="P658" s="20">
        <f>ABS($F$2-H658)/H658</f>
        <v>0.29166666666666674</v>
      </c>
      <c r="Q658" s="20">
        <f>ABS($H$2-J658)/J658</f>
        <v>1.05</v>
      </c>
      <c r="R658" s="20">
        <f>ABS($J$2-L658)/L658</f>
        <v>0.71590909090909094</v>
      </c>
    </row>
    <row r="659" spans="1:18" ht="15.75" customHeight="1" x14ac:dyDescent="0.2">
      <c r="A659">
        <v>476</v>
      </c>
      <c r="B659" s="9" t="s">
        <v>377</v>
      </c>
      <c r="E659" s="6" t="s">
        <v>40</v>
      </c>
      <c r="F659" s="3">
        <f>(2.8+3.1)/2</f>
        <v>2.95</v>
      </c>
      <c r="G659" s="3">
        <f>(61+62)/2</f>
        <v>61.5</v>
      </c>
      <c r="H659" s="3">
        <f>(4+4.2)/2</f>
        <v>4.0999999999999996</v>
      </c>
      <c r="I659" s="3"/>
      <c r="J659" s="3">
        <f>(48+53)/2</f>
        <v>50.5</v>
      </c>
      <c r="K659" s="3"/>
      <c r="L659" s="3">
        <f>(54+55)/2</f>
        <v>54.5</v>
      </c>
      <c r="M659" s="21">
        <f>1-AVERAGE(N659:R659)</f>
        <v>0.43531585122588701</v>
      </c>
      <c r="N659" s="20">
        <f>ABS($D$2-F659)/F659</f>
        <v>0.80338983050847457</v>
      </c>
      <c r="O659" s="20">
        <f>ABS($E$2-G659)/G659</f>
        <v>0.52845528455284552</v>
      </c>
      <c r="P659" s="20">
        <f>ABS($F$2-H659)/H659</f>
        <v>0.51219512195121963</v>
      </c>
      <c r="Q659" s="20">
        <f>ABS($H$2-J659)/J659</f>
        <v>0.59405940594059403</v>
      </c>
      <c r="R659" s="20">
        <f>ABS($J$2-L659)/L659</f>
        <v>0.38532110091743121</v>
      </c>
    </row>
    <row r="660" spans="1:18" ht="15.75" customHeight="1" x14ac:dyDescent="0.2">
      <c r="A660">
        <v>763</v>
      </c>
      <c r="B660" s="6" t="s">
        <v>602</v>
      </c>
      <c r="C660" s="6"/>
      <c r="D660" s="7"/>
      <c r="E660" s="6" t="s">
        <v>495</v>
      </c>
      <c r="F660" s="1">
        <f>(7.5+8.2)/2</f>
        <v>7.85</v>
      </c>
      <c r="G660" s="4">
        <f>(65+82)/2</f>
        <v>73.5</v>
      </c>
      <c r="H660" s="4">
        <f>(5.7+6.2)/2</f>
        <v>5.95</v>
      </c>
      <c r="I660" s="4"/>
      <c r="J660" s="4">
        <f>(95+110)/2</f>
        <v>102.5</v>
      </c>
      <c r="K660" s="4"/>
      <c r="L660" s="4">
        <v>52</v>
      </c>
      <c r="M660" s="21">
        <f>1-AVERAGE(N660:R660)</f>
        <v>0.43490065796039135</v>
      </c>
      <c r="N660" s="20">
        <f>ABS($D$2-F660)/F660</f>
        <v>0.92611464968152868</v>
      </c>
      <c r="O660" s="20">
        <f>ABS($E$2-G660)/G660</f>
        <v>0.60544217687074831</v>
      </c>
      <c r="P660" s="20">
        <f>ABS($F$2-H660)/H660</f>
        <v>4.2016806722689072E-2</v>
      </c>
      <c r="Q660" s="20">
        <f>ABS($H$2-J660)/J660</f>
        <v>0.8</v>
      </c>
      <c r="R660" s="20">
        <f>ABS($J$2-L660)/L660</f>
        <v>0.45192307692307693</v>
      </c>
    </row>
    <row r="661" spans="1:18" ht="15.75" customHeight="1" x14ac:dyDescent="0.2">
      <c r="A661">
        <v>363</v>
      </c>
      <c r="B661" s="9" t="s">
        <v>285</v>
      </c>
      <c r="C661" s="9" t="s">
        <v>286</v>
      </c>
      <c r="E661" s="6" t="s">
        <v>41</v>
      </c>
      <c r="F661" s="3">
        <v>0.9</v>
      </c>
      <c r="G661" s="3">
        <v>20</v>
      </c>
      <c r="H661" s="3">
        <f>(6+7)/2</f>
        <v>6.5</v>
      </c>
      <c r="I661" s="3"/>
      <c r="J661" s="3">
        <f>(8+9)/2</f>
        <v>8.5</v>
      </c>
      <c r="K661" s="3"/>
      <c r="L661" s="3"/>
      <c r="M661" s="21">
        <f>1-AVERAGE(N661:R661)</f>
        <v>0.43413147310206135</v>
      </c>
      <c r="N661" s="20">
        <f>ABS($D$2-F661)/F661</f>
        <v>0.35555555555555551</v>
      </c>
      <c r="O661" s="20">
        <f>ABS($E$2-G661)/G661</f>
        <v>0.45</v>
      </c>
      <c r="P661" s="20">
        <f>ABS($F$2-H661)/H661</f>
        <v>4.6153846153846129E-2</v>
      </c>
      <c r="Q661" s="20">
        <f>ABS($H$2-J661)/J661</f>
        <v>1.411764705882353</v>
      </c>
      <c r="R661" s="20"/>
    </row>
    <row r="662" spans="1:18" ht="15.75" customHeight="1" x14ac:dyDescent="0.2">
      <c r="A662">
        <v>910</v>
      </c>
      <c r="B662" s="1" t="s">
        <v>720</v>
      </c>
      <c r="C662" s="1"/>
      <c r="D662" s="2"/>
      <c r="E662" s="6" t="s">
        <v>495</v>
      </c>
      <c r="F662" s="9">
        <v>2.8</v>
      </c>
      <c r="G662" s="9">
        <v>40</v>
      </c>
      <c r="H662" s="9">
        <v>3.8</v>
      </c>
      <c r="J662" s="9">
        <v>70</v>
      </c>
      <c r="L662" s="9">
        <v>53</v>
      </c>
      <c r="M662" s="21">
        <f>1-AVERAGE(N662:R662)</f>
        <v>0.43377855014895728</v>
      </c>
      <c r="N662" s="20">
        <f>ABS($D$2-F662)/F662</f>
        <v>0.79285714285714282</v>
      </c>
      <c r="O662" s="20">
        <f>ABS($E$2-G662)/G662</f>
        <v>0.27500000000000002</v>
      </c>
      <c r="P662" s="20">
        <f>ABS($F$2-H662)/H662</f>
        <v>0.63157894736842113</v>
      </c>
      <c r="Q662" s="20">
        <f>ABS($H$2-J662)/J662</f>
        <v>0.70714285714285718</v>
      </c>
      <c r="R662" s="20">
        <f>ABS($J$2-L662)/L662</f>
        <v>0.42452830188679247</v>
      </c>
    </row>
    <row r="663" spans="1:18" ht="15.75" customHeight="1" x14ac:dyDescent="0.2">
      <c r="A663">
        <v>445</v>
      </c>
      <c r="B663" s="9" t="s">
        <v>351</v>
      </c>
      <c r="E663" s="6" t="s">
        <v>40</v>
      </c>
      <c r="F663" s="3">
        <v>1.5</v>
      </c>
      <c r="G663" s="3">
        <v>26</v>
      </c>
      <c r="H663" s="3">
        <v>3.5</v>
      </c>
      <c r="I663" s="3"/>
      <c r="J663" s="3">
        <v>100</v>
      </c>
      <c r="K663" s="3"/>
      <c r="L663" s="3">
        <v>49</v>
      </c>
      <c r="M663" s="21">
        <f>1-AVERAGE(N663:R663)</f>
        <v>0.4328074306645735</v>
      </c>
      <c r="N663" s="20">
        <f>ABS($D$2-F663)/F663</f>
        <v>0.61333333333333329</v>
      </c>
      <c r="O663" s="20">
        <f>ABS($E$2-G663)/G663</f>
        <v>0.11538461538461539</v>
      </c>
      <c r="P663" s="20">
        <f>ABS($F$2-H663)/H663</f>
        <v>0.77142857142857146</v>
      </c>
      <c r="Q663" s="20">
        <f>ABS($H$2-J663)/J663</f>
        <v>0.79500000000000004</v>
      </c>
      <c r="R663" s="20">
        <f>ABS($J$2-L663)/L663</f>
        <v>0.54081632653061229</v>
      </c>
    </row>
    <row r="664" spans="1:18" ht="15.75" customHeight="1" x14ac:dyDescent="0.2">
      <c r="A664">
        <v>357</v>
      </c>
      <c r="B664" s="9" t="s">
        <v>281</v>
      </c>
      <c r="E664" s="6" t="s">
        <v>41</v>
      </c>
      <c r="F664" s="3">
        <v>1.4</v>
      </c>
      <c r="G664" s="3">
        <v>30</v>
      </c>
      <c r="H664" s="3">
        <v>5</v>
      </c>
      <c r="I664" s="3"/>
      <c r="J664" s="3">
        <f>(8+9)/2</f>
        <v>8.5</v>
      </c>
      <c r="K664" s="3"/>
      <c r="L664" s="3"/>
      <c r="M664" s="21">
        <f>1-AVERAGE(N664:R664)</f>
        <v>0.43229691876750698</v>
      </c>
      <c r="N664" s="20">
        <f>ABS($D$2-F664)/F664</f>
        <v>0.58571428571428563</v>
      </c>
      <c r="O664" s="20">
        <f>ABS($E$2-G664)/G664</f>
        <v>3.3333333333333333E-2</v>
      </c>
      <c r="P664" s="20">
        <f>ABS($F$2-H664)/H664</f>
        <v>0.24000000000000005</v>
      </c>
      <c r="Q664" s="20">
        <f>ABS($H$2-J664)/J664</f>
        <v>1.411764705882353</v>
      </c>
      <c r="R664" s="20"/>
    </row>
    <row r="665" spans="1:18" ht="15.75" customHeight="1" x14ac:dyDescent="0.2">
      <c r="A665">
        <v>810</v>
      </c>
      <c r="B665" s="1" t="s">
        <v>642</v>
      </c>
      <c r="C665" s="1" t="s">
        <v>643</v>
      </c>
      <c r="D665" s="2"/>
      <c r="E665" s="6" t="s">
        <v>495</v>
      </c>
      <c r="F665" s="1">
        <v>1.3</v>
      </c>
      <c r="G665" s="4">
        <v>26</v>
      </c>
      <c r="H665" s="4">
        <v>4.4000000000000004</v>
      </c>
      <c r="I665" s="4"/>
      <c r="J665" s="4">
        <v>10</v>
      </c>
      <c r="K665" s="4"/>
      <c r="L665" s="4">
        <v>44</v>
      </c>
      <c r="M665" s="21">
        <f>1-AVERAGE(N665:R665)</f>
        <v>0.43115384615384611</v>
      </c>
      <c r="N665" s="20">
        <f>ABS($D$2-F665)/F665</f>
        <v>0.55384615384615377</v>
      </c>
      <c r="O665" s="20">
        <f>ABS($E$2-G665)/G665</f>
        <v>0.11538461538461539</v>
      </c>
      <c r="P665" s="20">
        <f>ABS($F$2-H665)/H665</f>
        <v>0.40909090909090901</v>
      </c>
      <c r="Q665" s="20">
        <f>ABS($H$2-J665)/J665</f>
        <v>1.05</v>
      </c>
      <c r="R665" s="20">
        <f>ABS($J$2-L665)/L665</f>
        <v>0.71590909090909094</v>
      </c>
    </row>
    <row r="666" spans="1:18" ht="15.75" customHeight="1" x14ac:dyDescent="0.2">
      <c r="A666">
        <v>376</v>
      </c>
      <c r="B666" s="9" t="s">
        <v>293</v>
      </c>
      <c r="E666" s="6" t="s">
        <v>41</v>
      </c>
      <c r="F666" s="3">
        <f>(0.43+0.99)/2</f>
        <v>0.71</v>
      </c>
      <c r="G666" s="3">
        <f>(14+28)/2</f>
        <v>21</v>
      </c>
      <c r="H666" s="3">
        <f>(3.7+6.4)/2</f>
        <v>5.0500000000000007</v>
      </c>
      <c r="I666" s="3"/>
      <c r="J666" s="3">
        <f>(4.5+12)/2</f>
        <v>8.25</v>
      </c>
      <c r="K666" s="3"/>
      <c r="L666" s="3"/>
      <c r="M666" s="21">
        <f>1-AVERAGE(N666:R666)</f>
        <v>0.4308444425931528</v>
      </c>
      <c r="N666" s="20">
        <f>ABS($D$2-F666)/F666</f>
        <v>0.18309859154929564</v>
      </c>
      <c r="O666" s="20">
        <f>ABS($E$2-G666)/G666</f>
        <v>0.38095238095238093</v>
      </c>
      <c r="P666" s="20">
        <f>ABS($F$2-H666)/H666</f>
        <v>0.22772277227722759</v>
      </c>
      <c r="Q666" s="20">
        <f>ABS($H$2-J666)/J666</f>
        <v>1.4848484848484849</v>
      </c>
      <c r="R666" s="20"/>
    </row>
    <row r="667" spans="1:18" ht="15.75" customHeight="1" x14ac:dyDescent="0.2">
      <c r="A667">
        <v>249</v>
      </c>
      <c r="B667" s="9" t="s">
        <v>207</v>
      </c>
      <c r="E667" s="6" t="s">
        <v>41</v>
      </c>
      <c r="F667" s="3">
        <f>(0.35+0.42)/2</f>
        <v>0.38500000000000001</v>
      </c>
      <c r="G667" s="3">
        <f>(12+16)/2</f>
        <v>14</v>
      </c>
      <c r="H667" s="3">
        <f>(4.5+5.5)/2</f>
        <v>5</v>
      </c>
      <c r="I667" s="3"/>
      <c r="J667" s="3">
        <f>(11+17)/2</f>
        <v>14</v>
      </c>
      <c r="K667" s="3"/>
      <c r="L667" s="3"/>
      <c r="M667" s="21">
        <f>1-AVERAGE(N667:R667)</f>
        <v>0.42944805194805191</v>
      </c>
      <c r="N667" s="20">
        <f>ABS($D$2-F667)/F667</f>
        <v>0.50649350649350666</v>
      </c>
      <c r="O667" s="20">
        <f>ABS($E$2-G667)/G667</f>
        <v>1.0714285714285714</v>
      </c>
      <c r="P667" s="20">
        <f>ABS($F$2-H667)/H667</f>
        <v>0.24000000000000005</v>
      </c>
      <c r="Q667" s="20">
        <f>ABS($H$2-J667)/J667</f>
        <v>0.4642857142857143</v>
      </c>
      <c r="R667" s="20"/>
    </row>
    <row r="668" spans="1:18" ht="15.75" customHeight="1" x14ac:dyDescent="0.2">
      <c r="A668">
        <v>135</v>
      </c>
      <c r="B668" s="1" t="s">
        <v>120</v>
      </c>
      <c r="C668" s="1" t="s">
        <v>121</v>
      </c>
      <c r="D668" s="2"/>
      <c r="E668" s="6" t="s">
        <v>41</v>
      </c>
      <c r="F668" s="3">
        <f>(1.46+1.5)/2</f>
        <v>1.48</v>
      </c>
      <c r="G668" s="3">
        <f>(52+67)/2</f>
        <v>59.5</v>
      </c>
      <c r="H668" s="3">
        <f>(14.3+15.4)/2</f>
        <v>14.850000000000001</v>
      </c>
      <c r="I668" s="3"/>
      <c r="J668" s="3">
        <f>(45+54)/2</f>
        <v>49.5</v>
      </c>
      <c r="K668" s="3"/>
      <c r="L668" s="3"/>
      <c r="M668" s="21">
        <f>1-AVERAGE(N668:R668)</f>
        <v>0.42773417038122918</v>
      </c>
      <c r="N668" s="20">
        <f>ABS($D$2-F668)/F668</f>
        <v>0.608108108108108</v>
      </c>
      <c r="O668" s="20">
        <f>ABS($E$2-G668)/G668</f>
        <v>0.51260504201680668</v>
      </c>
      <c r="P668" s="20">
        <f>ABS($F$2-H668)/H668</f>
        <v>0.58249158249158262</v>
      </c>
      <c r="Q668" s="20">
        <f>ABS($H$2-J668)/J668</f>
        <v>0.58585858585858586</v>
      </c>
      <c r="R668" s="20"/>
    </row>
    <row r="669" spans="1:18" ht="15.75" customHeight="1" x14ac:dyDescent="0.2">
      <c r="A669">
        <v>412</v>
      </c>
      <c r="B669" s="9" t="s">
        <v>327</v>
      </c>
      <c r="E669" s="6" t="s">
        <v>41</v>
      </c>
      <c r="F669" s="3">
        <f>(3+3.5)/2</f>
        <v>3.25</v>
      </c>
      <c r="G669" s="3">
        <v>43</v>
      </c>
      <c r="H669" s="3">
        <f>(4+5.2)/2</f>
        <v>4.5999999999999996</v>
      </c>
      <c r="I669" s="3"/>
      <c r="J669" s="3">
        <v>100</v>
      </c>
      <c r="K669" s="10"/>
      <c r="L669" s="10"/>
      <c r="M669" s="21">
        <f>1-AVERAGE(N669:R669)</f>
        <v>0.42751351403904481</v>
      </c>
      <c r="N669" s="20">
        <f>ABS($D$2-F669)/F669</f>
        <v>0.82153846153846155</v>
      </c>
      <c r="O669" s="20">
        <f>ABS($E$2-G669)/G669</f>
        <v>0.32558139534883723</v>
      </c>
      <c r="P669" s="20">
        <f>ABS($F$2-H669)/H669</f>
        <v>0.3478260869565219</v>
      </c>
      <c r="Q669" s="20">
        <f>ABS($H$2-J669)/J669</f>
        <v>0.79500000000000004</v>
      </c>
      <c r="R669" s="20"/>
    </row>
    <row r="670" spans="1:18" ht="15.75" customHeight="1" x14ac:dyDescent="0.2">
      <c r="A670">
        <v>302</v>
      </c>
      <c r="B670" s="9" t="s">
        <v>238</v>
      </c>
      <c r="E670" s="6" t="s">
        <v>41</v>
      </c>
      <c r="F670" s="3">
        <f>(0.5+0.61)/2</f>
        <v>0.55499999999999994</v>
      </c>
      <c r="G670" s="3">
        <f>(15+19)/2</f>
        <v>17</v>
      </c>
      <c r="H670" s="3">
        <f>(3.6+3.8)/2</f>
        <v>3.7</v>
      </c>
      <c r="I670" s="3"/>
      <c r="J670" s="3">
        <f>(10+12)/2</f>
        <v>11</v>
      </c>
      <c r="K670" s="3"/>
      <c r="L670" s="3"/>
      <c r="M670" s="21">
        <f>1-AVERAGE(N670:R670)</f>
        <v>0.42744014067543468</v>
      </c>
      <c r="N670" s="20">
        <f>ABS($D$2-F670)/F670</f>
        <v>4.5045045045045293E-2</v>
      </c>
      <c r="O670" s="20">
        <f>ABS($E$2-G670)/G670</f>
        <v>0.70588235294117652</v>
      </c>
      <c r="P670" s="20">
        <f>ABS($F$2-H670)/H670</f>
        <v>0.67567567567567566</v>
      </c>
      <c r="Q670" s="20">
        <f>ABS($H$2-J670)/J670</f>
        <v>0.86363636363636365</v>
      </c>
      <c r="R670" s="20"/>
    </row>
    <row r="671" spans="1:18" ht="15.75" customHeight="1" x14ac:dyDescent="0.2">
      <c r="A671">
        <v>879</v>
      </c>
      <c r="B671" s="1" t="s">
        <v>702</v>
      </c>
      <c r="C671" s="1"/>
      <c r="D671" s="2"/>
      <c r="E671" s="6" t="s">
        <v>482</v>
      </c>
      <c r="F671" s="1">
        <v>1.3</v>
      </c>
      <c r="G671" s="4">
        <v>38</v>
      </c>
      <c r="H671" s="4">
        <v>3.3</v>
      </c>
      <c r="I671" s="4"/>
      <c r="J671" s="4">
        <v>55</v>
      </c>
      <c r="K671" s="4"/>
      <c r="L671" s="4"/>
      <c r="M671" s="21">
        <f>1-AVERAGE(N671:R671)</f>
        <v>0.42581278370752051</v>
      </c>
      <c r="N671" s="20">
        <f>ABS($D$2-F671)/F671</f>
        <v>0.55384615384615377</v>
      </c>
      <c r="O671" s="20">
        <f>ABS($E$2-G671)/G671</f>
        <v>0.23684210526315788</v>
      </c>
      <c r="P671" s="20">
        <f>ABS($F$2-H671)/H671</f>
        <v>0.8787878787878789</v>
      </c>
      <c r="Q671" s="20">
        <f>ABS($H$2-J671)/J671</f>
        <v>0.62727272727272732</v>
      </c>
      <c r="R671" s="20"/>
    </row>
    <row r="672" spans="1:18" ht="15.75" customHeight="1" x14ac:dyDescent="0.2">
      <c r="A672">
        <v>361</v>
      </c>
      <c r="B672" s="9" t="s">
        <v>284</v>
      </c>
      <c r="E672" s="6" t="s">
        <v>41</v>
      </c>
      <c r="F672" s="3">
        <f>(0.58+0.84)/2</f>
        <v>0.71</v>
      </c>
      <c r="G672" s="3">
        <f>(19+24)/2</f>
        <v>21.5</v>
      </c>
      <c r="H672" s="3">
        <f>(5.6+7.1)/2</f>
        <v>6.35</v>
      </c>
      <c r="I672" s="3"/>
      <c r="J672" s="3">
        <f>(5.8+9.1)/2</f>
        <v>7.4499999999999993</v>
      </c>
      <c r="K672" s="3"/>
      <c r="L672" s="3"/>
      <c r="M672" s="21">
        <f>1-AVERAGE(N672:R672)</f>
        <v>0.42319107488882268</v>
      </c>
      <c r="N672" s="20">
        <f>ABS($D$2-F672)/F672</f>
        <v>0.18309859154929564</v>
      </c>
      <c r="O672" s="20">
        <f>ABS($E$2-G672)/G672</f>
        <v>0.34883720930232559</v>
      </c>
      <c r="P672" s="20">
        <f>ABS($F$2-H672)/H672</f>
        <v>2.3622047244094405E-2</v>
      </c>
      <c r="Q672" s="20">
        <f>ABS($H$2-J672)/J672</f>
        <v>1.7516778523489935</v>
      </c>
      <c r="R672" s="20"/>
    </row>
    <row r="673" spans="1:18" ht="15.75" customHeight="1" x14ac:dyDescent="0.2">
      <c r="A673">
        <v>502</v>
      </c>
      <c r="B673" s="9" t="s">
        <v>394</v>
      </c>
      <c r="E673" s="6" t="s">
        <v>41</v>
      </c>
      <c r="F673" s="3">
        <f>(1.6+2.1)/2</f>
        <v>1.85</v>
      </c>
      <c r="G673" s="3">
        <f>(33+46)/2</f>
        <v>39.5</v>
      </c>
      <c r="H673" s="3">
        <f>(3.5+3.8)/2</f>
        <v>3.65</v>
      </c>
      <c r="I673" s="3"/>
      <c r="J673" s="3">
        <f>(53+68)/2</f>
        <v>60.5</v>
      </c>
      <c r="K673" s="10"/>
      <c r="L673" s="10"/>
      <c r="M673" s="21">
        <f>1-AVERAGE(N673:R673)</f>
        <v>0.4219758917309242</v>
      </c>
      <c r="N673" s="20">
        <f>ABS($D$2-F673)/F673</f>
        <v>0.68648648648648647</v>
      </c>
      <c r="O673" s="20">
        <f>ABS($E$2-G673)/G673</f>
        <v>0.26582278481012656</v>
      </c>
      <c r="P673" s="20">
        <f>ABS($F$2-H673)/H673</f>
        <v>0.6986301369863015</v>
      </c>
      <c r="Q673" s="20">
        <f>ABS($H$2-J673)/J673</f>
        <v>0.66115702479338845</v>
      </c>
      <c r="R673" s="20"/>
    </row>
    <row r="674" spans="1:18" ht="15.75" customHeight="1" x14ac:dyDescent="0.2">
      <c r="A674">
        <v>886</v>
      </c>
      <c r="B674" s="1" t="s">
        <v>706</v>
      </c>
      <c r="C674" s="1"/>
      <c r="D674" s="2"/>
      <c r="E674" s="6" t="s">
        <v>495</v>
      </c>
      <c r="F674" s="1">
        <v>2.4</v>
      </c>
      <c r="G674" s="4">
        <v>40</v>
      </c>
      <c r="H674" s="4">
        <v>3.8</v>
      </c>
      <c r="I674" s="4"/>
      <c r="J674" s="4">
        <v>66</v>
      </c>
      <c r="K674" s="4"/>
      <c r="L674" s="4">
        <v>49</v>
      </c>
      <c r="M674" s="21">
        <f>1-AVERAGE(N674:R674)</f>
        <v>0.42097549067473872</v>
      </c>
      <c r="N674" s="20">
        <f>ABS($D$2-F674)/F674</f>
        <v>0.7583333333333333</v>
      </c>
      <c r="O674" s="20">
        <f>ABS($E$2-G674)/G674</f>
        <v>0.27500000000000002</v>
      </c>
      <c r="P674" s="20">
        <f>ABS($F$2-H674)/H674</f>
        <v>0.63157894736842113</v>
      </c>
      <c r="Q674" s="20">
        <f>ABS($H$2-J674)/J674</f>
        <v>0.68939393939393945</v>
      </c>
      <c r="R674" s="20">
        <f>ABS($J$2-L674)/L674</f>
        <v>0.54081632653061229</v>
      </c>
    </row>
    <row r="675" spans="1:18" ht="15.75" customHeight="1" x14ac:dyDescent="0.2">
      <c r="A675">
        <v>878</v>
      </c>
      <c r="B675" s="1" t="s">
        <v>702</v>
      </c>
      <c r="C675" s="1"/>
      <c r="D675" s="2"/>
      <c r="E675" s="6" t="s">
        <v>495</v>
      </c>
      <c r="F675" s="1">
        <v>1.4</v>
      </c>
      <c r="G675" s="4">
        <v>39</v>
      </c>
      <c r="H675" s="4">
        <v>3</v>
      </c>
      <c r="I675" s="4"/>
      <c r="J675" s="4">
        <v>65</v>
      </c>
      <c r="K675" s="4"/>
      <c r="L675" s="4">
        <v>58</v>
      </c>
      <c r="M675" s="21">
        <f>1-AVERAGE(N675:R675)</f>
        <v>0.42097385373247442</v>
      </c>
      <c r="N675" s="20">
        <f>ABS($D$2-F675)/F675</f>
        <v>0.58571428571428563</v>
      </c>
      <c r="O675" s="20">
        <f>ABS($E$2-G675)/G675</f>
        <v>0.25641025641025639</v>
      </c>
      <c r="P675" s="20">
        <f>ABS($F$2-H675)/H675</f>
        <v>1.0666666666666667</v>
      </c>
      <c r="Q675" s="20">
        <f>ABS($H$2-J675)/J675</f>
        <v>0.68461538461538463</v>
      </c>
      <c r="R675" s="20">
        <f>ABS($J$2-L675)/L675</f>
        <v>0.30172413793103448</v>
      </c>
    </row>
    <row r="676" spans="1:18" ht="15.75" customHeight="1" x14ac:dyDescent="0.2">
      <c r="A676">
        <v>472</v>
      </c>
      <c r="B676" s="9" t="s">
        <v>372</v>
      </c>
      <c r="C676" s="9" t="s">
        <v>373</v>
      </c>
      <c r="E676" s="6" t="s">
        <v>41</v>
      </c>
      <c r="F676" s="3">
        <v>2.9</v>
      </c>
      <c r="G676" s="3">
        <v>41</v>
      </c>
      <c r="H676" s="3">
        <v>4</v>
      </c>
      <c r="I676" s="3"/>
      <c r="J676" s="3">
        <v>63</v>
      </c>
      <c r="K676" s="10"/>
      <c r="L676" s="10"/>
      <c r="M676" s="21">
        <f>1-AVERAGE(N676:R676)</f>
        <v>0.42067847464188923</v>
      </c>
      <c r="N676" s="20">
        <f>ABS($D$2-F676)/F676</f>
        <v>0.79999999999999993</v>
      </c>
      <c r="O676" s="20">
        <f>ABS($E$2-G676)/G676</f>
        <v>0.29268292682926828</v>
      </c>
      <c r="P676" s="20">
        <f>ABS($F$2-H676)/H676</f>
        <v>0.55000000000000004</v>
      </c>
      <c r="Q676" s="20">
        <f>ABS($H$2-J676)/J676</f>
        <v>0.67460317460317465</v>
      </c>
      <c r="R676" s="20"/>
    </row>
    <row r="677" spans="1:18" ht="15.75" customHeight="1" x14ac:dyDescent="0.2">
      <c r="A677">
        <v>5</v>
      </c>
      <c r="B677" s="6" t="s">
        <v>44</v>
      </c>
      <c r="C677" s="6"/>
      <c r="D677" s="7"/>
      <c r="E677" s="6" t="s">
        <v>40</v>
      </c>
      <c r="F677" s="3">
        <f>(1+1.5)/2</f>
        <v>1.25</v>
      </c>
      <c r="G677" s="3">
        <f>(33+38)/2</f>
        <v>35.5</v>
      </c>
      <c r="H677" s="3">
        <f>(6.5+7.1)/2</f>
        <v>6.8</v>
      </c>
      <c r="I677" s="3"/>
      <c r="J677" s="3">
        <f>(8+8.5)/2</f>
        <v>8.25</v>
      </c>
      <c r="K677" s="3"/>
      <c r="L677" s="3">
        <v>47</v>
      </c>
      <c r="M677" s="21">
        <f>1-AVERAGE(N677:R677)</f>
        <v>0.42028693015223362</v>
      </c>
      <c r="N677" s="20">
        <f>ABS($D$2-F677)/F677</f>
        <v>0.53599999999999992</v>
      </c>
      <c r="O677" s="20">
        <f>ABS($E$2-G677)/G677</f>
        <v>0.18309859154929578</v>
      </c>
      <c r="P677" s="20">
        <f>ABS($F$2-H677)/H677</f>
        <v>8.8235294117647009E-2</v>
      </c>
      <c r="Q677" s="20">
        <f>ABS($H$2-J677)/J677</f>
        <v>1.4848484848484849</v>
      </c>
      <c r="R677" s="20">
        <f>ABS($J$2-L677)/L677</f>
        <v>0.6063829787234043</v>
      </c>
    </row>
    <row r="678" spans="1:18" ht="15.75" customHeight="1" x14ac:dyDescent="0.2">
      <c r="A678">
        <v>649</v>
      </c>
      <c r="B678" s="6" t="s">
        <v>44</v>
      </c>
      <c r="C678" s="6"/>
      <c r="D678" s="7"/>
      <c r="E678" s="6" t="s">
        <v>495</v>
      </c>
      <c r="F678" s="1">
        <f>(0.9+1.3)/2</f>
        <v>1.1000000000000001</v>
      </c>
      <c r="G678" s="4">
        <v>36</v>
      </c>
      <c r="H678" s="4">
        <v>9</v>
      </c>
      <c r="I678" s="4"/>
      <c r="J678" s="4">
        <v>8.5</v>
      </c>
      <c r="K678" s="4"/>
      <c r="L678" s="4">
        <v>50</v>
      </c>
      <c r="M678" s="21">
        <f>1-AVERAGE(N678:R678)</f>
        <v>0.4199904931669638</v>
      </c>
      <c r="N678" s="20">
        <f>ABS($D$2-F678)/F678</f>
        <v>0.47272727272727272</v>
      </c>
      <c r="O678" s="20">
        <f>ABS($E$2-G678)/G678</f>
        <v>0.19444444444444445</v>
      </c>
      <c r="P678" s="20">
        <f>ABS($F$2-H678)/H678</f>
        <v>0.31111111111111112</v>
      </c>
      <c r="Q678" s="20">
        <f>ABS($H$2-J678)/J678</f>
        <v>1.411764705882353</v>
      </c>
      <c r="R678" s="20">
        <f>ABS($J$2-L678)/L678</f>
        <v>0.51</v>
      </c>
    </row>
    <row r="679" spans="1:18" ht="15.75" customHeight="1" x14ac:dyDescent="0.2">
      <c r="A679">
        <v>658</v>
      </c>
      <c r="B679" s="1" t="s">
        <v>525</v>
      </c>
      <c r="C679" s="1"/>
      <c r="D679" s="2"/>
      <c r="E679" s="6" t="s">
        <v>495</v>
      </c>
      <c r="F679" s="1">
        <v>0.7</v>
      </c>
      <c r="G679" s="4">
        <v>28</v>
      </c>
      <c r="H679" s="4">
        <v>5.7</v>
      </c>
      <c r="I679" s="4"/>
      <c r="J679" s="4">
        <v>6</v>
      </c>
      <c r="K679" s="4"/>
      <c r="L679" s="4">
        <v>63</v>
      </c>
      <c r="M679" s="21">
        <f>1-AVERAGE(N679:R679)</f>
        <v>0.41801169590643272</v>
      </c>
      <c r="N679" s="20">
        <f>ABS($D$2-F679)/F679</f>
        <v>0.17142857142857126</v>
      </c>
      <c r="O679" s="20">
        <f>ABS($E$2-G679)/G679</f>
        <v>3.5714285714285712E-2</v>
      </c>
      <c r="P679" s="20">
        <f>ABS($F$2-H679)/H679</f>
        <v>8.771929824561403E-2</v>
      </c>
      <c r="Q679" s="20">
        <f>ABS($H$2-J679)/J679</f>
        <v>2.4166666666666665</v>
      </c>
      <c r="R679" s="20">
        <f>ABS($J$2-L679)/L679</f>
        <v>0.1984126984126984</v>
      </c>
    </row>
    <row r="680" spans="1:18" ht="15.75" customHeight="1" x14ac:dyDescent="0.2">
      <c r="A680">
        <v>622</v>
      </c>
      <c r="B680" s="6" t="s">
        <v>39</v>
      </c>
      <c r="C680" s="6" t="s">
        <v>494</v>
      </c>
      <c r="D680" s="7"/>
      <c r="E680" s="6" t="s">
        <v>495</v>
      </c>
      <c r="F680" s="1">
        <v>0.9</v>
      </c>
      <c r="G680" s="4">
        <v>30</v>
      </c>
      <c r="H680" s="4">
        <v>6.1</v>
      </c>
      <c r="I680" s="4"/>
      <c r="J680" s="4">
        <v>6.2</v>
      </c>
      <c r="K680" s="4"/>
      <c r="L680" s="4">
        <v>63</v>
      </c>
      <c r="M680" s="21">
        <f>1-AVERAGE(N680:R680)</f>
        <v>0.41797067143444711</v>
      </c>
      <c r="N680" s="20">
        <f>ABS($D$2-F680)/F680</f>
        <v>0.35555555555555551</v>
      </c>
      <c r="O680" s="20">
        <f>ABS($E$2-G680)/G680</f>
        <v>3.3333333333333333E-2</v>
      </c>
      <c r="P680" s="20">
        <f>ABS($F$2-H680)/H680</f>
        <v>1.6393442622950907E-2</v>
      </c>
      <c r="Q680" s="20">
        <f>ABS($H$2-J680)/J680</f>
        <v>2.306451612903226</v>
      </c>
      <c r="R680" s="20">
        <f>ABS($J$2-L680)/L680</f>
        <v>0.1984126984126984</v>
      </c>
    </row>
    <row r="681" spans="1:18" ht="15.75" customHeight="1" x14ac:dyDescent="0.2">
      <c r="A681">
        <v>652</v>
      </c>
      <c r="B681" s="6" t="s">
        <v>521</v>
      </c>
      <c r="C681" s="6"/>
      <c r="D681" s="7"/>
      <c r="E681" s="6" t="s">
        <v>482</v>
      </c>
      <c r="F681" s="1">
        <v>1.3</v>
      </c>
      <c r="G681" s="4">
        <v>42</v>
      </c>
      <c r="H681" s="4">
        <v>6.2</v>
      </c>
      <c r="I681" s="4"/>
      <c r="J681" s="4">
        <v>8.3000000000000007</v>
      </c>
      <c r="K681" s="4"/>
      <c r="L681" s="4"/>
      <c r="M681" s="21">
        <f>1-AVERAGE(N681:R681)</f>
        <v>0.41668762963943695</v>
      </c>
      <c r="N681" s="20">
        <f>ABS($D$2-F681)/F681</f>
        <v>0.55384615384615377</v>
      </c>
      <c r="O681" s="20">
        <f>ABS($E$2-G681)/G681</f>
        <v>0.30952380952380953</v>
      </c>
      <c r="P681" s="20">
        <f>ABS($F$2-H681)/H681</f>
        <v>0</v>
      </c>
      <c r="Q681" s="20">
        <f>ABS($H$2-J681)/J681</f>
        <v>1.469879518072289</v>
      </c>
      <c r="R681" s="20"/>
    </row>
    <row r="682" spans="1:18" ht="15.75" customHeight="1" x14ac:dyDescent="0.2">
      <c r="A682">
        <v>883</v>
      </c>
      <c r="B682" s="1" t="s">
        <v>372</v>
      </c>
      <c r="C682" s="1"/>
      <c r="D682" s="2"/>
      <c r="E682" s="6" t="s">
        <v>482</v>
      </c>
      <c r="F682" s="1">
        <v>2.2000000000000002</v>
      </c>
      <c r="G682" s="4">
        <v>47</v>
      </c>
      <c r="H682" s="4">
        <v>4</v>
      </c>
      <c r="I682" s="4"/>
      <c r="J682" s="4">
        <v>61</v>
      </c>
      <c r="K682" s="4"/>
      <c r="L682" s="4"/>
      <c r="M682" s="21">
        <f>1-AVERAGE(N682:R682)</f>
        <v>0.41668080350065007</v>
      </c>
      <c r="N682" s="20">
        <f>ABS($D$2-F682)/F682</f>
        <v>0.73636363636363633</v>
      </c>
      <c r="O682" s="20">
        <f>ABS($E$2-G682)/G682</f>
        <v>0.38297872340425532</v>
      </c>
      <c r="P682" s="20">
        <f>ABS($F$2-H682)/H682</f>
        <v>0.55000000000000004</v>
      </c>
      <c r="Q682" s="20">
        <f>ABS($H$2-J682)/J682</f>
        <v>0.66393442622950816</v>
      </c>
      <c r="R682" s="20"/>
    </row>
    <row r="683" spans="1:18" ht="15.75" customHeight="1" x14ac:dyDescent="0.2">
      <c r="A683">
        <v>811</v>
      </c>
      <c r="B683" s="1" t="s">
        <v>644</v>
      </c>
      <c r="C683" s="1" t="s">
        <v>645</v>
      </c>
      <c r="D683" s="2"/>
      <c r="E683" s="6" t="s">
        <v>495</v>
      </c>
      <c r="F683" s="1">
        <v>0.72</v>
      </c>
      <c r="G683" s="4">
        <v>26</v>
      </c>
      <c r="H683" s="4">
        <v>3.8</v>
      </c>
      <c r="I683" s="4"/>
      <c r="J683" s="4">
        <v>8.3000000000000007</v>
      </c>
      <c r="K683" s="4"/>
      <c r="L683" s="4">
        <v>50</v>
      </c>
      <c r="M683" s="21">
        <f>1-AVERAGE(N683:R683)</f>
        <v>0.41574249494604609</v>
      </c>
      <c r="N683" s="20">
        <f>ABS($D$2-F683)/F683</f>
        <v>0.19444444444444431</v>
      </c>
      <c r="O683" s="20">
        <f>ABS($E$2-G683)/G683</f>
        <v>0.11538461538461539</v>
      </c>
      <c r="P683" s="20">
        <f>ABS($F$2-H683)/H683</f>
        <v>0.63157894736842113</v>
      </c>
      <c r="Q683" s="20">
        <f>ABS($H$2-J683)/J683</f>
        <v>1.469879518072289</v>
      </c>
      <c r="R683" s="20">
        <f>ABS($J$2-L683)/L683</f>
        <v>0.51</v>
      </c>
    </row>
    <row r="684" spans="1:18" ht="15.75" customHeight="1" x14ac:dyDescent="0.2">
      <c r="A684">
        <v>759</v>
      </c>
      <c r="B684" s="6" t="s">
        <v>602</v>
      </c>
      <c r="C684" s="6"/>
      <c r="D684" s="7"/>
      <c r="E684" s="6" t="s">
        <v>495</v>
      </c>
      <c r="F684" s="1">
        <v>5.4</v>
      </c>
      <c r="G684" s="4">
        <v>64</v>
      </c>
      <c r="H684" s="4">
        <v>5.6</v>
      </c>
      <c r="I684" s="4"/>
      <c r="J684" s="4">
        <v>100</v>
      </c>
      <c r="K684" s="4"/>
      <c r="L684" s="4"/>
      <c r="M684" s="21">
        <f>1-AVERAGE(N684:R684)</f>
        <v>0.41459738756613751</v>
      </c>
      <c r="N684" s="20">
        <f>ABS($D$2-F684)/F684</f>
        <v>0.8925925925925926</v>
      </c>
      <c r="O684" s="20">
        <f>ABS($E$2-G684)/G684</f>
        <v>0.546875</v>
      </c>
      <c r="P684" s="20">
        <f>ABS($F$2-H684)/H684</f>
        <v>0.10714285714285725</v>
      </c>
      <c r="Q684" s="20">
        <f>ABS($H$2-J684)/J684</f>
        <v>0.79500000000000004</v>
      </c>
      <c r="R684" s="20"/>
    </row>
    <row r="685" spans="1:18" ht="15.75" customHeight="1" x14ac:dyDescent="0.2">
      <c r="A685">
        <v>61</v>
      </c>
      <c r="B685" s="1" t="s">
        <v>76</v>
      </c>
      <c r="C685" s="1"/>
      <c r="D685" s="2"/>
      <c r="E685" s="6" t="s">
        <v>40</v>
      </c>
      <c r="F685" s="3">
        <f>(1.2+1.6)/2</f>
        <v>1.4</v>
      </c>
      <c r="G685" s="3"/>
      <c r="H685" s="3"/>
      <c r="I685" s="3"/>
      <c r="J685" s="3"/>
      <c r="K685" s="3"/>
      <c r="L685" s="3"/>
      <c r="M685" s="21">
        <f>1-AVERAGE(N685:R685)</f>
        <v>0.41428571428571437</v>
      </c>
      <c r="N685" s="20">
        <f>ABS($D$2-F685)/F685</f>
        <v>0.58571428571428563</v>
      </c>
      <c r="O685" s="20"/>
      <c r="P685" s="20"/>
      <c r="Q685" s="20"/>
      <c r="R685" s="20"/>
    </row>
    <row r="686" spans="1:18" ht="15.75" customHeight="1" x14ac:dyDescent="0.2">
      <c r="A686">
        <v>885</v>
      </c>
      <c r="B686" s="1" t="s">
        <v>705</v>
      </c>
      <c r="C686" s="1"/>
      <c r="D686" s="2"/>
      <c r="E686" s="6" t="s">
        <v>482</v>
      </c>
      <c r="F686" s="1">
        <v>3</v>
      </c>
      <c r="G686" s="4">
        <v>60</v>
      </c>
      <c r="H686" s="4">
        <v>4.8</v>
      </c>
      <c r="I686" s="4"/>
      <c r="J686" s="4">
        <v>76</v>
      </c>
      <c r="K686" s="4"/>
      <c r="L686" s="4"/>
      <c r="M686" s="21">
        <f>1-AVERAGE(N686:R686)</f>
        <v>0.41368421052631577</v>
      </c>
      <c r="N686" s="20">
        <f>ABS($D$2-F686)/F686</f>
        <v>0.80666666666666664</v>
      </c>
      <c r="O686" s="20">
        <f>ABS($E$2-G686)/G686</f>
        <v>0.51666666666666672</v>
      </c>
      <c r="P686" s="20">
        <f>ABS($F$2-H686)/H686</f>
        <v>0.29166666666666674</v>
      </c>
      <c r="Q686" s="20">
        <f>ABS($H$2-J686)/J686</f>
        <v>0.73026315789473684</v>
      </c>
      <c r="R686" s="20"/>
    </row>
    <row r="687" spans="1:18" ht="15.75" customHeight="1" x14ac:dyDescent="0.2">
      <c r="A687">
        <v>663</v>
      </c>
      <c r="B687" s="1" t="s">
        <v>529</v>
      </c>
      <c r="C687" s="1" t="s">
        <v>530</v>
      </c>
      <c r="D687" s="2"/>
      <c r="E687" s="6" t="s">
        <v>495</v>
      </c>
      <c r="F687" s="1">
        <v>0.8</v>
      </c>
      <c r="G687" s="4">
        <v>37</v>
      </c>
      <c r="H687" s="4">
        <v>5.4</v>
      </c>
      <c r="I687" s="4"/>
      <c r="J687" s="4">
        <v>6.5</v>
      </c>
      <c r="K687" s="4"/>
      <c r="L687" s="4">
        <v>66</v>
      </c>
      <c r="M687" s="21">
        <f>1-AVERAGE(N687:R687)</f>
        <v>0.41257001757001754</v>
      </c>
      <c r="N687" s="20">
        <f>ABS($D$2-F687)/F687</f>
        <v>0.27499999999999997</v>
      </c>
      <c r="O687" s="20">
        <f>ABS($E$2-G687)/G687</f>
        <v>0.21621621621621623</v>
      </c>
      <c r="P687" s="20">
        <f>ABS($F$2-H687)/H687</f>
        <v>0.14814814814814811</v>
      </c>
      <c r="Q687" s="20">
        <f>ABS($H$2-J687)/J687</f>
        <v>2.1538461538461537</v>
      </c>
      <c r="R687" s="20">
        <f>ABS($J$2-L687)/L687</f>
        <v>0.14393939393939395</v>
      </c>
    </row>
    <row r="688" spans="1:18" ht="15.75" customHeight="1" x14ac:dyDescent="0.2">
      <c r="A688">
        <v>367</v>
      </c>
      <c r="B688" s="9" t="s">
        <v>289</v>
      </c>
      <c r="E688" s="6" t="s">
        <v>41</v>
      </c>
      <c r="F688" s="3">
        <v>0.9</v>
      </c>
      <c r="G688" s="3">
        <v>25</v>
      </c>
      <c r="H688" s="3">
        <f>(6+6.3)/2</f>
        <v>6.15</v>
      </c>
      <c r="I688" s="3"/>
      <c r="J688" s="3">
        <f>(7+7.5)/2</f>
        <v>7.25</v>
      </c>
      <c r="K688" s="3"/>
      <c r="L688" s="3"/>
      <c r="M688" s="21">
        <f>1-AVERAGE(N688:R688)</f>
        <v>0.41218203906176987</v>
      </c>
      <c r="N688" s="20">
        <f>ABS($D$2-F688)/F688</f>
        <v>0.35555555555555551</v>
      </c>
      <c r="O688" s="20">
        <f>ABS($E$2-G688)/G688</f>
        <v>0.16</v>
      </c>
      <c r="P688" s="20">
        <f>ABS($F$2-H688)/H688</f>
        <v>8.1300813008129795E-3</v>
      </c>
      <c r="Q688" s="20">
        <f>ABS($H$2-J688)/J688</f>
        <v>1.8275862068965518</v>
      </c>
      <c r="R688" s="20"/>
    </row>
    <row r="689" spans="1:18" ht="15.75" customHeight="1" x14ac:dyDescent="0.2">
      <c r="A689">
        <v>359</v>
      </c>
      <c r="B689" s="9" t="s">
        <v>282</v>
      </c>
      <c r="C689" s="9" t="s">
        <v>283</v>
      </c>
      <c r="E689" s="6" t="s">
        <v>41</v>
      </c>
      <c r="F689" s="3">
        <f>(0.86+0.98)/2</f>
        <v>0.91999999999999993</v>
      </c>
      <c r="G689" s="3">
        <f>(24+34)/2</f>
        <v>29</v>
      </c>
      <c r="H689" s="3">
        <f>(6.9+8.2)/2</f>
        <v>7.55</v>
      </c>
      <c r="I689" s="3"/>
      <c r="J689" s="3">
        <f>(6.8+7.8)/2</f>
        <v>7.3</v>
      </c>
      <c r="K689" s="3"/>
      <c r="L689" s="3"/>
      <c r="M689" s="21">
        <f>1-AVERAGE(N689:R689)</f>
        <v>0.41085191437665913</v>
      </c>
      <c r="N689" s="20">
        <f>ABS($D$2-F689)/F689</f>
        <v>0.36956521739130421</v>
      </c>
      <c r="O689" s="20">
        <f>ABS($E$2-G689)/G689</f>
        <v>0</v>
      </c>
      <c r="P689" s="20">
        <f>ABS($F$2-H689)/H689</f>
        <v>0.17880794701986752</v>
      </c>
      <c r="Q689" s="20">
        <f>ABS($H$2-J689)/J689</f>
        <v>1.8082191780821917</v>
      </c>
      <c r="R689" s="20"/>
    </row>
    <row r="690" spans="1:18" ht="15.75" customHeight="1" x14ac:dyDescent="0.2">
      <c r="A690">
        <v>129</v>
      </c>
      <c r="B690" s="1" t="s">
        <v>117</v>
      </c>
      <c r="C690" s="1"/>
      <c r="D690" s="2"/>
      <c r="E690" s="6" t="s">
        <v>41</v>
      </c>
      <c r="F690" s="3">
        <f>(0.25+0.29)/2</f>
        <v>0.27</v>
      </c>
      <c r="G690" s="3">
        <f>(15.3+20)/2</f>
        <v>17.649999999999999</v>
      </c>
      <c r="H690" s="3">
        <f>(7+9.4)/2</f>
        <v>8.1999999999999993</v>
      </c>
      <c r="I690" s="3"/>
      <c r="J690" s="3">
        <f>(14+17)/2</f>
        <v>15.5</v>
      </c>
      <c r="K690" s="3"/>
      <c r="L690" s="3"/>
      <c r="M690" s="21">
        <f>1-AVERAGE(N690:R690)</f>
        <v>0.41057731939529629</v>
      </c>
      <c r="N690" s="20">
        <f>ABS($D$2-F690)/F690</f>
        <v>1.1481481481481484</v>
      </c>
      <c r="O690" s="20">
        <f>ABS($E$2-G690)/G690</f>
        <v>0.64305949008498597</v>
      </c>
      <c r="P690" s="20">
        <f>ABS($F$2-H690)/H690</f>
        <v>0.24390243902439016</v>
      </c>
      <c r="Q690" s="20">
        <f>ABS($H$2-J690)/J690</f>
        <v>0.32258064516129031</v>
      </c>
      <c r="R690" s="20"/>
    </row>
    <row r="691" spans="1:18" ht="15.75" customHeight="1" x14ac:dyDescent="0.2">
      <c r="A691">
        <v>873</v>
      </c>
      <c r="B691" s="1" t="s">
        <v>699</v>
      </c>
      <c r="C691" s="1"/>
      <c r="D691" s="2"/>
      <c r="E691" s="6" t="s">
        <v>495</v>
      </c>
      <c r="F691" s="1">
        <v>2.8</v>
      </c>
      <c r="G691" s="4">
        <v>50</v>
      </c>
      <c r="H691" s="4">
        <v>4</v>
      </c>
      <c r="I691" s="4"/>
      <c r="J691" s="4">
        <v>96</v>
      </c>
      <c r="K691" s="4"/>
      <c r="L691" s="4">
        <v>54</v>
      </c>
      <c r="M691" s="21">
        <f>1-AVERAGE(N691:R691)</f>
        <v>0.41050727513227514</v>
      </c>
      <c r="N691" s="20">
        <f>ABS($D$2-F691)/F691</f>
        <v>0.79285714285714282</v>
      </c>
      <c r="O691" s="20">
        <f>ABS($E$2-G691)/G691</f>
        <v>0.42</v>
      </c>
      <c r="P691" s="20">
        <f>ABS($F$2-H691)/H691</f>
        <v>0.55000000000000004</v>
      </c>
      <c r="Q691" s="20">
        <f>ABS($H$2-J691)/J691</f>
        <v>0.78645833333333337</v>
      </c>
      <c r="R691" s="20">
        <f>ABS($J$2-L691)/L691</f>
        <v>0.39814814814814814</v>
      </c>
    </row>
    <row r="692" spans="1:18" ht="15.75" customHeight="1" x14ac:dyDescent="0.2">
      <c r="A692">
        <v>876</v>
      </c>
      <c r="B692" s="1" t="s">
        <v>701</v>
      </c>
      <c r="C692" s="1"/>
      <c r="D692" s="2"/>
      <c r="E692" s="6" t="s">
        <v>495</v>
      </c>
      <c r="F692" s="1">
        <v>1.8</v>
      </c>
      <c r="G692" s="4">
        <v>42</v>
      </c>
      <c r="H692" s="4">
        <v>3.2</v>
      </c>
      <c r="I692" s="4"/>
      <c r="J692" s="4">
        <v>68</v>
      </c>
      <c r="K692" s="4"/>
      <c r="L692" s="4">
        <v>57</v>
      </c>
      <c r="M692" s="21">
        <f>1-AVERAGE(N692:R692)</f>
        <v>0.41042151948498706</v>
      </c>
      <c r="N692" s="20">
        <f>ABS($D$2-F692)/F692</f>
        <v>0.6777777777777777</v>
      </c>
      <c r="O692" s="20">
        <f>ABS($E$2-G692)/G692</f>
        <v>0.30952380952380953</v>
      </c>
      <c r="P692" s="20">
        <f>ABS($F$2-H692)/H692</f>
        <v>0.9375</v>
      </c>
      <c r="Q692" s="20">
        <f>ABS($H$2-J692)/J692</f>
        <v>0.69852941176470584</v>
      </c>
      <c r="R692" s="20">
        <f>ABS($J$2-L692)/L692</f>
        <v>0.32456140350877194</v>
      </c>
    </row>
    <row r="693" spans="1:18" ht="15.75" customHeight="1" x14ac:dyDescent="0.2">
      <c r="A693">
        <v>203</v>
      </c>
      <c r="B693" s="1" t="s">
        <v>171</v>
      </c>
      <c r="C693" s="1" t="s">
        <v>172</v>
      </c>
      <c r="D693" s="2"/>
      <c r="E693" s="6" t="s">
        <v>40</v>
      </c>
      <c r="F693" s="3">
        <f>(2.2+2.91)/2</f>
        <v>2.5550000000000002</v>
      </c>
      <c r="G693" s="3">
        <f>(14+19)/2</f>
        <v>16.5</v>
      </c>
      <c r="H693" s="3">
        <f>(9.3+10.5)/2</f>
        <v>9.9</v>
      </c>
      <c r="I693" s="3"/>
      <c r="J693" s="3">
        <f>(12+15)/2</f>
        <v>13.5</v>
      </c>
      <c r="K693" s="3"/>
      <c r="L693" s="3">
        <f>(48+51)/2</f>
        <v>49.5</v>
      </c>
      <c r="M693" s="21">
        <f>1-AVERAGE(N693:R693)</f>
        <v>0.41038433915146244</v>
      </c>
      <c r="N693" s="20">
        <f>ABS($D$2-F693)/F693</f>
        <v>0.77299412915851273</v>
      </c>
      <c r="O693" s="20">
        <f>ABS($E$2-G693)/G693</f>
        <v>0.75757575757575757</v>
      </c>
      <c r="P693" s="20">
        <f>ABS($F$2-H693)/H693</f>
        <v>0.37373737373737376</v>
      </c>
      <c r="Q693" s="20">
        <f>ABS($H$2-J693)/J693</f>
        <v>0.51851851851851849</v>
      </c>
      <c r="R693" s="20">
        <f>ABS($J$2-L693)/L693</f>
        <v>0.5252525252525253</v>
      </c>
    </row>
    <row r="694" spans="1:18" ht="15.75" customHeight="1" x14ac:dyDescent="0.2">
      <c r="A694">
        <v>289</v>
      </c>
      <c r="B694" s="9" t="s">
        <v>231</v>
      </c>
      <c r="E694" s="6" t="s">
        <v>40</v>
      </c>
      <c r="F694" s="3">
        <v>0.65</v>
      </c>
      <c r="G694" s="3">
        <v>19</v>
      </c>
      <c r="H694" s="3">
        <v>3.9</v>
      </c>
      <c r="I694" s="3"/>
      <c r="J694" s="3">
        <v>8.3000000000000007</v>
      </c>
      <c r="K694" s="3"/>
      <c r="L694" s="3">
        <v>60</v>
      </c>
      <c r="M694" s="21">
        <f>1-AVERAGE(N694:R694)</f>
        <v>0.40960709233695924</v>
      </c>
      <c r="N694" s="20">
        <f>ABS($D$2-F694)/F694</f>
        <v>0.10769230769230762</v>
      </c>
      <c r="O694" s="20">
        <f>ABS($E$2-G694)/G694</f>
        <v>0.52631578947368418</v>
      </c>
      <c r="P694" s="20">
        <f>ABS($F$2-H694)/H694</f>
        <v>0.58974358974358987</v>
      </c>
      <c r="Q694" s="20">
        <f>ABS($H$2-J694)/J694</f>
        <v>1.469879518072289</v>
      </c>
      <c r="R694" s="20">
        <f>ABS($J$2-L694)/L694</f>
        <v>0.25833333333333336</v>
      </c>
    </row>
    <row r="695" spans="1:18" ht="15.75" customHeight="1" x14ac:dyDescent="0.2">
      <c r="A695">
        <v>762</v>
      </c>
      <c r="B695" s="6" t="s">
        <v>603</v>
      </c>
      <c r="C695" s="6"/>
      <c r="D695" s="7"/>
      <c r="E695" s="6" t="s">
        <v>482</v>
      </c>
      <c r="F695" s="1">
        <v>6.4</v>
      </c>
      <c r="G695" s="4">
        <v>57</v>
      </c>
      <c r="H695" s="4">
        <v>7</v>
      </c>
      <c r="I695" s="4"/>
      <c r="J695" s="4">
        <v>134</v>
      </c>
      <c r="K695" s="14"/>
      <c r="L695" s="14"/>
      <c r="M695" s="21">
        <f>1-AVERAGE(N695:R695)</f>
        <v>0.4095240725414282</v>
      </c>
      <c r="N695" s="20">
        <f>ABS($D$2-F695)/F695</f>
        <v>0.90937500000000004</v>
      </c>
      <c r="O695" s="20">
        <f>ABS($E$2-G695)/G695</f>
        <v>0.49122807017543857</v>
      </c>
      <c r="P695" s="20">
        <f>ABS($F$2-H695)/H695</f>
        <v>0.11428571428571425</v>
      </c>
      <c r="Q695" s="20">
        <f>ABS($H$2-J695)/J695</f>
        <v>0.84701492537313428</v>
      </c>
      <c r="R695" s="20"/>
    </row>
    <row r="696" spans="1:18" ht="15.75" customHeight="1" x14ac:dyDescent="0.2">
      <c r="A696">
        <v>514</v>
      </c>
      <c r="B696" s="9" t="s">
        <v>403</v>
      </c>
      <c r="E696" s="6" t="s">
        <v>41</v>
      </c>
      <c r="F696" s="3">
        <f>(0.76+0.94)/2</f>
        <v>0.85</v>
      </c>
      <c r="G696" s="3">
        <f>(55+75)/2</f>
        <v>65</v>
      </c>
      <c r="H696" s="3">
        <f>(4.5+4.8)/2</f>
        <v>4.6500000000000004</v>
      </c>
      <c r="I696" s="3"/>
      <c r="J696" s="3">
        <f>(9+10)/2</f>
        <v>9.5</v>
      </c>
      <c r="K696" s="10"/>
      <c r="L696" s="10"/>
      <c r="M696" s="21">
        <f>1-AVERAGE(N696:R696)</f>
        <v>0.40931967928871948</v>
      </c>
      <c r="N696" s="20">
        <f>ABS($D$2-F696)/F696</f>
        <v>0.31764705882352934</v>
      </c>
      <c r="O696" s="20">
        <f>ABS($E$2-G696)/G696</f>
        <v>0.55384615384615388</v>
      </c>
      <c r="P696" s="20">
        <f>ABS($F$2-H696)/H696</f>
        <v>0.33333333333333326</v>
      </c>
      <c r="Q696" s="20">
        <f>ABS($H$2-J696)/J696</f>
        <v>1.1578947368421053</v>
      </c>
      <c r="R696" s="20"/>
    </row>
    <row r="697" spans="1:18" ht="15.75" customHeight="1" x14ac:dyDescent="0.2">
      <c r="A697">
        <v>217</v>
      </c>
      <c r="B697" s="9" t="s">
        <v>185</v>
      </c>
      <c r="C697" s="9" t="s">
        <v>186</v>
      </c>
      <c r="E697" s="6" t="s">
        <v>40</v>
      </c>
      <c r="F697" s="3">
        <f>(1.15+1.41)/2</f>
        <v>1.2799999999999998</v>
      </c>
      <c r="G697" s="3">
        <f>(11+13)/2</f>
        <v>12</v>
      </c>
      <c r="H697" s="3">
        <f>(4.6+5.9)/2</f>
        <v>5.25</v>
      </c>
      <c r="I697" s="3"/>
      <c r="J697" s="3">
        <f>(37+51)/2</f>
        <v>44</v>
      </c>
      <c r="K697" s="3"/>
      <c r="L697" s="3">
        <f>(57+61)/2</f>
        <v>59</v>
      </c>
      <c r="M697" s="21">
        <f>1-AVERAGE(N697:R697)</f>
        <v>0.40835080526817813</v>
      </c>
      <c r="N697" s="20">
        <f>ABS($D$2-F697)/F697</f>
        <v>0.54687499999999989</v>
      </c>
      <c r="O697" s="20">
        <f>ABS($E$2-G697)/G697</f>
        <v>1.4166666666666667</v>
      </c>
      <c r="P697" s="20">
        <f>ABS($F$2-H697)/H697</f>
        <v>0.18095238095238098</v>
      </c>
      <c r="Q697" s="20">
        <f>ABS($H$2-J697)/J697</f>
        <v>0.53409090909090906</v>
      </c>
      <c r="R697" s="20">
        <f>ABS($J$2-L697)/L697</f>
        <v>0.27966101694915252</v>
      </c>
    </row>
    <row r="698" spans="1:18" ht="15.75" customHeight="1" x14ac:dyDescent="0.2">
      <c r="A698">
        <v>89</v>
      </c>
      <c r="B698" s="1" t="s">
        <v>95</v>
      </c>
      <c r="C698" s="1"/>
      <c r="D698" s="2"/>
      <c r="E698" s="6" t="s">
        <v>41</v>
      </c>
      <c r="F698" s="3">
        <v>0.5</v>
      </c>
      <c r="G698" s="3">
        <v>33</v>
      </c>
      <c r="H698" s="3">
        <v>5</v>
      </c>
      <c r="I698" s="3"/>
      <c r="J698" s="3">
        <v>7.2</v>
      </c>
      <c r="K698" s="3"/>
      <c r="L698" s="3"/>
      <c r="M698" s="21">
        <f>1-AVERAGE(N698:R698)</f>
        <v>0.40789141414141405</v>
      </c>
      <c r="N698" s="20">
        <f>ABS($D$2-F698)/F698</f>
        <v>0.16000000000000014</v>
      </c>
      <c r="O698" s="20">
        <f>ABS($E$2-G698)/G698</f>
        <v>0.12121212121212122</v>
      </c>
      <c r="P698" s="20">
        <f>ABS($F$2-H698)/H698</f>
        <v>0.24000000000000005</v>
      </c>
      <c r="Q698" s="20">
        <f>ABS($H$2-J698)/J698</f>
        <v>1.8472222222222223</v>
      </c>
      <c r="R698" s="20"/>
    </row>
    <row r="699" spans="1:18" ht="15.75" customHeight="1" x14ac:dyDescent="0.2">
      <c r="A699">
        <v>301</v>
      </c>
      <c r="B699" s="9" t="s">
        <v>238</v>
      </c>
      <c r="E699" s="6" t="s">
        <v>40</v>
      </c>
      <c r="F699" s="3">
        <f>(0.52+0.64)/2</f>
        <v>0.58000000000000007</v>
      </c>
      <c r="G699" s="3">
        <f>(16+18)/2</f>
        <v>17</v>
      </c>
      <c r="H699" s="3">
        <f>(3.4+3.8)/2</f>
        <v>3.5999999999999996</v>
      </c>
      <c r="I699" s="3"/>
      <c r="J699" s="3">
        <f>(8+10)/2</f>
        <v>9</v>
      </c>
      <c r="K699" s="3"/>
      <c r="L699" s="3">
        <v>60</v>
      </c>
      <c r="M699" s="21">
        <f>1-AVERAGE(N699:R699)</f>
        <v>0.40715686274509799</v>
      </c>
      <c r="N699" s="20">
        <f>ABS($D$2-F699)/F699</f>
        <v>0</v>
      </c>
      <c r="O699" s="20">
        <f>ABS($E$2-G699)/G699</f>
        <v>0.70588235294117652</v>
      </c>
      <c r="P699" s="20">
        <f>ABS($F$2-H699)/H699</f>
        <v>0.72222222222222243</v>
      </c>
      <c r="Q699" s="20">
        <f>ABS($H$2-J699)/J699</f>
        <v>1.2777777777777777</v>
      </c>
      <c r="R699" s="20">
        <f>ABS($J$2-L699)/L699</f>
        <v>0.25833333333333336</v>
      </c>
    </row>
    <row r="700" spans="1:18" ht="15.75" customHeight="1" x14ac:dyDescent="0.2">
      <c r="A700">
        <v>766</v>
      </c>
      <c r="B700" s="6" t="s">
        <v>604</v>
      </c>
      <c r="C700" s="6"/>
      <c r="D700" s="7"/>
      <c r="E700" s="6" t="s">
        <v>482</v>
      </c>
      <c r="F700" s="1">
        <v>2.2999999999999998</v>
      </c>
      <c r="G700" s="4">
        <v>38</v>
      </c>
      <c r="H700" s="4">
        <v>3.7</v>
      </c>
      <c r="I700" s="4"/>
      <c r="J700" s="4">
        <v>71</v>
      </c>
      <c r="K700" s="4"/>
      <c r="L700" s="4"/>
      <c r="M700" s="21">
        <f>1-AVERAGE(N700:R700)</f>
        <v>0.40709713161771044</v>
      </c>
      <c r="N700" s="20">
        <f>ABS($D$2-F700)/F700</f>
        <v>0.74782608695652164</v>
      </c>
      <c r="O700" s="20">
        <f>ABS($E$2-G700)/G700</f>
        <v>0.23684210526315788</v>
      </c>
      <c r="P700" s="20">
        <f>ABS($F$2-H700)/H700</f>
        <v>0.67567567567567566</v>
      </c>
      <c r="Q700" s="20">
        <f>ABS($H$2-J700)/J700</f>
        <v>0.71126760563380287</v>
      </c>
      <c r="R700" s="20"/>
    </row>
    <row r="701" spans="1:18" ht="15.75" customHeight="1" x14ac:dyDescent="0.2">
      <c r="A701">
        <v>275</v>
      </c>
      <c r="B701" s="9" t="s">
        <v>222</v>
      </c>
      <c r="C701" s="9" t="s">
        <v>223</v>
      </c>
      <c r="E701" s="6" t="s">
        <v>41</v>
      </c>
      <c r="F701" s="3">
        <f>(0.75+0.88)/2</f>
        <v>0.81499999999999995</v>
      </c>
      <c r="G701" s="3">
        <f>(21+23)/2</f>
        <v>22</v>
      </c>
      <c r="H701" s="3">
        <v>5</v>
      </c>
      <c r="I701" s="3"/>
      <c r="J701" s="3">
        <f>(7.5+8.7)/2</f>
        <v>8.1</v>
      </c>
      <c r="K701" s="3"/>
      <c r="L701" s="3"/>
      <c r="M701" s="21">
        <f>1-AVERAGE(N701:R701)</f>
        <v>0.40565260650127732</v>
      </c>
      <c r="N701" s="20">
        <f>ABS($D$2-F701)/F701</f>
        <v>0.28834355828220848</v>
      </c>
      <c r="O701" s="20">
        <f>ABS($E$2-G701)/G701</f>
        <v>0.31818181818181818</v>
      </c>
      <c r="P701" s="20">
        <f>ABS($F$2-H701)/H701</f>
        <v>0.24000000000000005</v>
      </c>
      <c r="Q701" s="20">
        <f>ABS($H$2-J701)/J701</f>
        <v>1.5308641975308643</v>
      </c>
      <c r="R701" s="20"/>
    </row>
    <row r="702" spans="1:18" ht="15.75" customHeight="1" x14ac:dyDescent="0.2">
      <c r="A702">
        <v>760</v>
      </c>
      <c r="B702" s="6" t="s">
        <v>602</v>
      </c>
      <c r="C702" s="6"/>
      <c r="D702" s="7"/>
      <c r="E702" s="6" t="s">
        <v>482</v>
      </c>
      <c r="F702" s="1">
        <v>6.5</v>
      </c>
      <c r="G702" s="12">
        <v>68</v>
      </c>
      <c r="H702" s="4">
        <v>5.8</v>
      </c>
      <c r="I702" s="4"/>
      <c r="J702" s="4">
        <v>117</v>
      </c>
      <c r="K702" s="4"/>
      <c r="L702" s="4"/>
      <c r="M702" s="21">
        <f>1-AVERAGE(N702:R702)</f>
        <v>0.40548737885958985</v>
      </c>
      <c r="N702" s="20">
        <f>ABS($D$2-F702)/F702</f>
        <v>0.91076923076923078</v>
      </c>
      <c r="O702" s="20">
        <f>ABS($E$2-G702)/G702</f>
        <v>0.57352941176470584</v>
      </c>
      <c r="P702" s="20">
        <f>ABS($F$2-H702)/H702</f>
        <v>6.8965517241379379E-2</v>
      </c>
      <c r="Q702" s="20">
        <f>ABS($H$2-J702)/J702</f>
        <v>0.82478632478632474</v>
      </c>
      <c r="R702" s="20"/>
    </row>
    <row r="703" spans="1:18" ht="15.75" customHeight="1" x14ac:dyDescent="0.2">
      <c r="A703">
        <v>436</v>
      </c>
      <c r="B703" s="9" t="s">
        <v>344</v>
      </c>
      <c r="E703" s="6" t="s">
        <v>40</v>
      </c>
      <c r="F703" s="3">
        <v>3.2</v>
      </c>
      <c r="G703" s="3">
        <v>37</v>
      </c>
      <c r="H703" s="3">
        <v>4.3</v>
      </c>
      <c r="I703" s="3"/>
      <c r="J703" s="3">
        <v>11</v>
      </c>
      <c r="K703" s="3"/>
      <c r="L703" s="3">
        <v>46</v>
      </c>
      <c r="M703" s="21">
        <f>1-AVERAGE(N703:R703)</f>
        <v>0.40364652144101076</v>
      </c>
      <c r="N703" s="20">
        <f>ABS($D$2-F703)/F703</f>
        <v>0.81874999999999998</v>
      </c>
      <c r="O703" s="20">
        <f>ABS($E$2-G703)/G703</f>
        <v>0.21621621621621623</v>
      </c>
      <c r="P703" s="20">
        <f>ABS($F$2-H703)/H703</f>
        <v>0.44186046511627919</v>
      </c>
      <c r="Q703" s="20">
        <f>ABS($H$2-J703)/J703</f>
        <v>0.86363636363636365</v>
      </c>
      <c r="R703" s="20">
        <f>ABS($J$2-L703)/L703</f>
        <v>0.64130434782608692</v>
      </c>
    </row>
    <row r="704" spans="1:18" ht="15.75" customHeight="1" x14ac:dyDescent="0.2">
      <c r="A704">
        <v>1</v>
      </c>
      <c r="B704" s="6" t="s">
        <v>39</v>
      </c>
      <c r="C704" s="6"/>
      <c r="D704" s="7"/>
      <c r="E704" s="6" t="s">
        <v>40</v>
      </c>
      <c r="F704" s="3">
        <f>(1+1.3)/2</f>
        <v>1.1499999999999999</v>
      </c>
      <c r="G704" s="3">
        <f>(25+35)/2</f>
        <v>30</v>
      </c>
      <c r="H704" s="3">
        <f>(6+7.5)/2</f>
        <v>6.75</v>
      </c>
      <c r="I704" s="3"/>
      <c r="J704" s="3">
        <f>(5.5+7.2)/2</f>
        <v>6.35</v>
      </c>
      <c r="K704" s="3"/>
      <c r="L704" s="3">
        <v>65</v>
      </c>
      <c r="M704" s="21">
        <f>1-AVERAGE(N704:R704)</f>
        <v>0.39992961860815346</v>
      </c>
      <c r="N704" s="20">
        <f>ABS($D$2-F704)/F704</f>
        <v>0.49565217391304339</v>
      </c>
      <c r="O704" s="20">
        <f>ABS($E$2-G704)/G704</f>
        <v>3.3333333333333333E-2</v>
      </c>
      <c r="P704" s="20">
        <f>ABS($F$2-H704)/H704</f>
        <v>8.148148148148146E-2</v>
      </c>
      <c r="Q704" s="20">
        <f>ABS($H$2-J704)/J704</f>
        <v>2.2283464566929134</v>
      </c>
      <c r="R704" s="20">
        <f>ABS($J$2-L704)/L704</f>
        <v>0.16153846153846155</v>
      </c>
    </row>
    <row r="705" spans="1:18" ht="15.75" customHeight="1" x14ac:dyDescent="0.2">
      <c r="A705">
        <v>246</v>
      </c>
      <c r="B705" s="9" t="s">
        <v>206</v>
      </c>
      <c r="E705" s="6" t="s">
        <v>40</v>
      </c>
      <c r="F705" s="3">
        <f>(0.74+0.9)/2</f>
        <v>0.82000000000000006</v>
      </c>
      <c r="G705" s="3">
        <f>(12+16)/2</f>
        <v>14</v>
      </c>
      <c r="H705" s="3">
        <f>(5.2+7.6)/2</f>
        <v>6.4</v>
      </c>
      <c r="I705" s="3"/>
      <c r="J705" s="3">
        <f>(8.4+11)/2</f>
        <v>9.6999999999999993</v>
      </c>
      <c r="K705" s="3"/>
      <c r="L705" s="3">
        <f>(50+51)/2</f>
        <v>50.5</v>
      </c>
      <c r="M705" s="21">
        <f>1-AVERAGE(N705:R705)</f>
        <v>0.39923738698719891</v>
      </c>
      <c r="N705" s="20">
        <f>ABS($D$2-F705)/F705</f>
        <v>0.29268292682926828</v>
      </c>
      <c r="O705" s="20">
        <f>ABS($E$2-G705)/G705</f>
        <v>1.0714285714285714</v>
      </c>
      <c r="P705" s="20">
        <f>ABS($F$2-H705)/H705</f>
        <v>3.1250000000000028E-2</v>
      </c>
      <c r="Q705" s="20">
        <f>ABS($H$2-J705)/J705</f>
        <v>1.1134020618556704</v>
      </c>
      <c r="R705" s="20">
        <f>ABS($J$2-L705)/L705</f>
        <v>0.49504950495049505</v>
      </c>
    </row>
    <row r="706" spans="1:18" ht="15.75" customHeight="1" x14ac:dyDescent="0.2">
      <c r="A706">
        <v>884</v>
      </c>
      <c r="B706" s="1" t="s">
        <v>705</v>
      </c>
      <c r="C706" s="1"/>
      <c r="D706" s="2"/>
      <c r="E706" s="6" t="s">
        <v>495</v>
      </c>
      <c r="F706" s="1">
        <v>3.3</v>
      </c>
      <c r="G706" s="4">
        <v>55</v>
      </c>
      <c r="H706" s="4">
        <v>5</v>
      </c>
      <c r="I706" s="4"/>
      <c r="J706" s="4">
        <v>83</v>
      </c>
      <c r="K706" s="4"/>
      <c r="L706" s="4">
        <v>44</v>
      </c>
      <c r="M706" s="21">
        <f>1-AVERAGE(N706:R706)</f>
        <v>0.39882183278568828</v>
      </c>
      <c r="N706" s="20">
        <f>ABS($D$2-F706)/F706</f>
        <v>0.82424242424242422</v>
      </c>
      <c r="O706" s="20">
        <f>ABS($E$2-G706)/G706</f>
        <v>0.47272727272727272</v>
      </c>
      <c r="P706" s="20">
        <f>ABS($F$2-H706)/H706</f>
        <v>0.24000000000000005</v>
      </c>
      <c r="Q706" s="20">
        <f>ABS($H$2-J706)/J706</f>
        <v>0.75301204819277112</v>
      </c>
      <c r="R706" s="20">
        <f>ABS($J$2-L706)/L706</f>
        <v>0.71590909090909094</v>
      </c>
    </row>
    <row r="707" spans="1:18" ht="15.75" customHeight="1" x14ac:dyDescent="0.2">
      <c r="A707">
        <v>256</v>
      </c>
      <c r="B707" s="9" t="s">
        <v>212</v>
      </c>
      <c r="E707" s="6" t="s">
        <v>41</v>
      </c>
      <c r="F707" s="3">
        <f>(0.39+0.44)/2</f>
        <v>0.41500000000000004</v>
      </c>
      <c r="G707" s="3">
        <f>(17+18)/2</f>
        <v>17.5</v>
      </c>
      <c r="H707" s="3">
        <f>(5.4+6)/2</f>
        <v>5.7</v>
      </c>
      <c r="I707" s="3"/>
      <c r="J707" s="3">
        <f>(8.5+9.6)/2</f>
        <v>9.0500000000000007</v>
      </c>
      <c r="K707" s="3"/>
      <c r="L707" s="3"/>
      <c r="M707" s="21">
        <f>1-AVERAGE(N707:R707)</f>
        <v>0.39808852824999996</v>
      </c>
      <c r="N707" s="20">
        <f>ABS($D$2-F707)/F707</f>
        <v>0.39759036144578319</v>
      </c>
      <c r="O707" s="20">
        <f>ABS($E$2-G707)/G707</f>
        <v>0.65714285714285714</v>
      </c>
      <c r="P707" s="20">
        <f>ABS($F$2-H707)/H707</f>
        <v>8.771929824561403E-2</v>
      </c>
      <c r="Q707" s="20">
        <f>ABS($H$2-J707)/J707</f>
        <v>1.2651933701657456</v>
      </c>
      <c r="R707" s="20"/>
    </row>
    <row r="708" spans="1:18" ht="15.75" customHeight="1" x14ac:dyDescent="0.2">
      <c r="A708">
        <v>764</v>
      </c>
      <c r="B708" s="6" t="s">
        <v>602</v>
      </c>
      <c r="C708" s="6"/>
      <c r="D708" s="7"/>
      <c r="E708" s="6" t="s">
        <v>482</v>
      </c>
      <c r="F708" s="1">
        <f>(7.5+9.3)/2</f>
        <v>8.4</v>
      </c>
      <c r="G708" s="4">
        <f>(68+85)/2</f>
        <v>76.5</v>
      </c>
      <c r="H708" s="4">
        <f>(5.2+7.2)/2</f>
        <v>6.2</v>
      </c>
      <c r="I708" s="4"/>
      <c r="J708" s="4">
        <f>(130+158)/2</f>
        <v>144</v>
      </c>
      <c r="K708" s="4"/>
      <c r="L708" s="4"/>
      <c r="M708" s="21">
        <f>1-AVERAGE(N708:R708)</f>
        <v>0.39762342436974785</v>
      </c>
      <c r="N708" s="20">
        <f>ABS($D$2-F708)/F708</f>
        <v>0.93095238095238098</v>
      </c>
      <c r="O708" s="20">
        <f>ABS($E$2-G708)/G708</f>
        <v>0.62091503267973858</v>
      </c>
      <c r="P708" s="20">
        <f>ABS($F$2-H708)/H708</f>
        <v>0</v>
      </c>
      <c r="Q708" s="20">
        <f>ABS($H$2-J708)/J708</f>
        <v>0.85763888888888884</v>
      </c>
      <c r="R708" s="20"/>
    </row>
    <row r="709" spans="1:18" ht="15.75" customHeight="1" x14ac:dyDescent="0.2">
      <c r="A709">
        <v>340</v>
      </c>
      <c r="B709" s="9" t="s">
        <v>267</v>
      </c>
      <c r="E709" s="6" t="s">
        <v>41</v>
      </c>
      <c r="F709" s="3">
        <v>1.6</v>
      </c>
      <c r="G709" s="3">
        <v>41.7</v>
      </c>
      <c r="H709" s="3">
        <v>3.3</v>
      </c>
      <c r="I709" s="3"/>
      <c r="J709" s="3">
        <v>50</v>
      </c>
      <c r="K709" s="3"/>
      <c r="L709" s="3"/>
      <c r="M709" s="21">
        <f>1-AVERAGE(N709:R709)</f>
        <v>0.39728894157401351</v>
      </c>
      <c r="N709" s="20">
        <f>ABS($D$2-F709)/F709</f>
        <v>0.63749999999999996</v>
      </c>
      <c r="O709" s="20">
        <f>ABS($E$2-G709)/G709</f>
        <v>0.3045563549160672</v>
      </c>
      <c r="P709" s="20">
        <f>ABS($F$2-H709)/H709</f>
        <v>0.8787878787878789</v>
      </c>
      <c r="Q709" s="20">
        <f>ABS($H$2-J709)/J709</f>
        <v>0.59</v>
      </c>
      <c r="R709" s="20"/>
    </row>
    <row r="710" spans="1:18" ht="15.75" customHeight="1" x14ac:dyDescent="0.2">
      <c r="A710">
        <v>371</v>
      </c>
      <c r="B710" s="9" t="s">
        <v>290</v>
      </c>
      <c r="E710" s="6" t="s">
        <v>41</v>
      </c>
      <c r="F710" s="3">
        <f>(0.87+1.08)/2</f>
        <v>0.97500000000000009</v>
      </c>
      <c r="G710" s="3">
        <f>(25+35)/2</f>
        <v>30</v>
      </c>
      <c r="H710" s="3">
        <f>(7.5+8.9)/2</f>
        <v>8.1999999999999993</v>
      </c>
      <c r="I710" s="3"/>
      <c r="J710" s="3">
        <f>(7+8)/2</f>
        <v>7.5</v>
      </c>
      <c r="K710" s="3"/>
      <c r="L710" s="3"/>
      <c r="M710" s="21">
        <f>1-AVERAGE(N710:R710)</f>
        <v>0.39607567229518448</v>
      </c>
      <c r="N710" s="20">
        <f>ABS($D$2-F710)/F710</f>
        <v>0.40512820512820513</v>
      </c>
      <c r="O710" s="20">
        <f>ABS($E$2-G710)/G710</f>
        <v>3.3333333333333333E-2</v>
      </c>
      <c r="P710" s="20">
        <f>ABS($F$2-H710)/H710</f>
        <v>0.24390243902439016</v>
      </c>
      <c r="Q710" s="20">
        <f>ABS($H$2-J710)/J710</f>
        <v>1.7333333333333334</v>
      </c>
      <c r="R710" s="20"/>
    </row>
    <row r="711" spans="1:18" ht="15.75" customHeight="1" x14ac:dyDescent="0.2">
      <c r="A711">
        <v>637</v>
      </c>
      <c r="B711" s="6" t="s">
        <v>500</v>
      </c>
      <c r="C711" s="6" t="s">
        <v>513</v>
      </c>
      <c r="D711" s="7"/>
      <c r="E711" s="6" t="s">
        <v>495</v>
      </c>
      <c r="F711" s="1">
        <v>0.5</v>
      </c>
      <c r="G711" s="4">
        <v>35</v>
      </c>
      <c r="H711" s="4">
        <v>5.3</v>
      </c>
      <c r="I711" s="4"/>
      <c r="J711" s="4">
        <v>6</v>
      </c>
      <c r="K711" s="4"/>
      <c r="L711" s="4">
        <v>68</v>
      </c>
      <c r="M711" s="21">
        <f>1-AVERAGE(N711:R711)</f>
        <v>0.39435986470059725</v>
      </c>
      <c r="N711" s="20">
        <f>ABS($D$2-F711)/F711</f>
        <v>0.16000000000000014</v>
      </c>
      <c r="O711" s="20">
        <f>ABS($E$2-G711)/G711</f>
        <v>0.17142857142857143</v>
      </c>
      <c r="P711" s="20">
        <f>ABS($F$2-H711)/H711</f>
        <v>0.16981132075471705</v>
      </c>
      <c r="Q711" s="20">
        <f>ABS($H$2-J711)/J711</f>
        <v>2.4166666666666665</v>
      </c>
      <c r="R711" s="20">
        <f>ABS($J$2-L711)/L711</f>
        <v>0.11029411764705882</v>
      </c>
    </row>
    <row r="712" spans="1:18" ht="15.75" customHeight="1" x14ac:dyDescent="0.2">
      <c r="A712">
        <v>51</v>
      </c>
      <c r="B712" s="1" t="s">
        <v>69</v>
      </c>
      <c r="C712" s="1"/>
      <c r="D712" s="2"/>
      <c r="E712" s="6" t="s">
        <v>41</v>
      </c>
      <c r="F712" s="3">
        <v>2.4</v>
      </c>
      <c r="G712" s="3">
        <v>56</v>
      </c>
      <c r="H712" s="3">
        <v>9.1999999999999993</v>
      </c>
      <c r="I712" s="3"/>
      <c r="J712" s="3">
        <v>143</v>
      </c>
      <c r="K712" s="3"/>
      <c r="L712" s="3"/>
      <c r="M712" s="21">
        <f>1-AVERAGE(N712:R712)</f>
        <v>0.39419837408967839</v>
      </c>
      <c r="N712" s="20">
        <f>ABS($D$2-F712)/F712</f>
        <v>0.7583333333333333</v>
      </c>
      <c r="O712" s="20">
        <f>ABS($E$2-G712)/G712</f>
        <v>0.48214285714285715</v>
      </c>
      <c r="P712" s="20">
        <f>ABS($F$2-H712)/H712</f>
        <v>0.32608695652173908</v>
      </c>
      <c r="Q712" s="20">
        <f>ABS($H$2-J712)/J712</f>
        <v>0.85664335664335667</v>
      </c>
      <c r="R712" s="20"/>
    </row>
    <row r="713" spans="1:18" ht="15.75" customHeight="1" x14ac:dyDescent="0.2">
      <c r="A713">
        <v>388</v>
      </c>
      <c r="B713" s="9" t="s">
        <v>304</v>
      </c>
      <c r="E713" s="6" t="s">
        <v>41</v>
      </c>
      <c r="F713" s="3">
        <f>(1.34+1.9)/2</f>
        <v>1.62</v>
      </c>
      <c r="G713" s="3">
        <f>(43+53)/2</f>
        <v>48</v>
      </c>
      <c r="H713" s="3">
        <f>(2.4+3.2)/2</f>
        <v>2.8</v>
      </c>
      <c r="I713" s="3"/>
      <c r="J713" s="3">
        <v>25</v>
      </c>
      <c r="K713" s="10"/>
      <c r="L713" s="10"/>
      <c r="M713" s="21">
        <f>1-AVERAGE(N713:R713)</f>
        <v>0.39197641093474422</v>
      </c>
      <c r="N713" s="20">
        <f>ABS($D$2-F713)/F713</f>
        <v>0.64197530864197527</v>
      </c>
      <c r="O713" s="20">
        <f>ABS($E$2-G713)/G713</f>
        <v>0.39583333333333331</v>
      </c>
      <c r="P713" s="20">
        <f>ABS($F$2-H713)/H713</f>
        <v>1.2142857142857144</v>
      </c>
      <c r="Q713" s="20">
        <f>ABS($H$2-J713)/J713</f>
        <v>0.18</v>
      </c>
      <c r="R713" s="20"/>
    </row>
    <row r="714" spans="1:18" ht="15.75" customHeight="1" x14ac:dyDescent="0.2">
      <c r="A714">
        <v>245</v>
      </c>
      <c r="B714" s="9" t="s">
        <v>205</v>
      </c>
      <c r="C714" s="9" t="s">
        <v>204</v>
      </c>
      <c r="E714" s="6" t="s">
        <v>41</v>
      </c>
      <c r="F714" s="3">
        <f>(0.56+0.93)/2</f>
        <v>0.74500000000000011</v>
      </c>
      <c r="G714" s="3">
        <f>(12+29)/2</f>
        <v>20.5</v>
      </c>
      <c r="H714" s="3">
        <f>(4+6)/2</f>
        <v>5</v>
      </c>
      <c r="I714" s="3"/>
      <c r="J714" s="3">
        <f>(6+10)/2</f>
        <v>8</v>
      </c>
      <c r="K714" s="3"/>
      <c r="L714" s="3"/>
      <c r="M714" s="21">
        <f>1-AVERAGE(N714:R714)</f>
        <v>0.39034733589785564</v>
      </c>
      <c r="N714" s="20">
        <f>ABS($D$2-F714)/F714</f>
        <v>0.22147651006711411</v>
      </c>
      <c r="O714" s="20">
        <f>ABS($E$2-G714)/G714</f>
        <v>0.41463414634146339</v>
      </c>
      <c r="P714" s="20">
        <f>ABS($F$2-H714)/H714</f>
        <v>0.24000000000000005</v>
      </c>
      <c r="Q714" s="20">
        <f>ABS($H$2-J714)/J714</f>
        <v>1.5625</v>
      </c>
      <c r="R714" s="20"/>
    </row>
    <row r="715" spans="1:18" ht="15.75" customHeight="1" x14ac:dyDescent="0.2">
      <c r="A715">
        <v>484</v>
      </c>
      <c r="B715" s="9" t="s">
        <v>382</v>
      </c>
      <c r="E715" s="6" t="s">
        <v>40</v>
      </c>
      <c r="F715" s="3">
        <v>1.2</v>
      </c>
      <c r="G715" s="3">
        <v>23</v>
      </c>
      <c r="H715" s="3">
        <v>7</v>
      </c>
      <c r="I715" s="3"/>
      <c r="J715" s="3">
        <v>57</v>
      </c>
      <c r="K715" s="3"/>
      <c r="L715" s="3">
        <v>30</v>
      </c>
      <c r="M715" s="21">
        <f>1-AVERAGE(N715:R715)</f>
        <v>0.39023210199411573</v>
      </c>
      <c r="N715" s="20">
        <f>ABS($D$2-F715)/F715</f>
        <v>0.51666666666666661</v>
      </c>
      <c r="O715" s="20">
        <f>ABS($E$2-G715)/G715</f>
        <v>0.2608695652173913</v>
      </c>
      <c r="P715" s="20">
        <f>ABS($F$2-H715)/H715</f>
        <v>0.11428571428571425</v>
      </c>
      <c r="Q715" s="20">
        <f>ABS($H$2-J715)/J715</f>
        <v>0.64035087719298245</v>
      </c>
      <c r="R715" s="20">
        <f>ABS($J$2-L715)/L715</f>
        <v>1.5166666666666666</v>
      </c>
    </row>
    <row r="716" spans="1:18" ht="15.75" customHeight="1" x14ac:dyDescent="0.2">
      <c r="A716">
        <v>265</v>
      </c>
      <c r="B716" s="9" t="s">
        <v>217</v>
      </c>
      <c r="E716" s="6" t="s">
        <v>40</v>
      </c>
      <c r="F716" s="3">
        <f>(0.59+0.64)/2</f>
        <v>0.61499999999999999</v>
      </c>
      <c r="G716" s="3">
        <f>(18+19)/2</f>
        <v>18.5</v>
      </c>
      <c r="H716" s="3">
        <f>(4.4+5.8)/2</f>
        <v>5.0999999999999996</v>
      </c>
      <c r="I716" s="3"/>
      <c r="J716" s="3">
        <f>(5.8+8.4)/2</f>
        <v>7.1</v>
      </c>
      <c r="K716" s="3"/>
      <c r="L716" s="3">
        <f>(54+59)/2</f>
        <v>56.5</v>
      </c>
      <c r="M716" s="21">
        <f>1-AVERAGE(N716:R716)</f>
        <v>0.38724569186285152</v>
      </c>
      <c r="N716" s="20">
        <f>ABS($D$2-F716)/F716</f>
        <v>5.6910569105690929E-2</v>
      </c>
      <c r="O716" s="20">
        <f>ABS($E$2-G716)/G716</f>
        <v>0.56756756756756754</v>
      </c>
      <c r="P716" s="20">
        <f>ABS($F$2-H716)/H716</f>
        <v>0.21568627450980404</v>
      </c>
      <c r="Q716" s="20">
        <f>ABS($H$2-J716)/J716</f>
        <v>1.887323943661972</v>
      </c>
      <c r="R716" s="20">
        <f>ABS($J$2-L716)/L716</f>
        <v>0.33628318584070799</v>
      </c>
    </row>
    <row r="717" spans="1:18" ht="15.75" customHeight="1" x14ac:dyDescent="0.2">
      <c r="A717">
        <v>322</v>
      </c>
      <c r="B717" s="9" t="s">
        <v>256</v>
      </c>
      <c r="E717" s="6" t="s">
        <v>40</v>
      </c>
      <c r="F717" s="3">
        <f>(0.58+0.7)/2</f>
        <v>0.6399999999999999</v>
      </c>
      <c r="G717" s="3">
        <f>(20+27)/2</f>
        <v>23.5</v>
      </c>
      <c r="H717" s="3">
        <f>(4+6)/2</f>
        <v>5</v>
      </c>
      <c r="I717" s="3"/>
      <c r="J717" s="3">
        <f>(6.2+7.6)/2</f>
        <v>6.9</v>
      </c>
      <c r="K717" s="3"/>
      <c r="L717" s="3">
        <f>(45+54)/2</f>
        <v>49.5</v>
      </c>
      <c r="M717" s="21">
        <f>1-AVERAGE(N717:R717)</f>
        <v>0.38718808576047259</v>
      </c>
      <c r="N717" s="20">
        <f>ABS($D$2-F717)/F717</f>
        <v>9.374999999999975E-2</v>
      </c>
      <c r="O717" s="20">
        <f>ABS($E$2-G717)/G717</f>
        <v>0.23404255319148937</v>
      </c>
      <c r="P717" s="20">
        <f>ABS($F$2-H717)/H717</f>
        <v>0.24000000000000005</v>
      </c>
      <c r="Q717" s="20">
        <f>ABS($H$2-J717)/J717</f>
        <v>1.9710144927536231</v>
      </c>
      <c r="R717" s="20">
        <f>ABS($J$2-L717)/L717</f>
        <v>0.5252525252525253</v>
      </c>
    </row>
    <row r="718" spans="1:18" ht="15.75" customHeight="1" x14ac:dyDescent="0.2">
      <c r="A718">
        <v>832</v>
      </c>
      <c r="B718" s="1" t="s">
        <v>667</v>
      </c>
      <c r="C718" s="1"/>
      <c r="D718" s="2"/>
      <c r="E718" s="6" t="s">
        <v>495</v>
      </c>
      <c r="F718" s="1">
        <v>1.4</v>
      </c>
      <c r="G718" s="4">
        <v>38</v>
      </c>
      <c r="H718" s="4">
        <v>4.9000000000000004</v>
      </c>
      <c r="I718" s="4"/>
      <c r="J718" s="4">
        <v>8.3000000000000007</v>
      </c>
      <c r="K718" s="4"/>
      <c r="L718" s="4">
        <v>50</v>
      </c>
      <c r="M718" s="21">
        <f>1-AVERAGE(N718:R718)</f>
        <v>0.38645159370025761</v>
      </c>
      <c r="N718" s="20">
        <f>ABS($D$2-F718)/F718</f>
        <v>0.58571428571428563</v>
      </c>
      <c r="O718" s="20">
        <f>ABS($E$2-G718)/G718</f>
        <v>0.23684210526315788</v>
      </c>
      <c r="P718" s="20">
        <f>ABS($F$2-H718)/H718</f>
        <v>0.26530612244897955</v>
      </c>
      <c r="Q718" s="20">
        <f>ABS($H$2-J718)/J718</f>
        <v>1.469879518072289</v>
      </c>
      <c r="R718" s="20">
        <f>ABS($J$2-L718)/L718</f>
        <v>0.51</v>
      </c>
    </row>
    <row r="719" spans="1:18" ht="15.75" customHeight="1" x14ac:dyDescent="0.2">
      <c r="A719">
        <v>30</v>
      </c>
      <c r="B719" s="6" t="s">
        <v>59</v>
      </c>
      <c r="C719" s="6"/>
      <c r="D719" s="7"/>
      <c r="E719" s="6" t="s">
        <v>41</v>
      </c>
      <c r="F719" s="3">
        <f>(0.31+0.37)/2</f>
        <v>0.33999999999999997</v>
      </c>
      <c r="G719" s="3">
        <f>(31+34)/2</f>
        <v>32.5</v>
      </c>
      <c r="H719" s="3">
        <f>(6.3+6.8)/2</f>
        <v>6.55</v>
      </c>
      <c r="I719" s="3"/>
      <c r="J719" s="3">
        <f>(7.5+8.3)/2</f>
        <v>7.9</v>
      </c>
      <c r="K719" s="3"/>
      <c r="L719" s="3"/>
      <c r="M719" s="21">
        <f>1-AVERAGE(N719:R719)</f>
        <v>0.38451337900048488</v>
      </c>
      <c r="N719" s="20">
        <f>ABS($D$2-F719)/F719</f>
        <v>0.70588235294117685</v>
      </c>
      <c r="O719" s="20">
        <f>ABS($E$2-G719)/G719</f>
        <v>0.1076923076923077</v>
      </c>
      <c r="P719" s="20">
        <f>ABS($F$2-H719)/H719</f>
        <v>5.3435114503816744E-2</v>
      </c>
      <c r="Q719" s="20">
        <f>ABS($H$2-J719)/J719</f>
        <v>1.5949367088607593</v>
      </c>
      <c r="R719" s="20"/>
    </row>
    <row r="720" spans="1:18" ht="15.75" customHeight="1" x14ac:dyDescent="0.2">
      <c r="A720">
        <v>632</v>
      </c>
      <c r="B720" s="6" t="s">
        <v>506</v>
      </c>
      <c r="C720" s="6" t="s">
        <v>507</v>
      </c>
      <c r="D720" s="7"/>
      <c r="E720" s="6" t="s">
        <v>495</v>
      </c>
      <c r="F720" s="1">
        <v>1</v>
      </c>
      <c r="G720" s="4">
        <v>40</v>
      </c>
      <c r="H720" s="4">
        <v>6.6</v>
      </c>
      <c r="I720" s="4"/>
      <c r="J720" s="4">
        <v>6.5</v>
      </c>
      <c r="K720" s="4"/>
      <c r="L720" s="4">
        <v>64</v>
      </c>
      <c r="M720" s="21">
        <f>1-AVERAGE(N720:R720)</f>
        <v>0.38217205710955715</v>
      </c>
      <c r="N720" s="20">
        <f>ABS($D$2-F720)/F720</f>
        <v>0.41999999999999993</v>
      </c>
      <c r="O720" s="20">
        <f>ABS($E$2-G720)/G720</f>
        <v>0.27500000000000002</v>
      </c>
      <c r="P720" s="20">
        <f>ABS($F$2-H720)/H720</f>
        <v>6.0606060606060531E-2</v>
      </c>
      <c r="Q720" s="20">
        <f>ABS($H$2-J720)/J720</f>
        <v>2.1538461538461537</v>
      </c>
      <c r="R720" s="20">
        <f>ABS($J$2-L720)/L720</f>
        <v>0.1796875</v>
      </c>
    </row>
    <row r="721" spans="1:18" ht="15.75" customHeight="1" x14ac:dyDescent="0.2">
      <c r="A721">
        <v>869</v>
      </c>
      <c r="B721" s="1" t="s">
        <v>696</v>
      </c>
      <c r="C721" s="1"/>
      <c r="D721" s="2"/>
      <c r="E721" s="6" t="s">
        <v>495</v>
      </c>
      <c r="F721" s="1">
        <v>3.4</v>
      </c>
      <c r="G721" s="4">
        <v>50</v>
      </c>
      <c r="H721" s="4">
        <v>3.4</v>
      </c>
      <c r="I721" s="4"/>
      <c r="J721" s="4">
        <v>85</v>
      </c>
      <c r="K721" s="4"/>
      <c r="L721" s="4">
        <v>60</v>
      </c>
      <c r="M721" s="21">
        <f>1-AVERAGE(N721:R721)</f>
        <v>0.38198039215686275</v>
      </c>
      <c r="N721" s="20">
        <f>ABS($D$2-F721)/F721</f>
        <v>0.82941176470588229</v>
      </c>
      <c r="O721" s="20">
        <f>ABS($E$2-G721)/G721</f>
        <v>0.42</v>
      </c>
      <c r="P721" s="20">
        <f>ABS($F$2-H721)/H721</f>
        <v>0.82352941176470595</v>
      </c>
      <c r="Q721" s="20">
        <f>ABS($H$2-J721)/J721</f>
        <v>0.75882352941176467</v>
      </c>
      <c r="R721" s="20">
        <f>ABS($J$2-L721)/L721</f>
        <v>0.25833333333333336</v>
      </c>
    </row>
    <row r="722" spans="1:18" ht="15.75" customHeight="1" x14ac:dyDescent="0.2">
      <c r="A722">
        <v>656</v>
      </c>
      <c r="B722" s="6" t="s">
        <v>524</v>
      </c>
      <c r="C722" s="6"/>
      <c r="D722" s="7"/>
      <c r="E722" s="6" t="s">
        <v>495</v>
      </c>
      <c r="F722" s="1">
        <v>0.7</v>
      </c>
      <c r="G722" s="4">
        <v>30</v>
      </c>
      <c r="H722" s="4">
        <v>6</v>
      </c>
      <c r="I722" s="4"/>
      <c r="J722" s="4">
        <v>5.6</v>
      </c>
      <c r="K722" s="4"/>
      <c r="L722" s="4">
        <v>63</v>
      </c>
      <c r="M722" s="21">
        <f>1-AVERAGE(N722:R722)</f>
        <v>0.38055555555555542</v>
      </c>
      <c r="N722" s="20">
        <f>ABS($D$2-F722)/F722</f>
        <v>0.17142857142857126</v>
      </c>
      <c r="O722" s="20">
        <f>ABS($E$2-G722)/G722</f>
        <v>3.3333333333333333E-2</v>
      </c>
      <c r="P722" s="20">
        <f>ABS($F$2-H722)/H722</f>
        <v>3.3333333333333361E-2</v>
      </c>
      <c r="Q722" s="20">
        <f>ABS($H$2-J722)/J722</f>
        <v>2.660714285714286</v>
      </c>
      <c r="R722" s="20">
        <f>ABS($J$2-L722)/L722</f>
        <v>0.1984126984126984</v>
      </c>
    </row>
    <row r="723" spans="1:18" ht="15.75" customHeight="1" x14ac:dyDescent="0.2">
      <c r="A723">
        <v>870</v>
      </c>
      <c r="B723" s="1" t="s">
        <v>697</v>
      </c>
      <c r="C723" s="1"/>
      <c r="D723" s="2"/>
      <c r="E723" s="6" t="s">
        <v>495</v>
      </c>
      <c r="F723" s="1">
        <v>2.8</v>
      </c>
      <c r="G723" s="4">
        <v>43</v>
      </c>
      <c r="H723" s="4">
        <v>3</v>
      </c>
      <c r="I723" s="4"/>
      <c r="J723" s="4">
        <v>70</v>
      </c>
      <c r="K723" s="4"/>
      <c r="L723" s="4">
        <v>62</v>
      </c>
      <c r="M723" s="21">
        <f>1-AVERAGE(N723:R723)</f>
        <v>0.378002000500125</v>
      </c>
      <c r="N723" s="20">
        <f>ABS($D$2-F723)/F723</f>
        <v>0.79285714285714282</v>
      </c>
      <c r="O723" s="20">
        <f>ABS($E$2-G723)/G723</f>
        <v>0.32558139534883723</v>
      </c>
      <c r="P723" s="20">
        <f>ABS($F$2-H723)/H723</f>
        <v>1.0666666666666667</v>
      </c>
      <c r="Q723" s="20">
        <f>ABS($H$2-J723)/J723</f>
        <v>0.70714285714285718</v>
      </c>
      <c r="R723" s="20">
        <f>ABS($J$2-L723)/L723</f>
        <v>0.21774193548387097</v>
      </c>
    </row>
    <row r="724" spans="1:18" ht="15.75" customHeight="1" x14ac:dyDescent="0.2">
      <c r="A724">
        <v>377</v>
      </c>
      <c r="B724" s="9" t="s">
        <v>294</v>
      </c>
      <c r="E724" s="6" t="s">
        <v>40</v>
      </c>
      <c r="F724" s="3">
        <f>(0.47+0.96)/2</f>
        <v>0.71499999999999997</v>
      </c>
      <c r="G724" s="3">
        <f>(20+31)/2</f>
        <v>25.5</v>
      </c>
      <c r="H724" s="3">
        <f>(6.4+7.1)/2</f>
        <v>6.75</v>
      </c>
      <c r="I724" s="3"/>
      <c r="J724" s="3">
        <f>(6.4+7.5)/2</f>
        <v>6.95</v>
      </c>
      <c r="K724" s="3"/>
      <c r="L724" s="3">
        <f>(39+47)/2</f>
        <v>43</v>
      </c>
      <c r="M724" s="21">
        <f>1-AVERAGE(N724:R724)</f>
        <v>0.37739963729767778</v>
      </c>
      <c r="N724" s="20">
        <f>ABS($D$2-F724)/F724</f>
        <v>0.18881118881118866</v>
      </c>
      <c r="O724" s="20">
        <f>ABS($E$2-G724)/G724</f>
        <v>0.13725490196078433</v>
      </c>
      <c r="P724" s="20">
        <f>ABS($F$2-H724)/H724</f>
        <v>8.148148148148146E-2</v>
      </c>
      <c r="Q724" s="20">
        <f>ABS($H$2-J724)/J724</f>
        <v>1.9496402877697843</v>
      </c>
      <c r="R724" s="20">
        <f>ABS($J$2-L724)/L724</f>
        <v>0.7558139534883721</v>
      </c>
    </row>
    <row r="725" spans="1:18" ht="15.75" customHeight="1" x14ac:dyDescent="0.2">
      <c r="A725">
        <v>474</v>
      </c>
      <c r="B725" s="9" t="s">
        <v>375</v>
      </c>
      <c r="E725" s="6" t="s">
        <v>41</v>
      </c>
      <c r="F725" s="3">
        <v>9.9</v>
      </c>
      <c r="G725" s="3">
        <v>80</v>
      </c>
      <c r="H725" s="3">
        <v>5.9</v>
      </c>
      <c r="I725" s="3"/>
      <c r="J725" s="3">
        <v>155</v>
      </c>
      <c r="K725" s="10"/>
      <c r="L725" s="10"/>
      <c r="M725" s="21">
        <f>1-AVERAGE(N725:R725)</f>
        <v>0.37562411636871729</v>
      </c>
      <c r="N725" s="20">
        <f>ABS($D$2-F725)/F725</f>
        <v>0.94141414141414137</v>
      </c>
      <c r="O725" s="20">
        <f>ABS($E$2-G725)/G725</f>
        <v>0.63749999999999996</v>
      </c>
      <c r="P725" s="20">
        <f>ABS($F$2-H725)/H725</f>
        <v>5.0847457627118613E-2</v>
      </c>
      <c r="Q725" s="20">
        <f>ABS($H$2-J725)/J725</f>
        <v>0.86774193548387102</v>
      </c>
      <c r="R725" s="20"/>
    </row>
    <row r="726" spans="1:18" ht="15.75" customHeight="1" x14ac:dyDescent="0.2">
      <c r="A726">
        <v>317</v>
      </c>
      <c r="B726" s="9" t="s">
        <v>253</v>
      </c>
      <c r="E726" s="6" t="s">
        <v>40</v>
      </c>
      <c r="F726" s="10">
        <v>0.55000000000000004</v>
      </c>
      <c r="G726" s="3">
        <f>(30+33)/2</f>
        <v>31.5</v>
      </c>
      <c r="H726" s="3">
        <f>(4+4.5)/2</f>
        <v>4.25</v>
      </c>
      <c r="I726" s="10"/>
      <c r="J726" s="10">
        <v>7</v>
      </c>
      <c r="K726" s="10"/>
      <c r="L726" s="10">
        <v>47</v>
      </c>
      <c r="M726" s="21">
        <f>1-AVERAGE(N726:R726)</f>
        <v>0.37446230587657359</v>
      </c>
      <c r="N726" s="20">
        <f>ABS($D$2-F726)/F726</f>
        <v>5.4545454545454591E-2</v>
      </c>
      <c r="O726" s="20">
        <f>ABS($E$2-G726)/G726</f>
        <v>7.9365079365079361E-2</v>
      </c>
      <c r="P726" s="20">
        <f>ABS($F$2-H726)/H726</f>
        <v>0.45882352941176474</v>
      </c>
      <c r="Q726" s="20">
        <f>ABS($H$2-J726)/J726</f>
        <v>1.9285714285714286</v>
      </c>
      <c r="R726" s="20">
        <f>ABS($J$2-L726)/L726</f>
        <v>0.6063829787234043</v>
      </c>
    </row>
    <row r="727" spans="1:18" ht="15.75" customHeight="1" x14ac:dyDescent="0.2">
      <c r="A727">
        <v>875</v>
      </c>
      <c r="B727" s="1" t="s">
        <v>700</v>
      </c>
      <c r="C727" s="1"/>
      <c r="D727" s="2"/>
      <c r="E727" s="6" t="s">
        <v>495</v>
      </c>
      <c r="F727" s="1">
        <v>2</v>
      </c>
      <c r="G727" s="4">
        <v>52</v>
      </c>
      <c r="H727" s="4">
        <v>3.2</v>
      </c>
      <c r="I727" s="4"/>
      <c r="J727" s="4">
        <v>72</v>
      </c>
      <c r="K727" s="4"/>
      <c r="L727" s="4">
        <v>57</v>
      </c>
      <c r="M727" s="21">
        <f>1-AVERAGE(N727:R727)</f>
        <v>0.37407062528115165</v>
      </c>
      <c r="N727" s="20">
        <f>ABS($D$2-F727)/F727</f>
        <v>0.71</v>
      </c>
      <c r="O727" s="20">
        <f>ABS($E$2-G727)/G727</f>
        <v>0.44230769230769229</v>
      </c>
      <c r="P727" s="20">
        <f>ABS($F$2-H727)/H727</f>
        <v>0.9375</v>
      </c>
      <c r="Q727" s="20">
        <f>ABS($H$2-J727)/J727</f>
        <v>0.71527777777777779</v>
      </c>
      <c r="R727" s="20">
        <f>ABS($J$2-L727)/L727</f>
        <v>0.32456140350877194</v>
      </c>
    </row>
    <row r="728" spans="1:18" ht="15.75" customHeight="1" x14ac:dyDescent="0.2">
      <c r="A728">
        <v>360</v>
      </c>
      <c r="B728" s="9" t="s">
        <v>284</v>
      </c>
      <c r="E728" s="6" t="s">
        <v>40</v>
      </c>
      <c r="F728" s="3">
        <f>(0.72+1.04)/2</f>
        <v>0.88</v>
      </c>
      <c r="G728" s="3">
        <f>(19+28)/2</f>
        <v>23.5</v>
      </c>
      <c r="H728" s="3">
        <f>(6+8.2)/2</f>
        <v>7.1</v>
      </c>
      <c r="I728" s="3"/>
      <c r="J728" s="3">
        <f>(6.6+7.7)/2</f>
        <v>7.15</v>
      </c>
      <c r="K728" s="3"/>
      <c r="L728" s="3">
        <f>(46.5+50)/2</f>
        <v>48.25</v>
      </c>
      <c r="M728" s="21">
        <f>1-AVERAGE(N728:R728)</f>
        <v>0.37327761720160646</v>
      </c>
      <c r="N728" s="20">
        <f>ABS($D$2-F728)/F728</f>
        <v>0.34090909090909083</v>
      </c>
      <c r="O728" s="20">
        <f>ABS($E$2-G728)/G728</f>
        <v>0.23404255319148937</v>
      </c>
      <c r="P728" s="20">
        <f>ABS($F$2-H728)/H728</f>
        <v>0.12676056338028163</v>
      </c>
      <c r="Q728" s="20">
        <f>ABS($H$2-J728)/J728</f>
        <v>1.8671328671328671</v>
      </c>
      <c r="R728" s="20">
        <f>ABS($J$2-L728)/L728</f>
        <v>0.56476683937823835</v>
      </c>
    </row>
    <row r="729" spans="1:18" ht="15.75" customHeight="1" x14ac:dyDescent="0.2">
      <c r="A729">
        <v>874</v>
      </c>
      <c r="B729" s="1" t="s">
        <v>699</v>
      </c>
      <c r="C729" s="1"/>
      <c r="D729" s="2"/>
      <c r="E729" s="6" t="s">
        <v>482</v>
      </c>
      <c r="F729" s="1">
        <v>2.9</v>
      </c>
      <c r="G729" s="4">
        <v>52</v>
      </c>
      <c r="H729" s="4">
        <v>4.0999999999999996</v>
      </c>
      <c r="I729" s="4"/>
      <c r="J729" s="4">
        <v>84</v>
      </c>
      <c r="K729" s="4"/>
      <c r="L729" s="4"/>
      <c r="M729" s="21">
        <f>1-AVERAGE(N729:R729)</f>
        <v>0.3723862011971768</v>
      </c>
      <c r="N729" s="20">
        <f>ABS($D$2-F729)/F729</f>
        <v>0.79999999999999993</v>
      </c>
      <c r="O729" s="20">
        <f>ABS($E$2-G729)/G729</f>
        <v>0.44230769230769229</v>
      </c>
      <c r="P729" s="20">
        <f>ABS($F$2-H729)/H729</f>
        <v>0.51219512195121963</v>
      </c>
      <c r="Q729" s="20">
        <f>ABS($H$2-J729)/J729</f>
        <v>0.75595238095238093</v>
      </c>
      <c r="R729" s="20"/>
    </row>
    <row r="730" spans="1:18" ht="15.75" customHeight="1" x14ac:dyDescent="0.2">
      <c r="A730">
        <v>370</v>
      </c>
      <c r="B730" s="9" t="s">
        <v>290</v>
      </c>
      <c r="E730" s="6" t="s">
        <v>40</v>
      </c>
      <c r="F730" s="3">
        <f>(0.86+1.1)/2</f>
        <v>0.98</v>
      </c>
      <c r="G730" s="3">
        <f>(23+32)/2</f>
        <v>27.5</v>
      </c>
      <c r="H730" s="3">
        <f>(7.1+8.7)/2</f>
        <v>7.8999999999999995</v>
      </c>
      <c r="I730" s="3"/>
      <c r="J730" s="3">
        <f>(6.1+8)/2</f>
        <v>7.05</v>
      </c>
      <c r="K730" s="3"/>
      <c r="L730" s="3">
        <f>(45+52)/2</f>
        <v>48.5</v>
      </c>
      <c r="M730" s="21">
        <f>1-AVERAGE(N730:R730)</f>
        <v>0.37151979147263003</v>
      </c>
      <c r="N730" s="20">
        <f>ABS($D$2-F730)/F730</f>
        <v>0.40816326530612235</v>
      </c>
      <c r="O730" s="20">
        <f>ABS($E$2-G730)/G730</f>
        <v>5.4545454545454543E-2</v>
      </c>
      <c r="P730" s="20">
        <f>ABS($F$2-H730)/H730</f>
        <v>0.21518987341772144</v>
      </c>
      <c r="Q730" s="20">
        <f>ABS($H$2-J730)/J730</f>
        <v>1.9078014184397163</v>
      </c>
      <c r="R730" s="20">
        <f>ABS($J$2-L730)/L730</f>
        <v>0.55670103092783507</v>
      </c>
    </row>
    <row r="731" spans="1:18" ht="15.75" customHeight="1" x14ac:dyDescent="0.2">
      <c r="A731">
        <v>366</v>
      </c>
      <c r="B731" s="9" t="s">
        <v>289</v>
      </c>
      <c r="E731" s="6" t="s">
        <v>40</v>
      </c>
      <c r="F731" s="3">
        <v>1</v>
      </c>
      <c r="G731" s="3">
        <f>(22+24)/2</f>
        <v>23</v>
      </c>
      <c r="H731" s="3">
        <f>(6+6.3)/2</f>
        <v>6.15</v>
      </c>
      <c r="I731" s="3"/>
      <c r="J731" s="3">
        <f>(7+7.5)/2</f>
        <v>7.25</v>
      </c>
      <c r="K731" s="3"/>
      <c r="L731" s="3"/>
      <c r="M731" s="21">
        <f>1-AVERAGE(N731:R731)</f>
        <v>0.37085353664631104</v>
      </c>
      <c r="N731" s="20">
        <f>ABS($D$2-F731)/F731</f>
        <v>0.41999999999999993</v>
      </c>
      <c r="O731" s="20">
        <f>ABS($E$2-G731)/G731</f>
        <v>0.2608695652173913</v>
      </c>
      <c r="P731" s="20">
        <f>ABS($F$2-H731)/H731</f>
        <v>8.1300813008129795E-3</v>
      </c>
      <c r="Q731" s="20">
        <f>ABS($H$2-J731)/J731</f>
        <v>1.8275862068965518</v>
      </c>
      <c r="R731" s="20"/>
    </row>
    <row r="732" spans="1:18" ht="15.75" customHeight="1" x14ac:dyDescent="0.2">
      <c r="A732">
        <v>362</v>
      </c>
      <c r="B732" s="9" t="s">
        <v>285</v>
      </c>
      <c r="C732" s="9" t="s">
        <v>286</v>
      </c>
      <c r="E732" s="6" t="s">
        <v>40</v>
      </c>
      <c r="F732" s="3">
        <v>1</v>
      </c>
      <c r="G732" s="3">
        <v>20</v>
      </c>
      <c r="H732" s="3">
        <f>(6+7)/2</f>
        <v>6.5</v>
      </c>
      <c r="I732" s="3"/>
      <c r="J732" s="3">
        <f>(7+8)/2</f>
        <v>7.5</v>
      </c>
      <c r="K732" s="3"/>
      <c r="L732" s="3">
        <v>50</v>
      </c>
      <c r="M732" s="21">
        <f>1-AVERAGE(N732:R732)</f>
        <v>0.36810256410256414</v>
      </c>
      <c r="N732" s="20">
        <f>ABS($D$2-F732)/F732</f>
        <v>0.41999999999999993</v>
      </c>
      <c r="O732" s="20">
        <f>ABS($E$2-G732)/G732</f>
        <v>0.45</v>
      </c>
      <c r="P732" s="20">
        <f>ABS($F$2-H732)/H732</f>
        <v>4.6153846153846129E-2</v>
      </c>
      <c r="Q732" s="20">
        <f>ABS($H$2-J732)/J732</f>
        <v>1.7333333333333334</v>
      </c>
      <c r="R732" s="20">
        <f>ABS($J$2-L732)/L732</f>
        <v>0.51</v>
      </c>
    </row>
    <row r="733" spans="1:18" ht="15.75" customHeight="1" x14ac:dyDescent="0.2">
      <c r="A733">
        <v>868</v>
      </c>
      <c r="B733" s="1" t="s">
        <v>695</v>
      </c>
      <c r="C733" s="1"/>
      <c r="D733" s="2"/>
      <c r="E733" s="6" t="s">
        <v>495</v>
      </c>
      <c r="F733" s="1">
        <v>3.5</v>
      </c>
      <c r="G733" s="4">
        <v>54</v>
      </c>
      <c r="H733" s="4">
        <v>3.3</v>
      </c>
      <c r="I733" s="4"/>
      <c r="J733" s="4">
        <v>76</v>
      </c>
      <c r="K733" s="4"/>
      <c r="L733" s="4">
        <v>60</v>
      </c>
      <c r="M733" s="21">
        <f>1-AVERAGE(N733:R733)</f>
        <v>0.36707339054707477</v>
      </c>
      <c r="N733" s="20">
        <f>ABS($D$2-F733)/F733</f>
        <v>0.8342857142857143</v>
      </c>
      <c r="O733" s="20">
        <f>ABS($E$2-G733)/G733</f>
        <v>0.46296296296296297</v>
      </c>
      <c r="P733" s="20">
        <f>ABS($F$2-H733)/H733</f>
        <v>0.8787878787878789</v>
      </c>
      <c r="Q733" s="20">
        <f>ABS($H$2-J733)/J733</f>
        <v>0.73026315789473684</v>
      </c>
      <c r="R733" s="20">
        <f>ABS($J$2-L733)/L733</f>
        <v>0.25833333333333336</v>
      </c>
    </row>
    <row r="734" spans="1:18" ht="15.75" customHeight="1" x14ac:dyDescent="0.2">
      <c r="A734">
        <v>374</v>
      </c>
      <c r="B734" s="9" t="s">
        <v>292</v>
      </c>
      <c r="E734" s="6" t="s">
        <v>40</v>
      </c>
      <c r="F734" s="3">
        <f>(0.36+0.62)/2</f>
        <v>0.49</v>
      </c>
      <c r="G734" s="3">
        <f>(20+29)/2</f>
        <v>24.5</v>
      </c>
      <c r="H734" s="3">
        <f>(5.4+5.9)/2</f>
        <v>5.65</v>
      </c>
      <c r="I734" s="3"/>
      <c r="J734" s="3">
        <f>(5.9+7.4)/2</f>
        <v>6.65</v>
      </c>
      <c r="K734" s="3"/>
      <c r="L734" s="3">
        <f>(43+50)/2</f>
        <v>46.5</v>
      </c>
      <c r="M734" s="21">
        <f>1-AVERAGE(N734:R734)</f>
        <v>0.36578904951706792</v>
      </c>
      <c r="N734" s="20">
        <f>ABS($D$2-F734)/F734</f>
        <v>0.18367346938775528</v>
      </c>
      <c r="O734" s="20">
        <f>ABS($E$2-G734)/G734</f>
        <v>0.18367346938775511</v>
      </c>
      <c r="P734" s="20">
        <f>ABS($F$2-H734)/H734</f>
        <v>9.7345132743362789E-2</v>
      </c>
      <c r="Q734" s="20">
        <f>ABS($H$2-J734)/J734</f>
        <v>2.0827067669172932</v>
      </c>
      <c r="R734" s="20">
        <f>ABS($J$2-L734)/L734</f>
        <v>0.62365591397849462</v>
      </c>
    </row>
    <row r="735" spans="1:18" ht="15.75" customHeight="1" x14ac:dyDescent="0.2">
      <c r="A735">
        <v>911</v>
      </c>
      <c r="B735" s="1" t="s">
        <v>721</v>
      </c>
      <c r="C735" s="1"/>
      <c r="D735" s="2"/>
      <c r="E735" s="6" t="s">
        <v>495</v>
      </c>
      <c r="F735" s="1">
        <v>1.8</v>
      </c>
      <c r="G735" s="4">
        <v>41</v>
      </c>
      <c r="H735" s="4">
        <v>3</v>
      </c>
      <c r="I735" s="4"/>
      <c r="J735" s="4">
        <v>65</v>
      </c>
      <c r="K735" s="4"/>
      <c r="L735" s="4">
        <v>52</v>
      </c>
      <c r="M735" s="21">
        <f>1-AVERAGE(N735:R735)</f>
        <v>0.36526683343756516</v>
      </c>
      <c r="N735" s="20">
        <f>ABS($D$2-F735)/F735</f>
        <v>0.6777777777777777</v>
      </c>
      <c r="O735" s="20">
        <f>ABS($E$2-G735)/G735</f>
        <v>0.29268292682926828</v>
      </c>
      <c r="P735" s="20">
        <f>ABS($F$2-H735)/H735</f>
        <v>1.0666666666666667</v>
      </c>
      <c r="Q735" s="20">
        <f>ABS($H$2-J735)/J735</f>
        <v>0.68461538461538463</v>
      </c>
      <c r="R735" s="20">
        <f>ABS($J$2-L735)/L735</f>
        <v>0.45192307692307693</v>
      </c>
    </row>
    <row r="736" spans="1:18" ht="15.75" customHeight="1" x14ac:dyDescent="0.2">
      <c r="A736">
        <v>338</v>
      </c>
      <c r="B736" s="9" t="s">
        <v>266</v>
      </c>
      <c r="E736" s="6" t="s">
        <v>40</v>
      </c>
      <c r="F736" s="3">
        <v>3.9</v>
      </c>
      <c r="G736" s="3">
        <v>59</v>
      </c>
      <c r="H736" s="3">
        <v>15.4</v>
      </c>
      <c r="I736" s="3"/>
      <c r="J736" s="3">
        <v>100</v>
      </c>
      <c r="K736" s="3"/>
      <c r="L736" s="3">
        <v>53</v>
      </c>
      <c r="M736" s="21">
        <f>1-AVERAGE(N736:R736)</f>
        <v>0.36466249463147449</v>
      </c>
      <c r="N736" s="20">
        <f>ABS($D$2-F736)/F736</f>
        <v>0.85128205128205126</v>
      </c>
      <c r="O736" s="20">
        <f>ABS($E$2-G736)/G736</f>
        <v>0.50847457627118642</v>
      </c>
      <c r="P736" s="20">
        <f>ABS($F$2-H736)/H736</f>
        <v>0.59740259740259738</v>
      </c>
      <c r="Q736" s="20">
        <f>ABS($H$2-J736)/J736</f>
        <v>0.79500000000000004</v>
      </c>
      <c r="R736" s="20">
        <f>ABS($J$2-L736)/L736</f>
        <v>0.42452830188679247</v>
      </c>
    </row>
    <row r="737" spans="1:18" ht="15.75" customHeight="1" x14ac:dyDescent="0.2">
      <c r="A737">
        <v>306</v>
      </c>
      <c r="B737" s="9" t="s">
        <v>240</v>
      </c>
      <c r="E737" s="6" t="s">
        <v>41</v>
      </c>
      <c r="F737" s="3">
        <f>(0.78+0.9)/2</f>
        <v>0.84000000000000008</v>
      </c>
      <c r="G737" s="3">
        <f>(27+40)/2</f>
        <v>33.5</v>
      </c>
      <c r="H737" s="3">
        <f>(3.9+4.4)/2</f>
        <v>4.1500000000000004</v>
      </c>
      <c r="I737" s="3"/>
      <c r="J737" s="3">
        <f>(7.4+8.3)/2</f>
        <v>7.8500000000000005</v>
      </c>
      <c r="K737" s="3"/>
      <c r="L737" s="3"/>
      <c r="M737" s="21">
        <f>1-AVERAGE(N737:R737)</f>
        <v>0.36267674012497797</v>
      </c>
      <c r="N737" s="20">
        <f>ABS($D$2-F737)/F737</f>
        <v>0.30952380952380948</v>
      </c>
      <c r="O737" s="20">
        <f>ABS($E$2-G737)/G737</f>
        <v>0.13432835820895522</v>
      </c>
      <c r="P737" s="20">
        <f>ABS($F$2-H737)/H737</f>
        <v>0.49397590361445776</v>
      </c>
      <c r="Q737" s="20">
        <f>ABS($H$2-J737)/J737</f>
        <v>1.6114649681528659</v>
      </c>
      <c r="R737" s="20"/>
    </row>
    <row r="738" spans="1:18" ht="15.75" customHeight="1" x14ac:dyDescent="0.2">
      <c r="A738">
        <v>99</v>
      </c>
      <c r="B738" s="1" t="s">
        <v>101</v>
      </c>
      <c r="C738" s="1"/>
      <c r="D738" s="2"/>
      <c r="E738" s="6" t="s">
        <v>41</v>
      </c>
      <c r="F738" s="3">
        <v>0.65</v>
      </c>
      <c r="G738" s="3">
        <v>35</v>
      </c>
      <c r="H738" s="3">
        <v>5.5</v>
      </c>
      <c r="I738" s="3"/>
      <c r="J738" s="3">
        <v>6.5</v>
      </c>
      <c r="K738" s="3"/>
      <c r="L738" s="3"/>
      <c r="M738" s="21">
        <f>1-AVERAGE(N738:R738)</f>
        <v>0.35994005994005995</v>
      </c>
      <c r="N738" s="20">
        <f>ABS($D$2-F738)/F738</f>
        <v>0.10769230769230762</v>
      </c>
      <c r="O738" s="20">
        <f>ABS($E$2-G738)/G738</f>
        <v>0.17142857142857143</v>
      </c>
      <c r="P738" s="20">
        <f>ABS($F$2-H738)/H738</f>
        <v>0.12727272727272732</v>
      </c>
      <c r="Q738" s="20">
        <f>ABS($H$2-J738)/J738</f>
        <v>2.1538461538461537</v>
      </c>
      <c r="R738" s="20"/>
    </row>
    <row r="739" spans="1:18" ht="15.75" customHeight="1" x14ac:dyDescent="0.2">
      <c r="A739">
        <v>254</v>
      </c>
      <c r="B739" s="9" t="s">
        <v>210</v>
      </c>
      <c r="C739" s="9" t="s">
        <v>211</v>
      </c>
      <c r="E739" s="6" t="s">
        <v>41</v>
      </c>
      <c r="F739" s="3">
        <f>(0.32+0.38)/2</f>
        <v>0.35</v>
      </c>
      <c r="G739" s="3">
        <f>(16+17)/2</f>
        <v>16.5</v>
      </c>
      <c r="H739" s="3">
        <f>(5.2+6.1)/2</f>
        <v>5.65</v>
      </c>
      <c r="I739" s="3"/>
      <c r="J739" s="3">
        <f>(9+11)/2</f>
        <v>10</v>
      </c>
      <c r="K739" s="3"/>
      <c r="L739" s="3"/>
      <c r="M739" s="21">
        <f>1-AVERAGE(N739:R739)</f>
        <v>0.35948406313450554</v>
      </c>
      <c r="N739" s="20">
        <f>ABS($D$2-F739)/F739</f>
        <v>0.65714285714285747</v>
      </c>
      <c r="O739" s="20">
        <f>ABS($E$2-G739)/G739</f>
        <v>0.75757575757575757</v>
      </c>
      <c r="P739" s="20">
        <f>ABS($F$2-H739)/H739</f>
        <v>9.7345132743362789E-2</v>
      </c>
      <c r="Q739" s="20">
        <f>ABS($H$2-J739)/J739</f>
        <v>1.05</v>
      </c>
      <c r="R739" s="20"/>
    </row>
    <row r="740" spans="1:18" ht="15.75" customHeight="1" x14ac:dyDescent="0.2">
      <c r="A740">
        <v>28</v>
      </c>
      <c r="B740" s="6" t="s">
        <v>58</v>
      </c>
      <c r="C740" s="6"/>
      <c r="D740" s="7"/>
      <c r="E740" s="6" t="s">
        <v>41</v>
      </c>
      <c r="F740" s="3">
        <v>0.7</v>
      </c>
      <c r="G740" s="3">
        <v>39</v>
      </c>
      <c r="H740" s="3">
        <v>6.7</v>
      </c>
      <c r="I740" s="3"/>
      <c r="J740" s="3">
        <v>6.7</v>
      </c>
      <c r="K740" s="3"/>
      <c r="L740" s="3"/>
      <c r="M740" s="21">
        <f>1-AVERAGE(N740:R740)</f>
        <v>0.35945820348805424</v>
      </c>
      <c r="N740" s="20">
        <f>ABS($D$2-F740)/F740</f>
        <v>0.17142857142857126</v>
      </c>
      <c r="O740" s="20">
        <f>ABS($E$2-G740)/G740</f>
        <v>0.25641025641025639</v>
      </c>
      <c r="P740" s="20">
        <f>ABS($F$2-H740)/H740</f>
        <v>7.4626865671641784E-2</v>
      </c>
      <c r="Q740" s="20">
        <f>ABS($H$2-J740)/J740</f>
        <v>2.0597014925373136</v>
      </c>
      <c r="R740" s="20"/>
    </row>
    <row r="741" spans="1:18" ht="15.75" customHeight="1" x14ac:dyDescent="0.2">
      <c r="A741">
        <v>872</v>
      </c>
      <c r="B741" s="1" t="s">
        <v>698</v>
      </c>
      <c r="C741" s="1"/>
      <c r="D741" s="2"/>
      <c r="E741" s="6" t="s">
        <v>495</v>
      </c>
      <c r="F741" s="1">
        <f>(3+3.4)/2</f>
        <v>3.2</v>
      </c>
      <c r="G741" s="4">
        <v>51</v>
      </c>
      <c r="H741" s="4">
        <v>3.2</v>
      </c>
      <c r="I741" s="4"/>
      <c r="J741" s="4">
        <v>74</v>
      </c>
      <c r="K741" s="4"/>
      <c r="L741" s="4">
        <v>58</v>
      </c>
      <c r="M741" s="21">
        <f>1-AVERAGE(N741:R741)</f>
        <v>0.35753606801527693</v>
      </c>
      <c r="N741" s="20">
        <f>ABS($D$2-F741)/F741</f>
        <v>0.81874999999999998</v>
      </c>
      <c r="O741" s="20">
        <f>ABS($E$2-G741)/G741</f>
        <v>0.43137254901960786</v>
      </c>
      <c r="P741" s="20">
        <f>ABS($F$2-H741)/H741</f>
        <v>0.9375</v>
      </c>
      <c r="Q741" s="20">
        <f>ABS($H$2-J741)/J741</f>
        <v>0.72297297297297303</v>
      </c>
      <c r="R741" s="20">
        <f>ABS($J$2-L741)/L741</f>
        <v>0.30172413793103448</v>
      </c>
    </row>
    <row r="742" spans="1:18" ht="15.75" customHeight="1" x14ac:dyDescent="0.2">
      <c r="A742">
        <v>907</v>
      </c>
      <c r="B742" s="1" t="s">
        <v>719</v>
      </c>
      <c r="C742" s="1"/>
      <c r="D742" s="2"/>
      <c r="E742" s="6" t="s">
        <v>495</v>
      </c>
      <c r="F742" s="1">
        <v>3.8</v>
      </c>
      <c r="G742" s="4">
        <v>76</v>
      </c>
      <c r="H742" s="4">
        <v>9</v>
      </c>
      <c r="I742" s="4"/>
      <c r="J742" s="4">
        <v>120</v>
      </c>
      <c r="K742" s="4"/>
      <c r="L742" s="4">
        <v>47</v>
      </c>
      <c r="M742" s="21">
        <f>1-AVERAGE(N742:R742)</f>
        <v>0.3575099539629214</v>
      </c>
      <c r="N742" s="20">
        <f>ABS($D$2-F742)/F742</f>
        <v>0.84736842105263155</v>
      </c>
      <c r="O742" s="20">
        <f>ABS($E$2-G742)/G742</f>
        <v>0.61842105263157898</v>
      </c>
      <c r="P742" s="20">
        <f>ABS($F$2-H742)/H742</f>
        <v>0.31111111111111112</v>
      </c>
      <c r="Q742" s="20">
        <f>ABS($H$2-J742)/J742</f>
        <v>0.82916666666666672</v>
      </c>
      <c r="R742" s="20">
        <f>ABS($J$2-L742)/L742</f>
        <v>0.6063829787234043</v>
      </c>
    </row>
    <row r="743" spans="1:18" ht="15.75" customHeight="1" x14ac:dyDescent="0.2">
      <c r="A743">
        <v>242</v>
      </c>
      <c r="B743" s="9" t="s">
        <v>203</v>
      </c>
      <c r="C743" s="9" t="s">
        <v>204</v>
      </c>
      <c r="E743" s="6" t="s">
        <v>40</v>
      </c>
      <c r="F743" s="3">
        <f>(2.26+2.68)/2</f>
        <v>2.4699999999999998</v>
      </c>
      <c r="G743" s="3">
        <f>(12+15)/2</f>
        <v>13.5</v>
      </c>
      <c r="H743" s="3">
        <f>(10+11)/2</f>
        <v>10.5</v>
      </c>
      <c r="I743" s="3"/>
      <c r="J743" s="3">
        <v>14</v>
      </c>
      <c r="K743" s="3"/>
      <c r="L743" s="3">
        <f>(48+57)/2</f>
        <v>52.5</v>
      </c>
      <c r="M743" s="21">
        <f>1-AVERAGE(N743:R743)</f>
        <v>0.35495298074245452</v>
      </c>
      <c r="N743" s="20">
        <f>ABS($D$2-F743)/F743</f>
        <v>0.76518218623481771</v>
      </c>
      <c r="O743" s="20">
        <f>ABS($E$2-G743)/G743</f>
        <v>1.1481481481481481</v>
      </c>
      <c r="P743" s="20">
        <f>ABS($F$2-H743)/H743</f>
        <v>0.40952380952380951</v>
      </c>
      <c r="Q743" s="20">
        <f>ABS($H$2-J743)/J743</f>
        <v>0.4642857142857143</v>
      </c>
      <c r="R743" s="20">
        <f>ABS($J$2-L743)/L743</f>
        <v>0.43809523809523809</v>
      </c>
    </row>
    <row r="744" spans="1:18" ht="15.75" customHeight="1" x14ac:dyDescent="0.2">
      <c r="A744">
        <v>435</v>
      </c>
      <c r="B744" s="9" t="s">
        <v>343</v>
      </c>
      <c r="E744" s="6" t="s">
        <v>41</v>
      </c>
      <c r="F744" s="3">
        <f>(5+6.5)/2</f>
        <v>5.75</v>
      </c>
      <c r="G744" s="3">
        <v>100</v>
      </c>
      <c r="H744" s="3">
        <v>6.6</v>
      </c>
      <c r="I744" s="3"/>
      <c r="J744" s="3">
        <v>250</v>
      </c>
      <c r="K744" s="10"/>
      <c r="L744" s="10"/>
      <c r="M744" s="21">
        <f>1-AVERAGE(N744:R744)</f>
        <v>0.35306587615283269</v>
      </c>
      <c r="N744" s="20">
        <f>ABS($D$2-F744)/F744</f>
        <v>0.89913043478260868</v>
      </c>
      <c r="O744" s="20">
        <f>ABS($E$2-G744)/G744</f>
        <v>0.71</v>
      </c>
      <c r="P744" s="20">
        <f>ABS($F$2-H744)/H744</f>
        <v>6.0606060606060531E-2</v>
      </c>
      <c r="Q744" s="20">
        <f>ABS($H$2-J744)/J744</f>
        <v>0.91800000000000004</v>
      </c>
      <c r="R744" s="20"/>
    </row>
    <row r="745" spans="1:18" ht="15.75" customHeight="1" x14ac:dyDescent="0.2">
      <c r="A745">
        <v>324</v>
      </c>
      <c r="B745" s="9" t="s">
        <v>257</v>
      </c>
      <c r="E745" s="6" t="s">
        <v>40</v>
      </c>
      <c r="F745" s="3">
        <f>(0.95+1.07)/2</f>
        <v>1.01</v>
      </c>
      <c r="G745" s="3">
        <f>(25+33)/2</f>
        <v>29</v>
      </c>
      <c r="H745" s="3">
        <f>(4.4+5)/2</f>
        <v>4.7</v>
      </c>
      <c r="I745" s="3"/>
      <c r="J745" s="3">
        <f>(6.8+7.1)/2</f>
        <v>6.9499999999999993</v>
      </c>
      <c r="K745" s="3"/>
      <c r="L745" s="3">
        <f>(48+50)/2</f>
        <v>49</v>
      </c>
      <c r="M745" s="21">
        <f>1-AVERAGE(N745:R745)</f>
        <v>0.35293037505439295</v>
      </c>
      <c r="N745" s="20">
        <f>ABS($D$2-F745)/F745</f>
        <v>0.42574257425742568</v>
      </c>
      <c r="O745" s="20">
        <f>ABS($E$2-G745)/G745</f>
        <v>0</v>
      </c>
      <c r="P745" s="20">
        <f>ABS($F$2-H745)/H745</f>
        <v>0.31914893617021273</v>
      </c>
      <c r="Q745" s="20">
        <f>ABS($H$2-J745)/J745</f>
        <v>1.9496402877697845</v>
      </c>
      <c r="R745" s="20">
        <f>ABS($J$2-L745)/L745</f>
        <v>0.54081632653061229</v>
      </c>
    </row>
    <row r="746" spans="1:18" ht="15.75" customHeight="1" x14ac:dyDescent="0.2">
      <c r="A746">
        <v>369</v>
      </c>
      <c r="B746" s="9" t="s">
        <v>289</v>
      </c>
      <c r="E746" s="6" t="s">
        <v>41</v>
      </c>
      <c r="F746" s="3">
        <f>(0.58+0.77)/2</f>
        <v>0.67500000000000004</v>
      </c>
      <c r="G746" s="3">
        <f>(19+28)/2</f>
        <v>23.5</v>
      </c>
      <c r="H746" s="3">
        <f>(5.6+8)/2</f>
        <v>6.8</v>
      </c>
      <c r="I746" s="3"/>
      <c r="J746" s="3">
        <f>(6+7.1)/2</f>
        <v>6.55</v>
      </c>
      <c r="K746" s="10"/>
      <c r="L746" s="10"/>
      <c r="M746" s="21">
        <f>1-AVERAGE(N746:R746)</f>
        <v>0.35180260489592763</v>
      </c>
      <c r="N746" s="20">
        <f>ABS($D$2-F746)/F746</f>
        <v>0.14074074074074069</v>
      </c>
      <c r="O746" s="20">
        <f>ABS($E$2-G746)/G746</f>
        <v>0.23404255319148937</v>
      </c>
      <c r="P746" s="20">
        <f>ABS($F$2-H746)/H746</f>
        <v>8.8235294117647009E-2</v>
      </c>
      <c r="Q746" s="20">
        <f>ABS($H$2-J746)/J746</f>
        <v>2.1297709923664123</v>
      </c>
      <c r="R746" s="20"/>
    </row>
    <row r="747" spans="1:18" ht="15.75" customHeight="1" x14ac:dyDescent="0.2">
      <c r="A747">
        <v>877</v>
      </c>
      <c r="B747" s="1" t="s">
        <v>701</v>
      </c>
      <c r="C747" s="1"/>
      <c r="D747" s="2"/>
      <c r="E747" s="6" t="s">
        <v>482</v>
      </c>
      <c r="F747" s="1">
        <v>1.7</v>
      </c>
      <c r="G747" s="4">
        <v>41</v>
      </c>
      <c r="H747" s="4">
        <v>3.1</v>
      </c>
      <c r="I747" s="4"/>
      <c r="J747" s="4">
        <v>58</v>
      </c>
      <c r="K747" s="4"/>
      <c r="L747" s="4"/>
      <c r="M747" s="21">
        <f>1-AVERAGE(N747:R747)</f>
        <v>0.35048545490525895</v>
      </c>
      <c r="N747" s="20">
        <f>ABS($D$2-F747)/F747</f>
        <v>0.6588235294117647</v>
      </c>
      <c r="O747" s="20">
        <f>ABS($E$2-G747)/G747</f>
        <v>0.29268292682926828</v>
      </c>
      <c r="P747" s="20">
        <f>ABS($F$2-H747)/H747</f>
        <v>1</v>
      </c>
      <c r="Q747" s="20">
        <f>ABS($H$2-J747)/J747</f>
        <v>0.64655172413793105</v>
      </c>
      <c r="R747" s="20"/>
    </row>
    <row r="748" spans="1:18" ht="15.75" customHeight="1" x14ac:dyDescent="0.2">
      <c r="A748">
        <v>813</v>
      </c>
      <c r="B748" s="1" t="s">
        <v>647</v>
      </c>
      <c r="C748" s="1" t="s">
        <v>648</v>
      </c>
      <c r="D748" s="2"/>
      <c r="E748" s="6" t="s">
        <v>495</v>
      </c>
      <c r="F748" s="1">
        <v>0.4</v>
      </c>
      <c r="G748" s="4">
        <v>15</v>
      </c>
      <c r="H748" s="4">
        <v>3.3</v>
      </c>
      <c r="I748" s="4"/>
      <c r="J748" s="4">
        <v>12</v>
      </c>
      <c r="K748" s="4"/>
      <c r="L748" s="4">
        <v>59</v>
      </c>
      <c r="M748" s="21">
        <f>1-AVERAGE(N748:R748)</f>
        <v>0.34997688751926026</v>
      </c>
      <c r="N748" s="20">
        <f>ABS($D$2-F748)/F748</f>
        <v>0.45000000000000012</v>
      </c>
      <c r="O748" s="20">
        <f>ABS($E$2-G748)/G748</f>
        <v>0.93333333333333335</v>
      </c>
      <c r="P748" s="20">
        <f>ABS($F$2-H748)/H748</f>
        <v>0.8787878787878789</v>
      </c>
      <c r="Q748" s="20">
        <f>ABS($H$2-J748)/J748</f>
        <v>0.70833333333333337</v>
      </c>
      <c r="R748" s="20">
        <f>ABS($J$2-L748)/L748</f>
        <v>0.27966101694915252</v>
      </c>
    </row>
    <row r="749" spans="1:18" ht="15.75" customHeight="1" x14ac:dyDescent="0.2">
      <c r="A749">
        <v>871</v>
      </c>
      <c r="B749" s="1" t="s">
        <v>697</v>
      </c>
      <c r="C749" s="1"/>
      <c r="D749" s="2"/>
      <c r="E749" s="6" t="s">
        <v>482</v>
      </c>
      <c r="F749" s="1">
        <v>2.2000000000000002</v>
      </c>
      <c r="G749" s="4">
        <v>51</v>
      </c>
      <c r="H749" s="4">
        <v>3.7</v>
      </c>
      <c r="I749" s="4"/>
      <c r="J749" s="4">
        <v>87</v>
      </c>
      <c r="K749" s="4"/>
      <c r="L749" s="4"/>
      <c r="M749" s="21">
        <f>1-AVERAGE(N749:R749)</f>
        <v>0.34805508071228153</v>
      </c>
      <c r="N749" s="20">
        <f>ABS($D$2-F749)/F749</f>
        <v>0.73636363636363633</v>
      </c>
      <c r="O749" s="20">
        <f>ABS($E$2-G749)/G749</f>
        <v>0.43137254901960786</v>
      </c>
      <c r="P749" s="20">
        <f>ABS($F$2-H749)/H749</f>
        <v>0.67567567567567566</v>
      </c>
      <c r="Q749" s="20">
        <f>ABS($H$2-J749)/J749</f>
        <v>0.76436781609195403</v>
      </c>
      <c r="R749" s="20"/>
    </row>
    <row r="750" spans="1:18" ht="15.75" customHeight="1" x14ac:dyDescent="0.2">
      <c r="A750">
        <v>200</v>
      </c>
      <c r="B750" s="1" t="s">
        <v>168</v>
      </c>
      <c r="C750" s="1"/>
      <c r="D750" s="2"/>
      <c r="E750" s="6" t="s">
        <v>41</v>
      </c>
      <c r="F750" s="3">
        <f>(0.64+0.93)/2</f>
        <v>0.78500000000000003</v>
      </c>
      <c r="G750" s="3">
        <f>(21+26)/2</f>
        <v>23.5</v>
      </c>
      <c r="H750" s="3">
        <f>(4+5)/2</f>
        <v>4.5</v>
      </c>
      <c r="I750" s="3"/>
      <c r="J750" s="3">
        <f>(4.7+10.2)/2</f>
        <v>7.4499999999999993</v>
      </c>
      <c r="K750" s="3"/>
      <c r="L750" s="3"/>
      <c r="M750" s="21">
        <f>1-AVERAGE(N750:R750)</f>
        <v>0.34383882996661319</v>
      </c>
      <c r="N750" s="20">
        <f>ABS($D$2-F750)/F750</f>
        <v>0.26114649681528657</v>
      </c>
      <c r="O750" s="20">
        <f>ABS($E$2-G750)/G750</f>
        <v>0.23404255319148937</v>
      </c>
      <c r="P750" s="20">
        <f>ABS($F$2-H750)/H750</f>
        <v>0.37777777777777782</v>
      </c>
      <c r="Q750" s="20">
        <f>ABS($H$2-J750)/J750</f>
        <v>1.7516778523489935</v>
      </c>
      <c r="R750" s="20"/>
    </row>
    <row r="751" spans="1:18" ht="15.75" customHeight="1" x14ac:dyDescent="0.2">
      <c r="A751">
        <v>451</v>
      </c>
      <c r="B751" s="9" t="s">
        <v>355</v>
      </c>
      <c r="E751" s="6" t="s">
        <v>40</v>
      </c>
      <c r="F751" s="3">
        <f>(5.2+8.22)/2</f>
        <v>6.7100000000000009</v>
      </c>
      <c r="G751" s="3">
        <f>(60+82)/2</f>
        <v>71</v>
      </c>
      <c r="H751" s="3">
        <f>(10+16)/2</f>
        <v>13</v>
      </c>
      <c r="I751" s="3"/>
      <c r="J751" s="3">
        <f>(83+125)/2</f>
        <v>104</v>
      </c>
      <c r="K751" s="3"/>
      <c r="L751" s="3">
        <f>(48+56)/2</f>
        <v>52</v>
      </c>
      <c r="M751" s="21">
        <f>1-AVERAGE(N751:R751)</f>
        <v>0.34340084817053174</v>
      </c>
      <c r="N751" s="20">
        <f>ABS($D$2-F751)/F751</f>
        <v>0.91356184798807749</v>
      </c>
      <c r="O751" s="20">
        <f>ABS($E$2-G751)/G751</f>
        <v>0.59154929577464788</v>
      </c>
      <c r="P751" s="20">
        <f>ABS($F$2-H751)/H751</f>
        <v>0.52307692307692311</v>
      </c>
      <c r="Q751" s="20">
        <f>ABS($H$2-J751)/J751</f>
        <v>0.80288461538461542</v>
      </c>
      <c r="R751" s="20">
        <f>ABS($J$2-L751)/L751</f>
        <v>0.45192307692307693</v>
      </c>
    </row>
    <row r="752" spans="1:18" ht="15.75" customHeight="1" x14ac:dyDescent="0.2">
      <c r="A752">
        <v>908</v>
      </c>
      <c r="B752" s="1" t="s">
        <v>719</v>
      </c>
      <c r="C752" s="1"/>
      <c r="D752" s="2"/>
      <c r="E752" s="6" t="s">
        <v>482</v>
      </c>
      <c r="F752" s="1">
        <v>3.7</v>
      </c>
      <c r="G752" s="4">
        <v>79</v>
      </c>
      <c r="H752" s="4">
        <v>9.4</v>
      </c>
      <c r="I752" s="4"/>
      <c r="J752" s="4">
        <v>116</v>
      </c>
      <c r="K752" s="4"/>
      <c r="M752" s="21">
        <f>1-AVERAGE(N752:R752)</f>
        <v>0.34003599259195849</v>
      </c>
      <c r="N752" s="20">
        <f>ABS($D$2-F752)/F752</f>
        <v>0.84324324324324318</v>
      </c>
      <c r="O752" s="20">
        <f>ABS($E$2-G752)/G752</f>
        <v>0.63291139240506333</v>
      </c>
      <c r="P752" s="20">
        <f>ABS($F$2-H752)/H752</f>
        <v>0.34042553191489361</v>
      </c>
      <c r="Q752" s="20">
        <f>ABS($H$2-J752)/J752</f>
        <v>0.82327586206896552</v>
      </c>
      <c r="R752" s="20"/>
    </row>
    <row r="753" spans="1:18" ht="15.75" customHeight="1" x14ac:dyDescent="0.2">
      <c r="A753">
        <v>906</v>
      </c>
      <c r="B753" s="1" t="s">
        <v>718</v>
      </c>
      <c r="C753" s="1"/>
      <c r="D753" s="2"/>
      <c r="E753" s="6" t="s">
        <v>495</v>
      </c>
      <c r="F753" s="1">
        <v>2.5</v>
      </c>
      <c r="G753" s="4">
        <v>55</v>
      </c>
      <c r="H753" s="4">
        <v>6.1</v>
      </c>
      <c r="I753" s="4"/>
      <c r="J753" s="4">
        <v>21</v>
      </c>
      <c r="K753" s="4"/>
      <c r="L753" s="4">
        <v>25</v>
      </c>
      <c r="M753" s="21">
        <f>1-AVERAGE(N753:R753)</f>
        <v>0.33981395216805055</v>
      </c>
      <c r="N753" s="20">
        <f>ABS($D$2-F753)/F753</f>
        <v>0.76800000000000002</v>
      </c>
      <c r="O753" s="20">
        <f>ABS($E$2-G753)/G753</f>
        <v>0.47272727272727272</v>
      </c>
      <c r="P753" s="20">
        <f>ABS($F$2-H753)/H753</f>
        <v>1.6393442622950907E-2</v>
      </c>
      <c r="Q753" s="20">
        <f>ABS($H$2-J753)/J753</f>
        <v>2.3809523809523808E-2</v>
      </c>
      <c r="R753" s="20">
        <f>ABS($J$2-L753)/L753</f>
        <v>2.02</v>
      </c>
    </row>
    <row r="754" spans="1:18" ht="15.75" customHeight="1" x14ac:dyDescent="0.2">
      <c r="A754">
        <v>661</v>
      </c>
      <c r="B754" s="1" t="s">
        <v>526</v>
      </c>
      <c r="C754" s="1" t="s">
        <v>528</v>
      </c>
      <c r="D754" s="2"/>
      <c r="E754" s="6" t="s">
        <v>495</v>
      </c>
      <c r="F754" s="1">
        <v>1</v>
      </c>
      <c r="G754" s="4">
        <v>32</v>
      </c>
      <c r="H754" s="4">
        <v>6.2</v>
      </c>
      <c r="I754" s="4"/>
      <c r="J754" s="4">
        <v>5.6</v>
      </c>
      <c r="K754" s="4"/>
      <c r="L754" s="4">
        <v>66</v>
      </c>
      <c r="M754" s="21">
        <f>1-AVERAGE(N754:R754)</f>
        <v>0.33631926406926405</v>
      </c>
      <c r="N754" s="20">
        <f>ABS($D$2-F754)/F754</f>
        <v>0.41999999999999993</v>
      </c>
      <c r="O754" s="20">
        <f>ABS($E$2-G754)/G754</f>
        <v>9.375E-2</v>
      </c>
      <c r="P754" s="20">
        <f>ABS($F$2-H754)/H754</f>
        <v>0</v>
      </c>
      <c r="Q754" s="20">
        <f>ABS($H$2-J754)/J754</f>
        <v>2.660714285714286</v>
      </c>
      <c r="R754" s="20">
        <f>ABS($J$2-L754)/L754</f>
        <v>0.14393939393939395</v>
      </c>
    </row>
    <row r="755" spans="1:18" ht="15.75" customHeight="1" x14ac:dyDescent="0.2">
      <c r="A755">
        <v>429</v>
      </c>
      <c r="B755" s="9" t="s">
        <v>339</v>
      </c>
      <c r="E755" s="6" t="s">
        <v>40</v>
      </c>
      <c r="F755" s="3">
        <v>1.2</v>
      </c>
      <c r="G755" s="3">
        <v>29</v>
      </c>
      <c r="H755" s="3">
        <v>5</v>
      </c>
      <c r="I755" s="3"/>
      <c r="J755" s="3">
        <v>9</v>
      </c>
      <c r="K755" s="3"/>
      <c r="L755" s="3">
        <v>33</v>
      </c>
      <c r="M755" s="21">
        <f>1-AVERAGE(N755:R755)</f>
        <v>0.33553535353535346</v>
      </c>
      <c r="N755" s="20">
        <f>ABS($D$2-F755)/F755</f>
        <v>0.51666666666666661</v>
      </c>
      <c r="O755" s="20">
        <f>ABS($E$2-G755)/G755</f>
        <v>0</v>
      </c>
      <c r="P755" s="20">
        <f>ABS($F$2-H755)/H755</f>
        <v>0.24000000000000005</v>
      </c>
      <c r="Q755" s="20">
        <f>ABS($H$2-J755)/J755</f>
        <v>1.2777777777777777</v>
      </c>
      <c r="R755" s="20">
        <f>ABS($J$2-L755)/L755</f>
        <v>1.2878787878787878</v>
      </c>
    </row>
    <row r="756" spans="1:18" ht="15.75" customHeight="1" x14ac:dyDescent="0.2">
      <c r="A756">
        <v>243</v>
      </c>
      <c r="B756" s="9" t="s">
        <v>203</v>
      </c>
      <c r="C756" s="9" t="s">
        <v>204</v>
      </c>
      <c r="E756" s="6" t="s">
        <v>41</v>
      </c>
      <c r="F756" s="3">
        <f>(1.18+1.62)/2</f>
        <v>1.4</v>
      </c>
      <c r="G756" s="3">
        <f>(9+13)/2</f>
        <v>11</v>
      </c>
      <c r="H756" s="3">
        <v>7</v>
      </c>
      <c r="I756" s="3"/>
      <c r="J756" s="3">
        <f>(13+18)/2</f>
        <v>15.5</v>
      </c>
      <c r="K756" s="3"/>
      <c r="L756" s="3"/>
      <c r="M756" s="21">
        <f>1-AVERAGE(N756:R756)</f>
        <v>0.33526392961876827</v>
      </c>
      <c r="N756" s="20">
        <f>ABS($D$2-F756)/F756</f>
        <v>0.58571428571428563</v>
      </c>
      <c r="O756" s="20">
        <f>ABS($E$2-G756)/G756</f>
        <v>1.6363636363636365</v>
      </c>
      <c r="P756" s="20">
        <f>ABS($F$2-H756)/H756</f>
        <v>0.11428571428571425</v>
      </c>
      <c r="Q756" s="20">
        <f>ABS($H$2-J756)/J756</f>
        <v>0.32258064516129031</v>
      </c>
      <c r="R756" s="20"/>
    </row>
    <row r="757" spans="1:18" ht="15.75" customHeight="1" x14ac:dyDescent="0.2">
      <c r="A757">
        <v>264</v>
      </c>
      <c r="B757" s="9" t="s">
        <v>216</v>
      </c>
      <c r="E757" s="6" t="s">
        <v>41</v>
      </c>
      <c r="F757" s="3">
        <f>(0.79+0.98)/2</f>
        <v>0.88500000000000001</v>
      </c>
      <c r="G757" s="3">
        <f>(17+21)/2</f>
        <v>19</v>
      </c>
      <c r="H757" s="3">
        <f>(3.9+4.6)/2</f>
        <v>4.25</v>
      </c>
      <c r="I757" s="3"/>
      <c r="J757" s="3">
        <f>(8+9.6)/2</f>
        <v>8.8000000000000007</v>
      </c>
      <c r="K757" s="3"/>
      <c r="L757" s="3"/>
      <c r="M757" s="21">
        <f>1-AVERAGE(N757:R757)</f>
        <v>0.33517061455187869</v>
      </c>
      <c r="N757" s="20">
        <f>ABS($D$2-F757)/F757</f>
        <v>0.34463276836158185</v>
      </c>
      <c r="O757" s="20">
        <f>ABS($E$2-G757)/G757</f>
        <v>0.52631578947368418</v>
      </c>
      <c r="P757" s="20">
        <f>ABS($F$2-H757)/H757</f>
        <v>0.45882352941176474</v>
      </c>
      <c r="Q757" s="20">
        <f>ABS($H$2-J757)/J757</f>
        <v>1.3295454545454544</v>
      </c>
      <c r="R757" s="20"/>
    </row>
    <row r="758" spans="1:18" ht="15.75" customHeight="1" x14ac:dyDescent="0.2">
      <c r="A758">
        <v>339</v>
      </c>
      <c r="B758" s="9" t="s">
        <v>266</v>
      </c>
      <c r="E758" s="6" t="s">
        <v>41</v>
      </c>
      <c r="F758" s="3">
        <v>3.8</v>
      </c>
      <c r="G758" s="3">
        <v>62</v>
      </c>
      <c r="H758" s="3">
        <v>14.8</v>
      </c>
      <c r="I758" s="3"/>
      <c r="J758" s="3">
        <v>70</v>
      </c>
      <c r="K758" s="3"/>
      <c r="L758" s="3"/>
      <c r="M758" s="21">
        <f>1-AVERAGE(N758:R758)</f>
        <v>0.33303739405182531</v>
      </c>
      <c r="N758" s="20">
        <f>ABS($D$2-F758)/F758</f>
        <v>0.84736842105263155</v>
      </c>
      <c r="O758" s="20">
        <f>ABS($E$2-G758)/G758</f>
        <v>0.532258064516129</v>
      </c>
      <c r="P758" s="20">
        <f>ABS($F$2-H758)/H758</f>
        <v>0.58108108108108114</v>
      </c>
      <c r="Q758" s="20">
        <f>ABS($H$2-J758)/J758</f>
        <v>0.70714285714285718</v>
      </c>
      <c r="R758" s="20"/>
    </row>
    <row r="759" spans="1:18" ht="15.75" customHeight="1" x14ac:dyDescent="0.2">
      <c r="A759">
        <v>463</v>
      </c>
      <c r="B759" s="9" t="s">
        <v>366</v>
      </c>
      <c r="E759" s="6" t="s">
        <v>40</v>
      </c>
      <c r="F759" s="3">
        <v>2.1</v>
      </c>
      <c r="G759" s="3">
        <v>45</v>
      </c>
      <c r="H759" s="3">
        <v>5</v>
      </c>
      <c r="I759" s="3"/>
      <c r="J759" s="3">
        <v>100</v>
      </c>
      <c r="K759" s="3"/>
      <c r="L759" s="3">
        <v>34</v>
      </c>
      <c r="M759" s="21">
        <f>1-AVERAGE(N759:R759)</f>
        <v>0.3330093370681606</v>
      </c>
      <c r="N759" s="20">
        <f>ABS($D$2-F759)/F759</f>
        <v>0.72380952380952379</v>
      </c>
      <c r="O759" s="20">
        <f>ABS($E$2-G759)/G759</f>
        <v>0.35555555555555557</v>
      </c>
      <c r="P759" s="20">
        <f>ABS($F$2-H759)/H759</f>
        <v>0.24000000000000005</v>
      </c>
      <c r="Q759" s="20">
        <f>ABS($H$2-J759)/J759</f>
        <v>0.79500000000000004</v>
      </c>
      <c r="R759" s="20">
        <f>ABS($J$2-L759)/L759</f>
        <v>1.2205882352941178</v>
      </c>
    </row>
    <row r="760" spans="1:18" ht="15.75" customHeight="1" x14ac:dyDescent="0.2">
      <c r="A760">
        <v>331</v>
      </c>
      <c r="B760" s="9" t="s">
        <v>262</v>
      </c>
      <c r="E760" s="6" t="s">
        <v>40</v>
      </c>
      <c r="F760" s="3">
        <f>(0.625+0.98)/2</f>
        <v>0.80249999999999999</v>
      </c>
      <c r="G760" s="3">
        <f>(19.6+23)/2</f>
        <v>21.3</v>
      </c>
      <c r="H760" s="3">
        <f>(7.5+9.5)/2</f>
        <v>8.5</v>
      </c>
      <c r="I760" s="3"/>
      <c r="J760" s="3">
        <f>(6.85+7.35)/2</f>
        <v>7.1</v>
      </c>
      <c r="K760" s="3"/>
      <c r="L760" s="3">
        <f>(48+49.5)/2</f>
        <v>48.75</v>
      </c>
      <c r="M760" s="21">
        <f>1-AVERAGE(N760:R760)</f>
        <v>0.33092179158598578</v>
      </c>
      <c r="N760" s="20">
        <f>ABS($D$2-F760)/F760</f>
        <v>0.27725856697819307</v>
      </c>
      <c r="O760" s="20">
        <f>ABS($E$2-G760)/G760</f>
        <v>0.36150234741784032</v>
      </c>
      <c r="P760" s="20">
        <f>ABS($F$2-H760)/H760</f>
        <v>0.27058823529411763</v>
      </c>
      <c r="Q760" s="20">
        <f>ABS($H$2-J760)/J760</f>
        <v>1.887323943661972</v>
      </c>
      <c r="R760" s="20">
        <f>ABS($J$2-L760)/L760</f>
        <v>0.54871794871794877</v>
      </c>
    </row>
    <row r="761" spans="1:18" ht="15.75" customHeight="1" x14ac:dyDescent="0.2">
      <c r="A761">
        <v>395</v>
      </c>
      <c r="B761" s="9" t="s">
        <v>314</v>
      </c>
      <c r="C761" s="9" t="s">
        <v>315</v>
      </c>
      <c r="E761" s="6" t="s">
        <v>40</v>
      </c>
      <c r="F761" s="3">
        <v>0.79</v>
      </c>
      <c r="G761" s="3">
        <v>22</v>
      </c>
      <c r="H761" s="3">
        <v>5.2</v>
      </c>
      <c r="I761" s="3"/>
      <c r="J761" s="3">
        <v>6.6</v>
      </c>
      <c r="K761" s="3"/>
      <c r="L761" s="3">
        <v>51</v>
      </c>
      <c r="M761" s="21">
        <f>1-AVERAGE(N761:R761)</f>
        <v>0.32744698835540231</v>
      </c>
      <c r="N761" s="20">
        <f>ABS($D$2-F761)/F761</f>
        <v>0.2658227848101265</v>
      </c>
      <c r="O761" s="20">
        <f>ABS($E$2-G761)/G761</f>
        <v>0.31818181818181818</v>
      </c>
      <c r="P761" s="20">
        <f>ABS($F$2-H761)/H761</f>
        <v>0.19230769230769229</v>
      </c>
      <c r="Q761" s="20">
        <f>ABS($H$2-J761)/J761</f>
        <v>2.1060606060606064</v>
      </c>
      <c r="R761" s="20">
        <f>ABS($J$2-L761)/L761</f>
        <v>0.48039215686274511</v>
      </c>
    </row>
    <row r="762" spans="1:18" ht="15.75" customHeight="1" x14ac:dyDescent="0.2">
      <c r="A762">
        <v>475</v>
      </c>
      <c r="B762" s="9" t="s">
        <v>376</v>
      </c>
      <c r="E762" s="6" t="s">
        <v>40</v>
      </c>
      <c r="F762" s="3">
        <v>1</v>
      </c>
      <c r="G762" s="3">
        <v>37</v>
      </c>
      <c r="H762" s="3">
        <v>3.3</v>
      </c>
      <c r="I762" s="3"/>
      <c r="J762" s="3">
        <v>11</v>
      </c>
      <c r="K762" s="3"/>
      <c r="L762" s="3">
        <v>38</v>
      </c>
      <c r="M762" s="21">
        <f>1-AVERAGE(N762:R762)</f>
        <v>0.32690348721927664</v>
      </c>
      <c r="N762" s="20">
        <f>ABS($D$2-F762)/F762</f>
        <v>0.41999999999999993</v>
      </c>
      <c r="O762" s="20">
        <f>ABS($E$2-G762)/G762</f>
        <v>0.21621621621621623</v>
      </c>
      <c r="P762" s="20">
        <f>ABS($F$2-H762)/H762</f>
        <v>0.8787878787878789</v>
      </c>
      <c r="Q762" s="20">
        <f>ABS($H$2-J762)/J762</f>
        <v>0.86363636363636365</v>
      </c>
      <c r="R762" s="20">
        <f>ABS($J$2-L762)/L762</f>
        <v>0.98684210526315785</v>
      </c>
    </row>
    <row r="763" spans="1:18" ht="15.75" customHeight="1" x14ac:dyDescent="0.2">
      <c r="A763">
        <v>368</v>
      </c>
      <c r="B763" s="9" t="s">
        <v>289</v>
      </c>
      <c r="E763" s="6" t="s">
        <v>40</v>
      </c>
      <c r="F763" s="3">
        <f>(0.63+0.84)/2</f>
        <v>0.73499999999999999</v>
      </c>
      <c r="G763" s="3">
        <f>(19+23)/2</f>
        <v>21</v>
      </c>
      <c r="H763" s="3">
        <f>(5.6+6.2)/2</f>
        <v>5.9</v>
      </c>
      <c r="I763" s="3"/>
      <c r="J763" s="3">
        <f>(6.2+7.2)/2</f>
        <v>6.7</v>
      </c>
      <c r="K763" s="10"/>
      <c r="L763" s="10"/>
      <c r="M763" s="21">
        <f>1-AVERAGE(N763:R763)</f>
        <v>0.32440357878542259</v>
      </c>
      <c r="N763" s="20">
        <f>ABS($D$2-F763)/F763</f>
        <v>0.2108843537414965</v>
      </c>
      <c r="O763" s="20">
        <f>ABS($E$2-G763)/G763</f>
        <v>0.38095238095238093</v>
      </c>
      <c r="P763" s="20">
        <f>ABS($F$2-H763)/H763</f>
        <v>5.0847457627118613E-2</v>
      </c>
      <c r="Q763" s="20">
        <f>ABS($H$2-J763)/J763</f>
        <v>2.0597014925373136</v>
      </c>
      <c r="R763" s="20"/>
    </row>
    <row r="764" spans="1:18" ht="15.75" customHeight="1" x14ac:dyDescent="0.2">
      <c r="A764">
        <v>312</v>
      </c>
      <c r="B764" s="9" t="s">
        <v>246</v>
      </c>
      <c r="E764" s="6" t="s">
        <v>40</v>
      </c>
      <c r="F764" s="3">
        <f>(1.16+1.44)/2</f>
        <v>1.2999999999999998</v>
      </c>
      <c r="G764" s="3">
        <f>(53+69)/2</f>
        <v>61</v>
      </c>
      <c r="H764" s="3">
        <f>(4.7+5.4)/2</f>
        <v>5.0500000000000007</v>
      </c>
      <c r="I764" s="3"/>
      <c r="J764" s="3">
        <f>(7.4+8.7)/2</f>
        <v>8.0500000000000007</v>
      </c>
      <c r="K764" s="3"/>
      <c r="L764" s="3">
        <f>(48+51)/2</f>
        <v>49.5</v>
      </c>
      <c r="M764" s="21">
        <f>1-AVERAGE(N764:R764)</f>
        <v>0.32440090675159805</v>
      </c>
      <c r="N764" s="20">
        <f>ABS($D$2-F764)/F764</f>
        <v>0.55384615384615377</v>
      </c>
      <c r="O764" s="20">
        <f>ABS($E$2-G764)/G764</f>
        <v>0.52459016393442626</v>
      </c>
      <c r="P764" s="20">
        <f>ABS($F$2-H764)/H764</f>
        <v>0.22772277227722759</v>
      </c>
      <c r="Q764" s="20">
        <f>ABS($H$2-J764)/J764</f>
        <v>1.5465838509316767</v>
      </c>
      <c r="R764" s="20">
        <f>ABS($J$2-L764)/L764</f>
        <v>0.5252525252525253</v>
      </c>
    </row>
    <row r="765" spans="1:18" ht="15.75" customHeight="1" x14ac:dyDescent="0.2">
      <c r="A765">
        <v>650</v>
      </c>
      <c r="B765" s="6" t="s">
        <v>44</v>
      </c>
      <c r="C765" s="6"/>
      <c r="D765" s="7"/>
      <c r="E765" s="6" t="s">
        <v>482</v>
      </c>
      <c r="F765" s="1">
        <f>(0.9+1.3)/2</f>
        <v>1.1000000000000001</v>
      </c>
      <c r="G765" s="4">
        <v>42</v>
      </c>
      <c r="H765" s="4">
        <v>8</v>
      </c>
      <c r="I765" s="4"/>
      <c r="J765" s="4">
        <v>7.6</v>
      </c>
      <c r="K765" s="4"/>
      <c r="L765" s="4"/>
      <c r="M765" s="21">
        <f>1-AVERAGE(N765:R765)</f>
        <v>0.32384512417407163</v>
      </c>
      <c r="N765" s="20">
        <f>ABS($D$2-F765)/F765</f>
        <v>0.47272727272727272</v>
      </c>
      <c r="O765" s="20">
        <f>ABS($E$2-G765)/G765</f>
        <v>0.30952380952380953</v>
      </c>
      <c r="P765" s="20">
        <f>ABS($F$2-H765)/H765</f>
        <v>0.22499999999999998</v>
      </c>
      <c r="Q765" s="20">
        <f>ABS($H$2-J765)/J765</f>
        <v>1.6973684210526316</v>
      </c>
      <c r="R765" s="20"/>
    </row>
    <row r="766" spans="1:18" ht="15.75" customHeight="1" x14ac:dyDescent="0.2">
      <c r="A766">
        <v>282</v>
      </c>
      <c r="B766" s="9" t="s">
        <v>227</v>
      </c>
      <c r="E766" s="6" t="s">
        <v>41</v>
      </c>
      <c r="F766" s="3">
        <f>(1.2+1.6)/2</f>
        <v>1.4</v>
      </c>
      <c r="G766" s="3">
        <f>(43+53)/2</f>
        <v>48</v>
      </c>
      <c r="H766" s="3">
        <f>(7.4+8.3)/2</f>
        <v>7.8500000000000005</v>
      </c>
      <c r="I766" s="3"/>
      <c r="J766" s="3">
        <f>(6.6+9.7)/2</f>
        <v>8.1499999999999986</v>
      </c>
      <c r="K766" s="3"/>
      <c r="L766" s="3"/>
      <c r="M766" s="21">
        <f>1-AVERAGE(N766:R766)</f>
        <v>0.3232309687092374</v>
      </c>
      <c r="N766" s="20">
        <f>ABS($D$2-F766)/F766</f>
        <v>0.58571428571428563</v>
      </c>
      <c r="O766" s="20">
        <f>ABS($E$2-G766)/G766</f>
        <v>0.39583333333333331</v>
      </c>
      <c r="P766" s="20">
        <f>ABS($F$2-H766)/H766</f>
        <v>0.21019108280254781</v>
      </c>
      <c r="Q766" s="20">
        <f>ABS($H$2-J766)/J766</f>
        <v>1.5153374233128838</v>
      </c>
      <c r="R766" s="20"/>
    </row>
    <row r="767" spans="1:18" ht="15.75" customHeight="1" x14ac:dyDescent="0.2">
      <c r="A767">
        <v>439</v>
      </c>
      <c r="B767" s="9" t="s">
        <v>346</v>
      </c>
      <c r="E767" s="6" t="s">
        <v>41</v>
      </c>
      <c r="F767" s="3">
        <v>1.44</v>
      </c>
      <c r="G767" s="3">
        <v>23</v>
      </c>
      <c r="H767" s="3">
        <v>2.9</v>
      </c>
      <c r="I767" s="3"/>
      <c r="J767" s="3">
        <v>74</v>
      </c>
      <c r="K767" s="10"/>
      <c r="L767" s="10"/>
      <c r="M767" s="21">
        <f>1-AVERAGE(N767:R767)</f>
        <v>0.32025105127616371</v>
      </c>
      <c r="N767" s="20">
        <f>ABS($D$2-F767)/F767</f>
        <v>0.59722222222222221</v>
      </c>
      <c r="O767" s="20">
        <f>ABS($E$2-G767)/G767</f>
        <v>0.2608695652173913</v>
      </c>
      <c r="P767" s="20">
        <f>ABS($F$2-H767)/H767</f>
        <v>1.1379310344827587</v>
      </c>
      <c r="Q767" s="20">
        <f>ABS($H$2-J767)/J767</f>
        <v>0.72297297297297303</v>
      </c>
      <c r="R767" s="20"/>
    </row>
    <row r="768" spans="1:18" ht="15.75" customHeight="1" x14ac:dyDescent="0.2">
      <c r="A768">
        <v>358</v>
      </c>
      <c r="B768" s="9" t="s">
        <v>282</v>
      </c>
      <c r="C768" s="9" t="s">
        <v>283</v>
      </c>
      <c r="E768" s="6" t="s">
        <v>40</v>
      </c>
      <c r="F768" s="3">
        <v>0.93</v>
      </c>
      <c r="G768" s="3">
        <f>(23+24.5)/2</f>
        <v>23.75</v>
      </c>
      <c r="H768" s="3">
        <f>(7.2+8.4)/2</f>
        <v>7.8000000000000007</v>
      </c>
      <c r="I768" s="3"/>
      <c r="J768" s="3">
        <f>(6+9)/2</f>
        <v>7.5</v>
      </c>
      <c r="K768" s="3"/>
      <c r="L768" s="3">
        <f>(40+41)/2</f>
        <v>40.5</v>
      </c>
      <c r="M768" s="21">
        <f>1-AVERAGE(N768:R768)</f>
        <v>0.31998884261476224</v>
      </c>
      <c r="N768" s="20">
        <f>ABS($D$2-F768)/F768</f>
        <v>0.37634408602150532</v>
      </c>
      <c r="O768" s="20">
        <f>ABS($E$2-G768)/G768</f>
        <v>0.22105263157894736</v>
      </c>
      <c r="P768" s="20">
        <f>ABS($F$2-H768)/H768</f>
        <v>0.20512820512820518</v>
      </c>
      <c r="Q768" s="20">
        <f>ABS($H$2-J768)/J768</f>
        <v>1.7333333333333334</v>
      </c>
      <c r="R768" s="20">
        <f>ABS($J$2-L768)/L768</f>
        <v>0.86419753086419748</v>
      </c>
    </row>
    <row r="769" spans="1:18" ht="15.75" customHeight="1" x14ac:dyDescent="0.2">
      <c r="A769">
        <v>130</v>
      </c>
      <c r="B769" s="1" t="s">
        <v>118</v>
      </c>
      <c r="C769" s="1"/>
      <c r="D769" s="2"/>
      <c r="E769" s="6" t="s">
        <v>40</v>
      </c>
      <c r="F769" s="3">
        <f>(0.52+0.58)/2</f>
        <v>0.55000000000000004</v>
      </c>
      <c r="G769" s="3">
        <f>(24+28.8)/2</f>
        <v>26.4</v>
      </c>
      <c r="H769" s="3">
        <f>(9.9+10.3)/2</f>
        <v>10.100000000000001</v>
      </c>
      <c r="I769" s="3"/>
      <c r="J769" s="3">
        <f>(5.1+5.7)/2</f>
        <v>5.4</v>
      </c>
      <c r="K769" s="3"/>
      <c r="L769" s="3">
        <f>(80.6+82.1)/2</f>
        <v>81.349999999999994</v>
      </c>
      <c r="M769" s="21">
        <f>1-AVERAGE(N769:R769)</f>
        <v>0.31852465865312207</v>
      </c>
      <c r="N769" s="20">
        <f>ABS($D$2-F769)/F769</f>
        <v>5.4545454545454591E-2</v>
      </c>
      <c r="O769" s="20">
        <f>ABS($E$2-G769)/G769</f>
        <v>9.848484848484855E-2</v>
      </c>
      <c r="P769" s="20">
        <f>ABS($F$2-H769)/H769</f>
        <v>0.3861386138613862</v>
      </c>
      <c r="Q769" s="20">
        <f>ABS($H$2-J769)/J769</f>
        <v>2.7962962962962958</v>
      </c>
      <c r="R769" s="20">
        <f>ABS($J$2-L769)/L769</f>
        <v>7.1911493546404359E-2</v>
      </c>
    </row>
    <row r="770" spans="1:18" ht="15.75" customHeight="1" x14ac:dyDescent="0.2">
      <c r="A770">
        <v>248</v>
      </c>
      <c r="B770" s="9" t="s">
        <v>207</v>
      </c>
      <c r="E770" s="6" t="s">
        <v>40</v>
      </c>
      <c r="F770" s="3">
        <f>(0.46+0.59)/2</f>
        <v>0.52500000000000002</v>
      </c>
      <c r="G770" s="3">
        <f>(13+17)/2</f>
        <v>15</v>
      </c>
      <c r="H770" s="3">
        <f>(5.5+6.1)/2</f>
        <v>5.8</v>
      </c>
      <c r="I770" s="3"/>
      <c r="J770" s="3">
        <f>(6.6+7.5)/2</f>
        <v>7.05</v>
      </c>
      <c r="K770" s="3"/>
      <c r="L770" s="3">
        <f>(49+59)/2</f>
        <v>54</v>
      </c>
      <c r="M770" s="21">
        <f>1-AVERAGE(N770:R770)</f>
        <v>0.31739793561510365</v>
      </c>
      <c r="N770" s="20">
        <f>ABS($D$2-F770)/F770</f>
        <v>0.10476190476190485</v>
      </c>
      <c r="O770" s="20">
        <f>ABS($E$2-G770)/G770</f>
        <v>0.93333333333333335</v>
      </c>
      <c r="P770" s="20">
        <f>ABS($F$2-H770)/H770</f>
        <v>6.8965517241379379E-2</v>
      </c>
      <c r="Q770" s="20">
        <f>ABS($H$2-J770)/J770</f>
        <v>1.9078014184397163</v>
      </c>
      <c r="R770" s="20">
        <f>ABS($J$2-L770)/L770</f>
        <v>0.39814814814814814</v>
      </c>
    </row>
    <row r="771" spans="1:18" ht="15.75" customHeight="1" x14ac:dyDescent="0.2">
      <c r="A771">
        <v>903</v>
      </c>
      <c r="B771" s="1" t="s">
        <v>716</v>
      </c>
      <c r="C771" s="1"/>
      <c r="D771" s="2"/>
      <c r="E771" s="6" t="s">
        <v>495</v>
      </c>
      <c r="F771" s="1">
        <v>5.3</v>
      </c>
      <c r="G771" s="4">
        <v>103</v>
      </c>
      <c r="H771" s="4">
        <v>13.2</v>
      </c>
      <c r="I771" s="4"/>
      <c r="J771" s="4">
        <v>81</v>
      </c>
      <c r="K771" s="4"/>
      <c r="L771" s="4">
        <v>49</v>
      </c>
      <c r="M771" s="21">
        <f>1-AVERAGE(N771:R771)</f>
        <v>0.31459088464836948</v>
      </c>
      <c r="N771" s="20">
        <f>ABS($D$2-F771)/F771</f>
        <v>0.89056603773584908</v>
      </c>
      <c r="O771" s="20">
        <f>ABS($E$2-G771)/G771</f>
        <v>0.71844660194174759</v>
      </c>
      <c r="P771" s="20">
        <f>ABS($F$2-H771)/H771</f>
        <v>0.53030303030303028</v>
      </c>
      <c r="Q771" s="20">
        <f>ABS($H$2-J771)/J771</f>
        <v>0.74691358024691357</v>
      </c>
      <c r="R771" s="20">
        <f>ABS($J$2-L771)/L771</f>
        <v>0.54081632653061229</v>
      </c>
    </row>
    <row r="772" spans="1:18" ht="15.75" customHeight="1" x14ac:dyDescent="0.2">
      <c r="A772">
        <v>517</v>
      </c>
      <c r="B772" s="9" t="s">
        <v>405</v>
      </c>
      <c r="E772" s="6" t="s">
        <v>41</v>
      </c>
      <c r="F772" s="3">
        <v>0.46</v>
      </c>
      <c r="G772" s="3">
        <v>13</v>
      </c>
      <c r="H772" s="3">
        <v>3.7</v>
      </c>
      <c r="I772" s="3"/>
      <c r="J772" s="3">
        <v>13</v>
      </c>
      <c r="K772" s="10"/>
      <c r="L772" s="10"/>
      <c r="M772" s="21">
        <f>1-AVERAGE(N772:R772)</f>
        <v>0.31394061285365638</v>
      </c>
      <c r="N772" s="20">
        <f>ABS($D$2-F772)/F772</f>
        <v>0.26086956521739141</v>
      </c>
      <c r="O772" s="20">
        <f>ABS($E$2-G772)/G772</f>
        <v>1.2307692307692308</v>
      </c>
      <c r="P772" s="20">
        <f>ABS($F$2-H772)/H772</f>
        <v>0.67567567567567566</v>
      </c>
      <c r="Q772" s="20">
        <f>ABS($H$2-J772)/J772</f>
        <v>0.57692307692307687</v>
      </c>
      <c r="R772" s="20"/>
    </row>
    <row r="773" spans="1:18" ht="15.75" customHeight="1" x14ac:dyDescent="0.2">
      <c r="A773">
        <v>902</v>
      </c>
      <c r="B773" s="1" t="s">
        <v>715</v>
      </c>
      <c r="C773" s="1"/>
      <c r="D773" s="2"/>
      <c r="E773" s="6" t="s">
        <v>495</v>
      </c>
      <c r="F773" s="1">
        <f>(5+6)/2</f>
        <v>5.5</v>
      </c>
      <c r="G773" s="4">
        <f>(80+107)/2</f>
        <v>93.5</v>
      </c>
      <c r="H773" s="4">
        <v>11</v>
      </c>
      <c r="J773" s="4">
        <f>(118+134)/2</f>
        <v>126</v>
      </c>
      <c r="K773" s="4"/>
      <c r="L773" s="4">
        <f>(45+51)/2</f>
        <v>48</v>
      </c>
      <c r="M773" s="21">
        <f>1-AVERAGE(N773:R773)</f>
        <v>0.31380661658602826</v>
      </c>
      <c r="N773" s="20">
        <f>ABS($D$2-F773)/F773</f>
        <v>0.89454545454545453</v>
      </c>
      <c r="O773" s="20">
        <f>ABS($E$2-G773)/G773</f>
        <v>0.68983957219251335</v>
      </c>
      <c r="P773" s="20">
        <f>ABS($F$2-H773)/H773</f>
        <v>0.43636363636363634</v>
      </c>
      <c r="Q773" s="20">
        <f>ABS($H$2-J773)/J773</f>
        <v>0.83730158730158732</v>
      </c>
      <c r="R773" s="20">
        <f>ABS($J$2-L773)/L773</f>
        <v>0.57291666666666663</v>
      </c>
    </row>
    <row r="774" spans="1:18" ht="15.75" customHeight="1" x14ac:dyDescent="0.2">
      <c r="A774">
        <v>146</v>
      </c>
      <c r="B774" s="1" t="s">
        <v>127</v>
      </c>
      <c r="C774" s="1" t="s">
        <v>128</v>
      </c>
      <c r="D774" s="2"/>
      <c r="E774" s="6" t="s">
        <v>40</v>
      </c>
      <c r="F774" s="3">
        <f>(1.51+1.85)/2</f>
        <v>1.6800000000000002</v>
      </c>
      <c r="G774" s="3">
        <f>(45+50)/2</f>
        <v>47.5</v>
      </c>
      <c r="H774" s="3">
        <f>(6.6+7.6)/2</f>
        <v>7.1</v>
      </c>
      <c r="I774" s="3"/>
      <c r="J774" s="3">
        <f>(7+7.6)/2</f>
        <v>7.3</v>
      </c>
      <c r="K774" s="3"/>
      <c r="L774" s="3">
        <f>(49+55)/2</f>
        <v>52</v>
      </c>
      <c r="M774" s="21">
        <f>1-AVERAGE(N774:R774)</f>
        <v>0.3137723185284037</v>
      </c>
      <c r="N774" s="20">
        <f>ABS($D$2-F774)/F774</f>
        <v>0.65476190476190477</v>
      </c>
      <c r="O774" s="20">
        <f>ABS($E$2-G774)/G774</f>
        <v>0.38947368421052631</v>
      </c>
      <c r="P774" s="20">
        <f>ABS($F$2-H774)/H774</f>
        <v>0.12676056338028163</v>
      </c>
      <c r="Q774" s="20">
        <f>ABS($H$2-J774)/J774</f>
        <v>1.8082191780821917</v>
      </c>
      <c r="R774" s="20">
        <f>ABS($J$2-L774)/L774</f>
        <v>0.45192307692307693</v>
      </c>
    </row>
    <row r="775" spans="1:18" ht="15.75" customHeight="1" x14ac:dyDescent="0.2">
      <c r="A775">
        <v>257</v>
      </c>
      <c r="B775" s="9" t="s">
        <v>213</v>
      </c>
      <c r="E775" s="6" t="s">
        <v>40</v>
      </c>
      <c r="F775" s="3">
        <f>(0.29+0.43)/2</f>
        <v>0.36</v>
      </c>
      <c r="G775" s="3">
        <f>(11+13)/2</f>
        <v>12</v>
      </c>
      <c r="H775" s="3">
        <f>(4.1+6)/2</f>
        <v>5.05</v>
      </c>
      <c r="I775" s="3"/>
      <c r="J775" s="3">
        <f>(9+12)/2</f>
        <v>10.5</v>
      </c>
      <c r="K775" s="3"/>
      <c r="L775" s="3">
        <f>(59+64)/2</f>
        <v>61.5</v>
      </c>
      <c r="M775" s="21">
        <f>1-AVERAGE(N775:R775)</f>
        <v>0.31289524422825554</v>
      </c>
      <c r="N775" s="20">
        <f>ABS($D$2-F775)/F775</f>
        <v>0.61111111111111138</v>
      </c>
      <c r="O775" s="20">
        <f>ABS($E$2-G775)/G775</f>
        <v>1.4166666666666667</v>
      </c>
      <c r="P775" s="20">
        <f>ABS($F$2-H775)/H775</f>
        <v>0.22772277227722781</v>
      </c>
      <c r="Q775" s="20">
        <f>ABS($H$2-J775)/J775</f>
        <v>0.95238095238095233</v>
      </c>
      <c r="R775" s="20">
        <f>ABS($J$2-L775)/L775</f>
        <v>0.22764227642276422</v>
      </c>
    </row>
    <row r="776" spans="1:18" ht="15.75" customHeight="1" x14ac:dyDescent="0.2">
      <c r="A776">
        <v>625</v>
      </c>
      <c r="B776" s="6" t="s">
        <v>498</v>
      </c>
      <c r="C776" s="6" t="s">
        <v>499</v>
      </c>
      <c r="D776" s="7"/>
      <c r="E776" s="6" t="s">
        <v>495</v>
      </c>
      <c r="F776" s="1">
        <v>0.7</v>
      </c>
      <c r="G776" s="4">
        <v>34</v>
      </c>
      <c r="H776" s="4">
        <v>5.6</v>
      </c>
      <c r="I776" s="4"/>
      <c r="J776" s="4">
        <v>5.3</v>
      </c>
      <c r="K776" s="14"/>
      <c r="L776" s="14">
        <v>66</v>
      </c>
      <c r="M776" s="21">
        <f>1-AVERAGE(N776:R776)</f>
        <v>0.31250116513157589</v>
      </c>
      <c r="N776" s="20">
        <f>ABS($D$2-F776)/F776</f>
        <v>0.17142857142857126</v>
      </c>
      <c r="O776" s="20">
        <f>ABS($E$2-G776)/G776</f>
        <v>0.14705882352941177</v>
      </c>
      <c r="P776" s="20">
        <f>ABS($F$2-H776)/H776</f>
        <v>0.10714285714285725</v>
      </c>
      <c r="Q776" s="20">
        <f>ABS($H$2-J776)/J776</f>
        <v>2.8679245283018866</v>
      </c>
      <c r="R776" s="20">
        <f>ABS($J$2-L776)/L776</f>
        <v>0.14393939393939395</v>
      </c>
    </row>
    <row r="777" spans="1:18" ht="15.75" customHeight="1" x14ac:dyDescent="0.2">
      <c r="A777">
        <v>94</v>
      </c>
      <c r="B777" s="1" t="s">
        <v>98</v>
      </c>
      <c r="C777" s="1" t="s">
        <v>99</v>
      </c>
      <c r="D777" s="2"/>
      <c r="E777" s="6" t="s">
        <v>40</v>
      </c>
      <c r="F777" s="3">
        <f>(1.34+1.91)/2</f>
        <v>1.625</v>
      </c>
      <c r="G777" s="3">
        <f>(31+35)/2</f>
        <v>33</v>
      </c>
      <c r="H777" s="3">
        <f>(15.8+16.6)/2</f>
        <v>16.200000000000003</v>
      </c>
      <c r="I777" s="3"/>
      <c r="J777" s="3">
        <f>(7+7.4)/2</f>
        <v>7.2</v>
      </c>
      <c r="K777" s="3"/>
      <c r="L777" s="3">
        <f>(60+64)/2</f>
        <v>62</v>
      </c>
      <c r="M777" s="21">
        <f>1-AVERAGE(N777:R777)</f>
        <v>0.31069256947751567</v>
      </c>
      <c r="N777" s="20">
        <f>ABS($D$2-F777)/F777</f>
        <v>0.64307692307692299</v>
      </c>
      <c r="O777" s="20">
        <f>ABS($E$2-G777)/G777</f>
        <v>0.12121212121212122</v>
      </c>
      <c r="P777" s="20">
        <f>ABS($F$2-H777)/H777</f>
        <v>0.61728395061728403</v>
      </c>
      <c r="Q777" s="20">
        <f>ABS($H$2-J777)/J777</f>
        <v>1.8472222222222223</v>
      </c>
      <c r="R777" s="20">
        <f>ABS($J$2-L777)/L777</f>
        <v>0.21774193548387097</v>
      </c>
    </row>
    <row r="778" spans="1:18" ht="15.75" customHeight="1" x14ac:dyDescent="0.2">
      <c r="A778">
        <v>149</v>
      </c>
      <c r="B778" s="1" t="s">
        <v>129</v>
      </c>
      <c r="C778" s="1"/>
      <c r="D778" s="2"/>
      <c r="E778" s="6" t="s">
        <v>41</v>
      </c>
      <c r="F778" s="3">
        <f>(1+1.07)/2</f>
        <v>1.0350000000000001</v>
      </c>
      <c r="G778" s="3">
        <v>36</v>
      </c>
      <c r="H778" s="3">
        <v>8.1999999999999993</v>
      </c>
      <c r="I778" s="3"/>
      <c r="J778" s="3">
        <v>7.1</v>
      </c>
      <c r="K778" s="3"/>
      <c r="L778" s="3"/>
      <c r="M778" s="21">
        <f>1-AVERAGE(N778:R778)</f>
        <v>0.30867891157478633</v>
      </c>
      <c r="N778" s="20">
        <f>ABS($D$2-F778)/F778</f>
        <v>0.43961352657004832</v>
      </c>
      <c r="O778" s="20">
        <f>ABS($E$2-G778)/G778</f>
        <v>0.19444444444444445</v>
      </c>
      <c r="P778" s="20">
        <f>ABS($F$2-H778)/H778</f>
        <v>0.24390243902439016</v>
      </c>
      <c r="Q778" s="20">
        <f>ABS($H$2-J778)/J778</f>
        <v>1.887323943661972</v>
      </c>
      <c r="R778" s="20"/>
    </row>
    <row r="779" spans="1:18" ht="15.75" customHeight="1" x14ac:dyDescent="0.2">
      <c r="A779">
        <v>250</v>
      </c>
      <c r="B779" s="9" t="s">
        <v>208</v>
      </c>
      <c r="E779" s="6" t="s">
        <v>40</v>
      </c>
      <c r="F779" s="3">
        <f>(0.27+0.31)/2</f>
        <v>0.29000000000000004</v>
      </c>
      <c r="G779" s="3">
        <f>(14+15)/2</f>
        <v>14.5</v>
      </c>
      <c r="H779" s="3">
        <f>(3.7+4.3)/2</f>
        <v>4</v>
      </c>
      <c r="I779" s="3"/>
      <c r="J779" s="3">
        <f>(12+13)/2</f>
        <v>12.5</v>
      </c>
      <c r="K779" s="3"/>
      <c r="L779" s="3">
        <f>(58+61)/2</f>
        <v>59.5</v>
      </c>
      <c r="M779" s="21">
        <f>1-AVERAGE(N779:R779)</f>
        <v>0.30821848739495805</v>
      </c>
      <c r="N779" s="20">
        <f>ABS($D$2-F779)/F779</f>
        <v>1</v>
      </c>
      <c r="O779" s="20">
        <f>ABS($E$2-G779)/G779</f>
        <v>1</v>
      </c>
      <c r="P779" s="20">
        <f>ABS($F$2-H779)/H779</f>
        <v>0.55000000000000004</v>
      </c>
      <c r="Q779" s="20">
        <f>ABS($H$2-J779)/J779</f>
        <v>0.64</v>
      </c>
      <c r="R779" s="20">
        <f>ABS($J$2-L779)/L779</f>
        <v>0.26890756302521007</v>
      </c>
    </row>
    <row r="780" spans="1:18" ht="15.75" customHeight="1" x14ac:dyDescent="0.2">
      <c r="A780">
        <v>273</v>
      </c>
      <c r="B780" s="9" t="s">
        <v>221</v>
      </c>
      <c r="E780" s="6" t="s">
        <v>41</v>
      </c>
      <c r="F780" s="3">
        <f>(0.65+0.84)/2</f>
        <v>0.745</v>
      </c>
      <c r="G780" s="3">
        <f>(26+30)/2</f>
        <v>28</v>
      </c>
      <c r="H780" s="3">
        <f>(5.6+6)/2</f>
        <v>5.8</v>
      </c>
      <c r="I780" s="3"/>
      <c r="J780" s="3">
        <f>(5.7+6.2)/2</f>
        <v>5.95</v>
      </c>
      <c r="K780" s="3"/>
      <c r="L780" s="3"/>
      <c r="M780" s="21">
        <f>1-AVERAGE(N780:R780)</f>
        <v>0.30711638392917917</v>
      </c>
      <c r="N780" s="20">
        <f>ABS($D$2-F780)/F780</f>
        <v>0.221476510067114</v>
      </c>
      <c r="O780" s="20">
        <f>ABS($E$2-G780)/G780</f>
        <v>3.5714285714285712E-2</v>
      </c>
      <c r="P780" s="20">
        <f>ABS($F$2-H780)/H780</f>
        <v>6.8965517241379379E-2</v>
      </c>
      <c r="Q780" s="20">
        <f>ABS($H$2-J780)/J780</f>
        <v>2.4453781512605044</v>
      </c>
      <c r="R780" s="20"/>
    </row>
    <row r="781" spans="1:18" ht="15.75" customHeight="1" x14ac:dyDescent="0.2">
      <c r="A781">
        <v>121</v>
      </c>
      <c r="B781" s="1" t="s">
        <v>113</v>
      </c>
      <c r="C781" s="1"/>
      <c r="D781" s="2"/>
      <c r="E781" s="6" t="s">
        <v>41</v>
      </c>
      <c r="F781" s="3">
        <f>(0.36+0.4)/2</f>
        <v>0.38</v>
      </c>
      <c r="G781" s="3">
        <f>(18.9+19.7)/2</f>
        <v>19.299999999999997</v>
      </c>
      <c r="H781" s="3">
        <f>(13.2+13.7)/2</f>
        <v>13.45</v>
      </c>
      <c r="I781" s="3"/>
      <c r="J781" s="3">
        <v>9.3000000000000007</v>
      </c>
      <c r="K781" s="3"/>
      <c r="L781" s="3"/>
      <c r="M781" s="21">
        <f>1-AVERAGE(N781:R781)</f>
        <v>0.30693975110832461</v>
      </c>
      <c r="N781" s="20">
        <f>ABS($D$2-F781)/F781</f>
        <v>0.5263157894736844</v>
      </c>
      <c r="O781" s="20">
        <f>ABS($E$2-G781)/G781</f>
        <v>0.50259067357512976</v>
      </c>
      <c r="P781" s="20">
        <f>ABS($F$2-H781)/H781</f>
        <v>0.53903345724907059</v>
      </c>
      <c r="Q781" s="20">
        <f>ABS($H$2-J781)/J781</f>
        <v>1.204301075268817</v>
      </c>
      <c r="R781" s="20"/>
    </row>
    <row r="782" spans="1:18" ht="15.75" customHeight="1" x14ac:dyDescent="0.2">
      <c r="A782">
        <v>453</v>
      </c>
      <c r="B782" s="9" t="s">
        <v>356</v>
      </c>
      <c r="E782" s="6" t="s">
        <v>40</v>
      </c>
      <c r="F782" s="3">
        <f>(2.1+2.5)/2</f>
        <v>2.2999999999999998</v>
      </c>
      <c r="G782" s="3">
        <f>(62+66)/2</f>
        <v>64</v>
      </c>
      <c r="H782" s="3">
        <f>(5+5.5)/2</f>
        <v>5.25</v>
      </c>
      <c r="I782" s="3"/>
      <c r="J782" s="3">
        <f>(31+32)/2</f>
        <v>31.5</v>
      </c>
      <c r="K782" s="3"/>
      <c r="L782" s="3">
        <f>(28+29)/2</f>
        <v>28.5</v>
      </c>
      <c r="M782" s="21">
        <f>1-AVERAGE(N782:R782)</f>
        <v>0.30520347517344093</v>
      </c>
      <c r="N782" s="20">
        <f>ABS($D$2-F782)/F782</f>
        <v>0.74782608695652164</v>
      </c>
      <c r="O782" s="20">
        <f>ABS($E$2-G782)/G782</f>
        <v>0.546875</v>
      </c>
      <c r="P782" s="20">
        <f>ABS($F$2-H782)/H782</f>
        <v>0.18095238095238098</v>
      </c>
      <c r="Q782" s="20">
        <f>ABS($H$2-J782)/J782</f>
        <v>0.34920634920634919</v>
      </c>
      <c r="R782" s="20">
        <f>ABS($J$2-L782)/L782</f>
        <v>1.6491228070175439</v>
      </c>
    </row>
    <row r="783" spans="1:18" ht="15.75" customHeight="1" x14ac:dyDescent="0.2">
      <c r="A783">
        <v>332</v>
      </c>
      <c r="B783" s="9" t="s">
        <v>262</v>
      </c>
      <c r="E783" s="6" t="s">
        <v>41</v>
      </c>
      <c r="F783" s="3">
        <f>(0.62+0.76)/2</f>
        <v>0.69</v>
      </c>
      <c r="G783" s="3">
        <f>(21.1+25.4)/2</f>
        <v>23.25</v>
      </c>
      <c r="H783" s="3">
        <f>(7.85+9.4)/2</f>
        <v>8.625</v>
      </c>
      <c r="I783" s="3"/>
      <c r="J783" s="3">
        <f>(6.3+6.95)/2</f>
        <v>6.625</v>
      </c>
      <c r="K783" s="3"/>
      <c r="L783" s="3"/>
      <c r="M783" s="21">
        <f>1-AVERAGE(N783:R783)</f>
        <v>0.30444220981414349</v>
      </c>
      <c r="N783" s="20">
        <f>ABS($D$2-F783)/F783</f>
        <v>0.15942028985507228</v>
      </c>
      <c r="O783" s="20">
        <f>ABS($E$2-G783)/G783</f>
        <v>0.24731182795698925</v>
      </c>
      <c r="P783" s="20">
        <f>ABS($F$2-H783)/H783</f>
        <v>0.28115942028985508</v>
      </c>
      <c r="Q783" s="20">
        <f>ABS($H$2-J783)/J783</f>
        <v>2.0943396226415096</v>
      </c>
      <c r="R783" s="20"/>
    </row>
    <row r="784" spans="1:18" ht="15.75" customHeight="1" x14ac:dyDescent="0.2">
      <c r="A784">
        <v>147</v>
      </c>
      <c r="B784" s="1" t="s">
        <v>127</v>
      </c>
      <c r="C784" s="1" t="s">
        <v>128</v>
      </c>
      <c r="D784" s="2"/>
      <c r="E784" s="6" t="s">
        <v>41</v>
      </c>
      <c r="F784" s="3">
        <f>(1.32+1.68)/2</f>
        <v>1.5</v>
      </c>
      <c r="G784" s="3">
        <f>(53+62)/2</f>
        <v>57.5</v>
      </c>
      <c r="H784" s="3">
        <f>(6.6+7.5)/2</f>
        <v>7.05</v>
      </c>
      <c r="I784" s="3"/>
      <c r="J784" s="3">
        <v>8</v>
      </c>
      <c r="K784" s="3"/>
      <c r="L784" s="3"/>
      <c r="M784" s="21">
        <f>1-AVERAGE(N784:R784)</f>
        <v>0.30198677921677464</v>
      </c>
      <c r="N784" s="20">
        <f>ABS($D$2-F784)/F784</f>
        <v>0.61333333333333329</v>
      </c>
      <c r="O784" s="20">
        <f>ABS($E$2-G784)/G784</f>
        <v>0.4956521739130435</v>
      </c>
      <c r="P784" s="20">
        <f>ABS($F$2-H784)/H784</f>
        <v>0.12056737588652477</v>
      </c>
      <c r="Q784" s="20">
        <f>ABS($H$2-J784)/J784</f>
        <v>1.5625</v>
      </c>
      <c r="R784" s="20"/>
    </row>
    <row r="785" spans="1:18" ht="15.75" customHeight="1" x14ac:dyDescent="0.2">
      <c r="A785">
        <v>399</v>
      </c>
      <c r="B785" s="9" t="s">
        <v>319</v>
      </c>
      <c r="E785" s="6" t="s">
        <v>41</v>
      </c>
      <c r="F785" s="3">
        <f>(1.41+2.05)/2</f>
        <v>1.73</v>
      </c>
      <c r="G785" s="3">
        <f>(27+31)/2</f>
        <v>29</v>
      </c>
      <c r="H785" s="3">
        <f>(5.3+5.6)/2</f>
        <v>5.4499999999999993</v>
      </c>
      <c r="I785" s="3"/>
      <c r="J785" s="3">
        <f>(6.5+7.2)/2</f>
        <v>6.85</v>
      </c>
      <c r="K785" s="10"/>
      <c r="L785" s="10"/>
      <c r="M785" s="21">
        <f>1-AVERAGE(N785:R785)</f>
        <v>0.30123617669521163</v>
      </c>
      <c r="N785" s="20">
        <f>ABS($D$2-F785)/F785</f>
        <v>0.66473988439306353</v>
      </c>
      <c r="O785" s="20">
        <f>ABS($E$2-G785)/G785</f>
        <v>0</v>
      </c>
      <c r="P785" s="20">
        <f>ABS($F$2-H785)/H785</f>
        <v>0.13761467889908274</v>
      </c>
      <c r="Q785" s="20">
        <f>ABS($H$2-J785)/J785</f>
        <v>1.9927007299270074</v>
      </c>
      <c r="R785" s="20"/>
    </row>
    <row r="786" spans="1:18" ht="15.75" customHeight="1" x14ac:dyDescent="0.2">
      <c r="A786">
        <v>459</v>
      </c>
      <c r="B786" s="9" t="s">
        <v>359</v>
      </c>
      <c r="E786" s="6" t="s">
        <v>41</v>
      </c>
      <c r="F786" s="3">
        <v>5.3</v>
      </c>
      <c r="G786" s="3">
        <v>79</v>
      </c>
      <c r="H786" s="3">
        <v>12</v>
      </c>
      <c r="I786" s="3"/>
      <c r="J786" s="3">
        <v>105</v>
      </c>
      <c r="K786" s="10"/>
      <c r="L786" s="10"/>
      <c r="M786" s="21">
        <f>1-AVERAGE(N786:R786)</f>
        <v>0.2971068329409623</v>
      </c>
      <c r="N786" s="20">
        <f>ABS($D$2-F786)/F786</f>
        <v>0.89056603773584908</v>
      </c>
      <c r="O786" s="20">
        <f>ABS($E$2-G786)/G786</f>
        <v>0.63291139240506333</v>
      </c>
      <c r="P786" s="20">
        <f>ABS($F$2-H786)/H786</f>
        <v>0.48333333333333334</v>
      </c>
      <c r="Q786" s="20">
        <f>ABS($H$2-J786)/J786</f>
        <v>0.80476190476190479</v>
      </c>
      <c r="R786" s="20"/>
    </row>
    <row r="787" spans="1:18" ht="15.75" customHeight="1" x14ac:dyDescent="0.2">
      <c r="A787">
        <v>311</v>
      </c>
      <c r="B787" s="9" t="s">
        <v>245</v>
      </c>
      <c r="E787" s="6" t="s">
        <v>41</v>
      </c>
      <c r="F787" s="3">
        <f>(1.04+1.07)/2</f>
        <v>1.0550000000000002</v>
      </c>
      <c r="G787" s="3">
        <f>(27+28)/2</f>
        <v>27.5</v>
      </c>
      <c r="H787" s="3">
        <f>(6.1+6.7)/2</f>
        <v>6.4</v>
      </c>
      <c r="I787" s="3"/>
      <c r="J787" s="3">
        <f>(6.2+6.3)/2</f>
        <v>6.25</v>
      </c>
      <c r="K787" s="3"/>
      <c r="L787" s="3"/>
      <c r="M787" s="21">
        <f>1-AVERAGE(N787:R787)</f>
        <v>0.29599189465747533</v>
      </c>
      <c r="N787" s="20">
        <f>ABS($D$2-F787)/F787</f>
        <v>0.45023696682464459</v>
      </c>
      <c r="O787" s="20">
        <f>ABS($E$2-G787)/G787</f>
        <v>5.4545454545454543E-2</v>
      </c>
      <c r="P787" s="20">
        <f>ABS($F$2-H787)/H787</f>
        <v>3.1250000000000028E-2</v>
      </c>
      <c r="Q787" s="20">
        <f>ABS($H$2-J787)/J787</f>
        <v>2.2799999999999998</v>
      </c>
      <c r="R787" s="20"/>
    </row>
    <row r="788" spans="1:18" ht="15.75" customHeight="1" x14ac:dyDescent="0.2">
      <c r="A788">
        <v>722</v>
      </c>
      <c r="B788" s="1" t="s">
        <v>573</v>
      </c>
      <c r="C788" s="1" t="s">
        <v>574</v>
      </c>
      <c r="D788" s="2"/>
      <c r="E788" s="6" t="s">
        <v>482</v>
      </c>
      <c r="F788" s="1">
        <v>0.34</v>
      </c>
      <c r="G788" s="4">
        <v>29</v>
      </c>
      <c r="H788" s="4">
        <v>4</v>
      </c>
      <c r="I788" s="4"/>
      <c r="J788" s="4">
        <v>8</v>
      </c>
      <c r="K788" s="4"/>
      <c r="L788" s="4"/>
      <c r="M788" s="21">
        <f>1-AVERAGE(N788:R788)</f>
        <v>0.29540441176470589</v>
      </c>
      <c r="N788" s="20">
        <f>ABS($D$2-F788)/F788</f>
        <v>0.70588235294117652</v>
      </c>
      <c r="O788" s="20">
        <f>ABS($E$2-G788)/G788</f>
        <v>0</v>
      </c>
      <c r="P788" s="20">
        <f>ABS($F$2-H788)/H788</f>
        <v>0.55000000000000004</v>
      </c>
      <c r="Q788" s="20">
        <f>ABS($H$2-J788)/J788</f>
        <v>1.5625</v>
      </c>
      <c r="R788" s="20"/>
    </row>
    <row r="789" spans="1:18" ht="15.75" customHeight="1" x14ac:dyDescent="0.2">
      <c r="A789">
        <v>222</v>
      </c>
      <c r="B789" s="9" t="s">
        <v>189</v>
      </c>
      <c r="E789" s="6" t="s">
        <v>41</v>
      </c>
      <c r="F789" s="3">
        <f>(1.12+1.15)/2</f>
        <v>1.135</v>
      </c>
      <c r="G789" s="3">
        <v>16</v>
      </c>
      <c r="H789" s="3">
        <f>(7+8)/2</f>
        <v>7.5</v>
      </c>
      <c r="I789" s="3"/>
      <c r="J789" s="3">
        <f>(8+9.4)/2</f>
        <v>8.6999999999999993</v>
      </c>
      <c r="K789" s="3"/>
      <c r="L789" s="3"/>
      <c r="M789" s="21">
        <f>1-AVERAGE(N789:R789)</f>
        <v>0.29221451086130945</v>
      </c>
      <c r="N789" s="20">
        <f>ABS($D$2-F789)/F789</f>
        <v>0.48898678414096908</v>
      </c>
      <c r="O789" s="20">
        <f>ABS($E$2-G789)/G789</f>
        <v>0.8125</v>
      </c>
      <c r="P789" s="20">
        <f>ABS($F$2-H789)/H789</f>
        <v>0.17333333333333331</v>
      </c>
      <c r="Q789" s="20">
        <f>ABS($H$2-J789)/J789</f>
        <v>1.3563218390804599</v>
      </c>
      <c r="R789" s="20"/>
    </row>
    <row r="790" spans="1:18" ht="15.75" customHeight="1" x14ac:dyDescent="0.2">
      <c r="A790">
        <v>516</v>
      </c>
      <c r="B790" s="9" t="s">
        <v>405</v>
      </c>
      <c r="E790" s="6" t="s">
        <v>40</v>
      </c>
      <c r="F790" s="3">
        <v>0.53</v>
      </c>
      <c r="G790" s="3">
        <v>15</v>
      </c>
      <c r="H790" s="3">
        <v>3</v>
      </c>
      <c r="I790" s="3"/>
      <c r="J790" s="3">
        <v>10</v>
      </c>
      <c r="K790" s="3"/>
      <c r="L790" s="3">
        <v>54</v>
      </c>
      <c r="M790" s="21">
        <f>1-AVERAGE(N790:R790)</f>
        <v>0.29150244584206852</v>
      </c>
      <c r="N790" s="20">
        <f>ABS($D$2-F790)/F790</f>
        <v>9.433962264150951E-2</v>
      </c>
      <c r="O790" s="20">
        <f>ABS($E$2-G790)/G790</f>
        <v>0.93333333333333335</v>
      </c>
      <c r="P790" s="20">
        <f>ABS($F$2-H790)/H790</f>
        <v>1.0666666666666667</v>
      </c>
      <c r="Q790" s="20">
        <f>ABS($H$2-J790)/J790</f>
        <v>1.05</v>
      </c>
      <c r="R790" s="20">
        <f>ABS($J$2-L790)/L790</f>
        <v>0.39814814814814814</v>
      </c>
    </row>
    <row r="791" spans="1:18" ht="15.75" customHeight="1" x14ac:dyDescent="0.2">
      <c r="A791">
        <v>181</v>
      </c>
      <c r="B791" s="1" t="s">
        <v>154</v>
      </c>
      <c r="C791" s="1" t="s">
        <v>155</v>
      </c>
      <c r="D791" s="2"/>
      <c r="E791" s="6" t="s">
        <v>40</v>
      </c>
      <c r="F791" s="3">
        <f>(0.84+1.39)/2</f>
        <v>1.115</v>
      </c>
      <c r="G791" s="3">
        <f>(12+19)/2</f>
        <v>15.5</v>
      </c>
      <c r="H791" s="3">
        <f>(9.7+13)/2</f>
        <v>11.35</v>
      </c>
      <c r="I791" s="3"/>
      <c r="J791" s="3">
        <f>(7.7+12)/2</f>
        <v>9.85</v>
      </c>
      <c r="K791" s="3"/>
      <c r="L791" s="3">
        <f>(44+47)/2</f>
        <v>45.5</v>
      </c>
      <c r="M791" s="21">
        <f>1-AVERAGE(N791:R791)</f>
        <v>0.2909816406834842</v>
      </c>
      <c r="N791" s="20">
        <f>ABS($D$2-F791)/F791</f>
        <v>0.47982062780269052</v>
      </c>
      <c r="O791" s="20">
        <f>ABS($E$2-G791)/G791</f>
        <v>0.87096774193548387</v>
      </c>
      <c r="P791" s="20">
        <f>ABS($F$2-H791)/H791</f>
        <v>0.45374449339207046</v>
      </c>
      <c r="Q791" s="20">
        <f>ABS($H$2-J791)/J791</f>
        <v>1.0812182741116751</v>
      </c>
      <c r="R791" s="20">
        <f>ABS($J$2-L791)/L791</f>
        <v>0.65934065934065933</v>
      </c>
    </row>
    <row r="792" spans="1:18" ht="15.75" customHeight="1" x14ac:dyDescent="0.2">
      <c r="A792">
        <v>849</v>
      </c>
      <c r="B792" s="1" t="s">
        <v>681</v>
      </c>
      <c r="C792" s="1" t="s">
        <v>682</v>
      </c>
      <c r="D792" s="2"/>
      <c r="E792" s="6" t="s">
        <v>495</v>
      </c>
      <c r="F792" s="1">
        <v>1.8</v>
      </c>
      <c r="G792" s="4">
        <v>30</v>
      </c>
      <c r="H792" s="4">
        <v>4</v>
      </c>
      <c r="I792" s="4"/>
      <c r="J792" s="4">
        <v>7.2</v>
      </c>
      <c r="K792" s="4"/>
      <c r="L792" s="4">
        <v>52</v>
      </c>
      <c r="M792" s="21">
        <f>1-AVERAGE(N792:R792)</f>
        <v>0.2879487179487179</v>
      </c>
      <c r="N792" s="20">
        <f>ABS($D$2-F792)/F792</f>
        <v>0.6777777777777777</v>
      </c>
      <c r="O792" s="20">
        <f>ABS($E$2-G792)/G792</f>
        <v>3.3333333333333333E-2</v>
      </c>
      <c r="P792" s="20">
        <f>ABS($F$2-H792)/H792</f>
        <v>0.55000000000000004</v>
      </c>
      <c r="Q792" s="20">
        <f>ABS($H$2-J792)/J792</f>
        <v>1.8472222222222223</v>
      </c>
      <c r="R792" s="20">
        <f>ABS($J$2-L792)/L792</f>
        <v>0.45192307692307693</v>
      </c>
    </row>
    <row r="793" spans="1:18" ht="15.75" customHeight="1" x14ac:dyDescent="0.2">
      <c r="A793">
        <v>452</v>
      </c>
      <c r="B793" s="9" t="s">
        <v>355</v>
      </c>
      <c r="E793" s="6" t="s">
        <v>41</v>
      </c>
      <c r="F793" s="3">
        <f>(5.9+7.5)/2</f>
        <v>6.7</v>
      </c>
      <c r="G793" s="3">
        <f>(62+83)/2</f>
        <v>72.5</v>
      </c>
      <c r="H793" s="3">
        <f>(11+16)/2</f>
        <v>13.5</v>
      </c>
      <c r="I793" s="3"/>
      <c r="J793" s="3">
        <f>(76+124)/2</f>
        <v>100</v>
      </c>
      <c r="K793" s="10"/>
      <c r="L793" s="10"/>
      <c r="M793" s="21">
        <f>1-AVERAGE(N793:R793)</f>
        <v>0.28770660585959096</v>
      </c>
      <c r="N793" s="20">
        <f>ABS($D$2-F793)/F793</f>
        <v>0.91343283582089552</v>
      </c>
      <c r="O793" s="20">
        <f>ABS($E$2-G793)/G793</f>
        <v>0.6</v>
      </c>
      <c r="P793" s="20">
        <f>ABS($F$2-H793)/H793</f>
        <v>0.54074074074074074</v>
      </c>
      <c r="Q793" s="20">
        <f>ABS($H$2-J793)/J793</f>
        <v>0.79500000000000004</v>
      </c>
      <c r="R793" s="20"/>
    </row>
    <row r="794" spans="1:18" ht="15.75" customHeight="1" x14ac:dyDescent="0.2">
      <c r="A794">
        <v>623</v>
      </c>
      <c r="B794" s="6" t="s">
        <v>39</v>
      </c>
      <c r="C794" s="6" t="s">
        <v>494</v>
      </c>
      <c r="D794" s="7"/>
      <c r="E794" s="6" t="s">
        <v>482</v>
      </c>
      <c r="F794" s="1">
        <v>0.8</v>
      </c>
      <c r="G794" s="12">
        <v>35</v>
      </c>
      <c r="H794" s="4">
        <v>5.8</v>
      </c>
      <c r="I794" s="4"/>
      <c r="J794" s="4">
        <v>6.1</v>
      </c>
      <c r="K794" s="4"/>
      <c r="L794" s="4"/>
      <c r="M794" s="21">
        <f>1-AVERAGE(N794:R794)</f>
        <v>0.28098754340628274</v>
      </c>
      <c r="N794" s="20">
        <f>ABS($D$2-F794)/F794</f>
        <v>0.27499999999999997</v>
      </c>
      <c r="O794" s="20">
        <f>ABS($E$2-G794)/G794</f>
        <v>0.17142857142857143</v>
      </c>
      <c r="P794" s="20">
        <f>ABS($F$2-H794)/H794</f>
        <v>6.8965517241379379E-2</v>
      </c>
      <c r="Q794" s="20">
        <f>ABS($H$2-J794)/J794</f>
        <v>2.3606557377049184</v>
      </c>
      <c r="R794" s="20"/>
    </row>
    <row r="795" spans="1:18" ht="15.75" customHeight="1" x14ac:dyDescent="0.2">
      <c r="A795">
        <v>398</v>
      </c>
      <c r="B795" s="9" t="s">
        <v>319</v>
      </c>
      <c r="E795" s="6" t="s">
        <v>40</v>
      </c>
      <c r="F795" s="3">
        <f>(1.32+1.42)/2</f>
        <v>1.37</v>
      </c>
      <c r="G795" s="3">
        <f>(25+26)/2</f>
        <v>25.5</v>
      </c>
      <c r="H795" s="3">
        <f>(4.7+5.3)/2</f>
        <v>5</v>
      </c>
      <c r="I795" s="3"/>
      <c r="J795" s="3">
        <f>(6+6.8)/2</f>
        <v>6.4</v>
      </c>
      <c r="K795" s="3"/>
      <c r="L795" s="3">
        <f>(50+55)/2</f>
        <v>52.5</v>
      </c>
      <c r="M795" s="21">
        <f>1-AVERAGE(N795:R795)</f>
        <v>0.28097650483551084</v>
      </c>
      <c r="N795" s="20">
        <f>ABS($D$2-F795)/F795</f>
        <v>0.57664233576642332</v>
      </c>
      <c r="O795" s="20">
        <f>ABS($E$2-G795)/G795</f>
        <v>0.13725490196078433</v>
      </c>
      <c r="P795" s="20">
        <f>ABS($F$2-H795)/H795</f>
        <v>0.24000000000000005</v>
      </c>
      <c r="Q795" s="20">
        <f>ABS($H$2-J795)/J795</f>
        <v>2.203125</v>
      </c>
      <c r="R795" s="20">
        <f>ABS($J$2-L795)/L795</f>
        <v>0.43809523809523809</v>
      </c>
    </row>
    <row r="796" spans="1:18" ht="15.75" customHeight="1" x14ac:dyDescent="0.2">
      <c r="A796">
        <v>206</v>
      </c>
      <c r="B796" s="1" t="s">
        <v>173</v>
      </c>
      <c r="C796" s="1" t="s">
        <v>174</v>
      </c>
      <c r="D796" s="2"/>
      <c r="E796" s="6" t="s">
        <v>41</v>
      </c>
      <c r="F796" s="3">
        <f>(1.27+1.53)/2</f>
        <v>1.4</v>
      </c>
      <c r="G796" s="3">
        <f>(20+21)/2</f>
        <v>20.5</v>
      </c>
      <c r="H796" s="3">
        <f>(6.2+8.1)/2</f>
        <v>7.15</v>
      </c>
      <c r="I796" s="3"/>
      <c r="J796" s="3">
        <f>(6.8+8.1)/2</f>
        <v>7.4499999999999993</v>
      </c>
      <c r="K796" s="3"/>
      <c r="L796" s="3"/>
      <c r="M796" s="21">
        <f>1-AVERAGE(N796:R796)</f>
        <v>0.27877664568203109</v>
      </c>
      <c r="N796" s="20">
        <f>ABS($D$2-F796)/F796</f>
        <v>0.58571428571428563</v>
      </c>
      <c r="O796" s="20">
        <f>ABS($E$2-G796)/G796</f>
        <v>0.41463414634146339</v>
      </c>
      <c r="P796" s="20">
        <f>ABS($F$2-H796)/H796</f>
        <v>0.13286713286713289</v>
      </c>
      <c r="Q796" s="20">
        <f>ABS($H$2-J796)/J796</f>
        <v>1.7516778523489935</v>
      </c>
      <c r="R796" s="20"/>
    </row>
    <row r="797" spans="1:18" ht="15.75" customHeight="1" x14ac:dyDescent="0.2">
      <c r="A797">
        <v>660</v>
      </c>
      <c r="B797" s="9" t="s">
        <v>526</v>
      </c>
      <c r="C797" s="1" t="s">
        <v>527</v>
      </c>
      <c r="D797" s="2"/>
      <c r="E797" s="6" t="s">
        <v>482</v>
      </c>
      <c r="F797" s="1">
        <v>0.9</v>
      </c>
      <c r="G797" s="4">
        <v>40</v>
      </c>
      <c r="H797" s="4">
        <v>6.1</v>
      </c>
      <c r="I797" s="4"/>
      <c r="J797" s="4">
        <v>6.3</v>
      </c>
      <c r="K797" s="4"/>
      <c r="L797" s="4"/>
      <c r="M797" s="21">
        <f>1-AVERAGE(N797:R797)</f>
        <v>0.27477068696330986</v>
      </c>
      <c r="N797" s="20">
        <f>ABS($D$2-F797)/F797</f>
        <v>0.35555555555555551</v>
      </c>
      <c r="O797" s="20">
        <f>ABS($E$2-G797)/G797</f>
        <v>0.27500000000000002</v>
      </c>
      <c r="P797" s="20">
        <f>ABS($F$2-H797)/H797</f>
        <v>1.6393442622950907E-2</v>
      </c>
      <c r="Q797" s="20">
        <f>ABS($H$2-J797)/J797</f>
        <v>2.253968253968254</v>
      </c>
      <c r="R797" s="20"/>
    </row>
    <row r="798" spans="1:18" ht="15.75" customHeight="1" x14ac:dyDescent="0.2">
      <c r="A798">
        <v>6</v>
      </c>
      <c r="B798" s="6" t="s">
        <v>44</v>
      </c>
      <c r="C798" s="6"/>
      <c r="D798" s="7"/>
      <c r="E798" s="6" t="s">
        <v>41</v>
      </c>
      <c r="F798" s="3">
        <f>(1+1.2)/2</f>
        <v>1.1000000000000001</v>
      </c>
      <c r="G798" s="3">
        <f>(32+36)/2</f>
        <v>34</v>
      </c>
      <c r="H798" s="3">
        <f>(6+6.8)/2</f>
        <v>6.4</v>
      </c>
      <c r="I798" s="3"/>
      <c r="J798" s="3">
        <f>(6+6.6)/2</f>
        <v>6.3</v>
      </c>
      <c r="K798" s="3"/>
      <c r="L798" s="3"/>
      <c r="M798" s="21">
        <f>1-AVERAGE(N798:R798)</f>
        <v>0.27374891244376542</v>
      </c>
      <c r="N798" s="20">
        <f>ABS($D$2-F798)/F798</f>
        <v>0.47272727272727272</v>
      </c>
      <c r="O798" s="20">
        <f>ABS($E$2-G798)/G798</f>
        <v>0.14705882352941177</v>
      </c>
      <c r="P798" s="20">
        <f>ABS($F$2-H798)/H798</f>
        <v>3.1250000000000028E-2</v>
      </c>
      <c r="Q798" s="20">
        <f>ABS($H$2-J798)/J798</f>
        <v>2.253968253968254</v>
      </c>
      <c r="R798" s="20"/>
    </row>
    <row r="799" spans="1:18" ht="15.75" customHeight="1" x14ac:dyDescent="0.2">
      <c r="A799">
        <v>279</v>
      </c>
      <c r="B799" s="9" t="s">
        <v>226</v>
      </c>
      <c r="E799" s="6" t="s">
        <v>40</v>
      </c>
      <c r="F799" s="3">
        <f>(0.59+0.77)/2</f>
        <v>0.67999999999999994</v>
      </c>
      <c r="G799" s="3">
        <f>(22+24)/2</f>
        <v>23</v>
      </c>
      <c r="H799" s="3">
        <f>(4.9+5.7)/2</f>
        <v>5.3000000000000007</v>
      </c>
      <c r="I799" s="3"/>
      <c r="J799" s="3">
        <f>(5.1+6.1)/2</f>
        <v>5.6</v>
      </c>
      <c r="K799" s="3"/>
      <c r="L799" s="3">
        <f>(52+55)/2</f>
        <v>53.5</v>
      </c>
      <c r="M799" s="21">
        <f>1-AVERAGE(N799:R799)</f>
        <v>0.27006621030263323</v>
      </c>
      <c r="N799" s="20">
        <f>ABS($D$2-F799)/F799</f>
        <v>0.14705882352941158</v>
      </c>
      <c r="O799" s="20">
        <f>ABS($E$2-G799)/G799</f>
        <v>0.2608695652173913</v>
      </c>
      <c r="P799" s="20">
        <f>ABS($F$2-H799)/H799</f>
        <v>0.16981132075471686</v>
      </c>
      <c r="Q799" s="20">
        <f>ABS($H$2-J799)/J799</f>
        <v>2.660714285714286</v>
      </c>
      <c r="R799" s="20">
        <f>ABS($J$2-L799)/L799</f>
        <v>0.41121495327102803</v>
      </c>
    </row>
    <row r="800" spans="1:18" ht="15.75" customHeight="1" x14ac:dyDescent="0.2">
      <c r="A800">
        <v>465</v>
      </c>
      <c r="B800" s="9" t="s">
        <v>367</v>
      </c>
      <c r="E800" s="6" t="s">
        <v>40</v>
      </c>
      <c r="F800" s="3">
        <v>1.5</v>
      </c>
      <c r="G800" s="3">
        <v>35</v>
      </c>
      <c r="H800" s="3">
        <f>(2+2.5)/2</f>
        <v>2.25</v>
      </c>
      <c r="I800" s="3"/>
      <c r="J800" s="3">
        <v>71</v>
      </c>
      <c r="K800" s="3"/>
      <c r="L800" s="3">
        <v>54</v>
      </c>
      <c r="M800" s="21">
        <f>1-AVERAGE(N800:R800)</f>
        <v>0.27005335718011769</v>
      </c>
      <c r="N800" s="20">
        <f>ABS($D$2-F800)/F800</f>
        <v>0.61333333333333329</v>
      </c>
      <c r="O800" s="20">
        <f>ABS($E$2-G800)/G800</f>
        <v>0.17142857142857143</v>
      </c>
      <c r="P800" s="20">
        <f>ABS($F$2-H800)/H800</f>
        <v>1.7555555555555555</v>
      </c>
      <c r="Q800" s="20">
        <f>ABS($H$2-J800)/J800</f>
        <v>0.71126760563380287</v>
      </c>
      <c r="R800" s="20">
        <f>ABS($J$2-L800)/L800</f>
        <v>0.39814814814814814</v>
      </c>
    </row>
    <row r="801" spans="1:18" ht="15.75" customHeight="1" x14ac:dyDescent="0.2">
      <c r="A801">
        <v>507</v>
      </c>
      <c r="B801" s="9" t="s">
        <v>397</v>
      </c>
      <c r="C801" s="9" t="s">
        <v>398</v>
      </c>
      <c r="E801" s="6" t="s">
        <v>41</v>
      </c>
      <c r="F801" s="3">
        <f>(3.75+3.82)/2</f>
        <v>3.7850000000000001</v>
      </c>
      <c r="G801" s="3">
        <f>(38+46)/2</f>
        <v>42</v>
      </c>
      <c r="H801" s="3">
        <f>(4.6+5.2)/2</f>
        <v>4.9000000000000004</v>
      </c>
      <c r="I801" s="3"/>
      <c r="J801" s="3">
        <f>(5.8+10.5)/2</f>
        <v>8.15</v>
      </c>
      <c r="K801" s="10"/>
      <c r="L801" s="10"/>
      <c r="M801" s="21">
        <f>1-AVERAGE(N801:R801)</f>
        <v>0.26576727610592665</v>
      </c>
      <c r="N801" s="20">
        <f>ABS($D$2-F801)/F801</f>
        <v>0.84676354029062084</v>
      </c>
      <c r="O801" s="20">
        <f>ABS($E$2-G801)/G801</f>
        <v>0.30952380952380953</v>
      </c>
      <c r="P801" s="20">
        <f>ABS($F$2-H801)/H801</f>
        <v>0.26530612244897955</v>
      </c>
      <c r="Q801" s="20">
        <f>ABS($H$2-J801)/J801</f>
        <v>1.5153374233128833</v>
      </c>
      <c r="R801" s="20"/>
    </row>
    <row r="802" spans="1:18" ht="15.75" customHeight="1" x14ac:dyDescent="0.2">
      <c r="A802">
        <v>390</v>
      </c>
      <c r="B802" s="9" t="s">
        <v>307</v>
      </c>
      <c r="C802" s="9" t="s">
        <v>308</v>
      </c>
      <c r="E802" s="6" t="s">
        <v>40</v>
      </c>
      <c r="F802" s="3">
        <v>0.7</v>
      </c>
      <c r="G802" s="3">
        <v>28</v>
      </c>
      <c r="H802" s="3">
        <v>4.5</v>
      </c>
      <c r="I802" s="3"/>
      <c r="J802" s="3">
        <v>5.5</v>
      </c>
      <c r="K802" s="3"/>
      <c r="L802" s="3">
        <v>55</v>
      </c>
      <c r="M802" s="21">
        <f>1-AVERAGE(N802:R802)</f>
        <v>0.26301587301587304</v>
      </c>
      <c r="N802" s="20">
        <f>ABS($D$2-F802)/F802</f>
        <v>0.17142857142857126</v>
      </c>
      <c r="O802" s="20">
        <f>ABS($E$2-G802)/G802</f>
        <v>3.5714285714285712E-2</v>
      </c>
      <c r="P802" s="20">
        <f>ABS($F$2-H802)/H802</f>
        <v>0.37777777777777782</v>
      </c>
      <c r="Q802" s="20">
        <f>ABS($H$2-J802)/J802</f>
        <v>2.7272727272727271</v>
      </c>
      <c r="R802" s="20">
        <f>ABS($J$2-L802)/L802</f>
        <v>0.37272727272727274</v>
      </c>
    </row>
    <row r="803" spans="1:18" ht="15.75" customHeight="1" x14ac:dyDescent="0.2">
      <c r="A803">
        <v>261</v>
      </c>
      <c r="B803" s="9" t="s">
        <v>215</v>
      </c>
      <c r="E803" s="6" t="s">
        <v>40</v>
      </c>
      <c r="F803" s="3">
        <f>(0.7+0.85)/2</f>
        <v>0.77499999999999991</v>
      </c>
      <c r="G803" s="3">
        <f>(11+13)/2</f>
        <v>12</v>
      </c>
      <c r="H803" s="3">
        <f>(3.7+4.4)/2</f>
        <v>4.0500000000000007</v>
      </c>
      <c r="I803" s="3"/>
      <c r="J803" s="3">
        <f>(8.3+9.4)/2</f>
        <v>8.8500000000000014</v>
      </c>
      <c r="K803" s="3"/>
      <c r="L803" s="3">
        <f>(63.8+65)/2</f>
        <v>64.400000000000006</v>
      </c>
      <c r="M803" s="21">
        <f>1-AVERAGE(N803:R803)</f>
        <v>0.26242236066769964</v>
      </c>
      <c r="N803" s="20">
        <f>ABS($D$2-F803)/F803</f>
        <v>0.25161290322580626</v>
      </c>
      <c r="O803" s="20">
        <f>ABS($E$2-G803)/G803</f>
        <v>1.4166666666666667</v>
      </c>
      <c r="P803" s="20">
        <f>ABS($F$2-H803)/H803</f>
        <v>0.530864197530864</v>
      </c>
      <c r="Q803" s="20">
        <f>ABS($H$2-J803)/J803</f>
        <v>1.31638418079096</v>
      </c>
      <c r="R803" s="20">
        <f>ABS($J$2-L803)/L803</f>
        <v>0.17236024844720488</v>
      </c>
    </row>
    <row r="804" spans="1:18" ht="15.75" customHeight="1" x14ac:dyDescent="0.2">
      <c r="A804">
        <v>221</v>
      </c>
      <c r="B804" s="9" t="s">
        <v>189</v>
      </c>
      <c r="E804" s="6" t="s">
        <v>40</v>
      </c>
      <c r="F804" s="3">
        <f>(1.27+1.5)/2</f>
        <v>1.385</v>
      </c>
      <c r="G804" s="3">
        <f>(15+16)/2</f>
        <v>15.5</v>
      </c>
      <c r="H804" s="3">
        <f>(7+8.3)/2</f>
        <v>7.65</v>
      </c>
      <c r="I804" s="3"/>
      <c r="J804" s="3">
        <f>(7.3+9.6)/2</f>
        <v>8.4499999999999993</v>
      </c>
      <c r="K804" s="3"/>
      <c r="L804" s="3">
        <f>(43+50)/2</f>
        <v>46.5</v>
      </c>
      <c r="M804" s="21">
        <f>1-AVERAGE(N804:R804)</f>
        <v>0.26171418412884129</v>
      </c>
      <c r="N804" s="20">
        <f>ABS($D$2-F804)/F804</f>
        <v>0.58122743682310463</v>
      </c>
      <c r="O804" s="20">
        <f>ABS($E$2-G804)/G804</f>
        <v>0.87096774193548387</v>
      </c>
      <c r="P804" s="20">
        <f>ABS($F$2-H804)/H804</f>
        <v>0.18954248366013074</v>
      </c>
      <c r="Q804" s="20">
        <f>ABS($H$2-J804)/J804</f>
        <v>1.4260355029585801</v>
      </c>
      <c r="R804" s="20">
        <f>ABS($J$2-L804)/L804</f>
        <v>0.62365591397849462</v>
      </c>
    </row>
    <row r="805" spans="1:18" ht="15.75" customHeight="1" x14ac:dyDescent="0.2">
      <c r="A805">
        <v>154</v>
      </c>
      <c r="B805" s="1" t="s">
        <v>134</v>
      </c>
      <c r="C805" s="1" t="s">
        <v>135</v>
      </c>
      <c r="D805" s="2"/>
      <c r="E805" s="6" t="s">
        <v>40</v>
      </c>
      <c r="F805" s="3">
        <f>(0.86+1.03)/2</f>
        <v>0.94500000000000006</v>
      </c>
      <c r="G805" s="3">
        <f>(16+19)/2</f>
        <v>17.5</v>
      </c>
      <c r="H805" s="3">
        <f>(7+8.2)/2</f>
        <v>7.6</v>
      </c>
      <c r="I805" s="3"/>
      <c r="J805" s="3">
        <f>(5.4+6.6)/2</f>
        <v>6</v>
      </c>
      <c r="K805" s="3"/>
      <c r="L805" s="3">
        <f>(68+73)/2</f>
        <v>70.5</v>
      </c>
      <c r="M805" s="21">
        <f>1-AVERAGE(N805:R805)</f>
        <v>0.25696291556313966</v>
      </c>
      <c r="N805" s="20">
        <f>ABS($D$2-F805)/F805</f>
        <v>0.38624338624338622</v>
      </c>
      <c r="O805" s="20">
        <f>ABS($E$2-G805)/G805</f>
        <v>0.65714285714285714</v>
      </c>
      <c r="P805" s="20">
        <f>ABS($F$2-H805)/H805</f>
        <v>0.18421052631578941</v>
      </c>
      <c r="Q805" s="20">
        <f>ABS($H$2-J805)/J805</f>
        <v>2.4166666666666665</v>
      </c>
      <c r="R805" s="20">
        <f>ABS($J$2-L805)/L805</f>
        <v>7.0921985815602842E-2</v>
      </c>
    </row>
    <row r="806" spans="1:18" ht="15.75" customHeight="1" x14ac:dyDescent="0.2">
      <c r="A806">
        <v>281</v>
      </c>
      <c r="B806" s="9" t="s">
        <v>227</v>
      </c>
      <c r="E806" s="6" t="s">
        <v>40</v>
      </c>
      <c r="F806" s="3">
        <f>(1.4+2.3)/2</f>
        <v>1.8499999999999999</v>
      </c>
      <c r="G806" s="3">
        <f>(33+58)/2</f>
        <v>45.5</v>
      </c>
      <c r="H806" s="3">
        <f>(8.2+12)/2</f>
        <v>10.1</v>
      </c>
      <c r="I806" s="3"/>
      <c r="J806" s="3">
        <f>(6.1+7.9)/2</f>
        <v>7</v>
      </c>
      <c r="K806" s="3"/>
      <c r="L806" s="3">
        <f>(55+56)/2</f>
        <v>55.5</v>
      </c>
      <c r="M806" s="21">
        <f>1-AVERAGE(N806:R806)</f>
        <v>0.2551611496165952</v>
      </c>
      <c r="N806" s="20">
        <f>ABS($D$2-F806)/F806</f>
        <v>0.68648648648648647</v>
      </c>
      <c r="O806" s="20">
        <f>ABS($E$2-G806)/G806</f>
        <v>0.36263736263736263</v>
      </c>
      <c r="P806" s="20">
        <f>ABS($F$2-H806)/H806</f>
        <v>0.38613861386138609</v>
      </c>
      <c r="Q806" s="20">
        <f>ABS($H$2-J806)/J806</f>
        <v>1.9285714285714286</v>
      </c>
      <c r="R806" s="20">
        <f>ABS($J$2-L806)/L806</f>
        <v>0.36036036036036034</v>
      </c>
    </row>
    <row r="807" spans="1:18" ht="15.75" customHeight="1" x14ac:dyDescent="0.2">
      <c r="A807">
        <v>199</v>
      </c>
      <c r="B807" s="1" t="s">
        <v>168</v>
      </c>
      <c r="C807" s="1"/>
      <c r="D807" s="2"/>
      <c r="E807" s="6" t="s">
        <v>40</v>
      </c>
      <c r="F807" s="3">
        <f>(0.82+0.96)/2</f>
        <v>0.8899999999999999</v>
      </c>
      <c r="G807" s="3">
        <f>(19+26)/2</f>
        <v>22.5</v>
      </c>
      <c r="H807" s="3">
        <f>(4.8+6.2)/2</f>
        <v>5.5</v>
      </c>
      <c r="I807" s="3"/>
      <c r="J807" s="3">
        <f>(4+7.7)/2</f>
        <v>5.85</v>
      </c>
      <c r="K807" s="3"/>
      <c r="L807" s="3">
        <f>(48+55)/2</f>
        <v>51.5</v>
      </c>
      <c r="M807" s="21">
        <f>1-AVERAGE(N807:R807)</f>
        <v>0.25304617106951566</v>
      </c>
      <c r="N807" s="20">
        <f>ABS($D$2-F807)/F807</f>
        <v>0.34831460674157289</v>
      </c>
      <c r="O807" s="20">
        <f>ABS($E$2-G807)/G807</f>
        <v>0.28888888888888886</v>
      </c>
      <c r="P807" s="20">
        <f>ABS($F$2-H807)/H807</f>
        <v>0.12727272727272732</v>
      </c>
      <c r="Q807" s="20">
        <f>ABS($H$2-J807)/J807</f>
        <v>2.5042735042735047</v>
      </c>
      <c r="R807" s="20">
        <f>ABS($J$2-L807)/L807</f>
        <v>0.46601941747572817</v>
      </c>
    </row>
    <row r="808" spans="1:18" ht="15.75" customHeight="1" x14ac:dyDescent="0.2">
      <c r="A808">
        <v>205</v>
      </c>
      <c r="B808" s="1" t="s">
        <v>173</v>
      </c>
      <c r="C808" s="1" t="s">
        <v>174</v>
      </c>
      <c r="D808" s="2"/>
      <c r="E808" s="6" t="s">
        <v>40</v>
      </c>
      <c r="F808" s="3">
        <f>(1.2+2)/2</f>
        <v>1.6</v>
      </c>
      <c r="G808" s="3">
        <f>(17+28)/2</f>
        <v>22.5</v>
      </c>
      <c r="H808" s="3">
        <f>(6.2+9.5)/2</f>
        <v>7.85</v>
      </c>
      <c r="I808" s="3"/>
      <c r="J808" s="3">
        <f>(5.3+8.4)/2</f>
        <v>6.85</v>
      </c>
      <c r="K808" s="3"/>
      <c r="L808" s="3">
        <f>(46+48)/2</f>
        <v>47</v>
      </c>
      <c r="M808" s="21">
        <f>1-AVERAGE(N808:R808)</f>
        <v>0.25286726393163028</v>
      </c>
      <c r="N808" s="20">
        <f>ABS($D$2-F808)/F808</f>
        <v>0.63749999999999996</v>
      </c>
      <c r="O808" s="20">
        <f>ABS($E$2-G808)/G808</f>
        <v>0.28888888888888886</v>
      </c>
      <c r="P808" s="20">
        <f>ABS($F$2-H808)/H808</f>
        <v>0.21019108280254772</v>
      </c>
      <c r="Q808" s="20">
        <f>ABS($H$2-J808)/J808</f>
        <v>1.9927007299270074</v>
      </c>
      <c r="R808" s="20">
        <f>ABS($J$2-L808)/L808</f>
        <v>0.6063829787234043</v>
      </c>
    </row>
    <row r="809" spans="1:18" ht="15.75" customHeight="1" x14ac:dyDescent="0.2">
      <c r="A809">
        <v>298</v>
      </c>
      <c r="B809" s="9" t="s">
        <v>236</v>
      </c>
      <c r="E809" s="6" t="s">
        <v>41</v>
      </c>
      <c r="F809" s="3">
        <v>0.38</v>
      </c>
      <c r="G809" s="3">
        <v>15</v>
      </c>
      <c r="H809" s="3">
        <v>3.4</v>
      </c>
      <c r="I809" s="3"/>
      <c r="J809" s="3">
        <v>12</v>
      </c>
      <c r="K809" s="3"/>
      <c r="L809" s="3"/>
      <c r="M809" s="21">
        <f>1-AVERAGE(N809:R809)</f>
        <v>0.2521220330237357</v>
      </c>
      <c r="N809" s="20">
        <f>ABS($D$2-F809)/F809</f>
        <v>0.5263157894736844</v>
      </c>
      <c r="O809" s="20">
        <f>ABS($E$2-G809)/G809</f>
        <v>0.93333333333333335</v>
      </c>
      <c r="P809" s="20">
        <f>ABS($F$2-H809)/H809</f>
        <v>0.82352941176470595</v>
      </c>
      <c r="Q809" s="20">
        <f>ABS($H$2-J809)/J809</f>
        <v>0.70833333333333337</v>
      </c>
      <c r="R809" s="20"/>
    </row>
    <row r="810" spans="1:18" ht="15.75" customHeight="1" x14ac:dyDescent="0.2">
      <c r="A810">
        <v>487</v>
      </c>
      <c r="B810" s="9" t="s">
        <v>384</v>
      </c>
      <c r="E810" s="6" t="s">
        <v>40</v>
      </c>
      <c r="F810" s="3">
        <v>0.6</v>
      </c>
      <c r="G810" s="3">
        <v>22</v>
      </c>
      <c r="H810" s="3">
        <v>2.9</v>
      </c>
      <c r="I810" s="3"/>
      <c r="J810" s="3">
        <f>(6.8+7.3)/2</f>
        <v>7.05</v>
      </c>
      <c r="K810" s="3"/>
      <c r="L810" s="3">
        <v>56</v>
      </c>
      <c r="M810" s="21">
        <f>1-AVERAGE(N810:R810)</f>
        <v>0.25090762196961758</v>
      </c>
      <c r="N810" s="20">
        <f>ABS($D$2-F810)/F810</f>
        <v>3.333333333333318E-2</v>
      </c>
      <c r="O810" s="20">
        <f>ABS($E$2-G810)/G810</f>
        <v>0.31818181818181818</v>
      </c>
      <c r="P810" s="20">
        <f>ABS($F$2-H810)/H810</f>
        <v>1.1379310344827587</v>
      </c>
      <c r="Q810" s="20">
        <f>ABS($H$2-J810)/J810</f>
        <v>1.9078014184397163</v>
      </c>
      <c r="R810" s="20">
        <f>ABS($J$2-L810)/L810</f>
        <v>0.3482142857142857</v>
      </c>
    </row>
    <row r="811" spans="1:18" ht="15.75" customHeight="1" x14ac:dyDescent="0.2">
      <c r="A811">
        <v>458</v>
      </c>
      <c r="B811" s="9" t="s">
        <v>359</v>
      </c>
      <c r="E811" s="6" t="s">
        <v>40</v>
      </c>
      <c r="F811" s="3">
        <v>4.5</v>
      </c>
      <c r="G811" s="3">
        <v>62</v>
      </c>
      <c r="H811" s="3">
        <v>10.6</v>
      </c>
      <c r="I811" s="3"/>
      <c r="J811" s="3">
        <v>10</v>
      </c>
      <c r="K811" s="3"/>
      <c r="L811" s="3">
        <v>40</v>
      </c>
      <c r="M811" s="21">
        <f>1-AVERAGE(N811:R811)</f>
        <v>0.24880729695002368</v>
      </c>
      <c r="N811" s="20">
        <f>ABS($D$2-F811)/F811</f>
        <v>0.87111111111111106</v>
      </c>
      <c r="O811" s="20">
        <f>ABS($E$2-G811)/G811</f>
        <v>0.532258064516129</v>
      </c>
      <c r="P811" s="20">
        <f>ABS($F$2-H811)/H811</f>
        <v>0.41509433962264147</v>
      </c>
      <c r="Q811" s="20">
        <f>ABS($H$2-J811)/J811</f>
        <v>1.05</v>
      </c>
      <c r="R811" s="20">
        <f>ABS($J$2-L811)/L811</f>
        <v>0.88749999999999996</v>
      </c>
    </row>
    <row r="812" spans="1:18" ht="15.75" customHeight="1" x14ac:dyDescent="0.2">
      <c r="A812">
        <v>263</v>
      </c>
      <c r="B812" s="9" t="s">
        <v>216</v>
      </c>
      <c r="E812" s="6" t="s">
        <v>40</v>
      </c>
      <c r="F812" s="3">
        <f>(0.99+1.13)/2</f>
        <v>1.06</v>
      </c>
      <c r="G812" s="3">
        <f>(14+16)/2</f>
        <v>15</v>
      </c>
      <c r="H812" s="3">
        <f>(4.3+4.6)/2</f>
        <v>4.4499999999999993</v>
      </c>
      <c r="I812" s="3"/>
      <c r="J812" s="3">
        <f>(6+8)/2</f>
        <v>7</v>
      </c>
      <c r="K812" s="3"/>
      <c r="L812" s="3">
        <f>(78+82)/2</f>
        <v>80</v>
      </c>
      <c r="M812" s="21">
        <f>1-AVERAGE(N812:R812)</f>
        <v>0.24715132448994015</v>
      </c>
      <c r="N812" s="20">
        <f>ABS($D$2-F812)/F812</f>
        <v>0.45283018867924524</v>
      </c>
      <c r="O812" s="20">
        <f>ABS($E$2-G812)/G812</f>
        <v>0.93333333333333335</v>
      </c>
      <c r="P812" s="20">
        <f>ABS($F$2-H812)/H812</f>
        <v>0.39325842696629237</v>
      </c>
      <c r="Q812" s="20">
        <f>ABS($H$2-J812)/J812</f>
        <v>1.9285714285714286</v>
      </c>
      <c r="R812" s="20">
        <f>ABS($J$2-L812)/L812</f>
        <v>5.6250000000000001E-2</v>
      </c>
    </row>
    <row r="813" spans="1:18" ht="15.75" customHeight="1" x14ac:dyDescent="0.2">
      <c r="A813">
        <v>662</v>
      </c>
      <c r="B813" s="1" t="s">
        <v>526</v>
      </c>
      <c r="C813" s="1" t="s">
        <v>528</v>
      </c>
      <c r="D813" s="2"/>
      <c r="E813" s="6" t="s">
        <v>482</v>
      </c>
      <c r="F813" s="1">
        <v>1</v>
      </c>
      <c r="G813" s="4">
        <v>34</v>
      </c>
      <c r="H813" s="4">
        <v>6.4</v>
      </c>
      <c r="I813" s="4"/>
      <c r="J813" s="4">
        <v>6</v>
      </c>
      <c r="K813" s="4"/>
      <c r="L813" s="4"/>
      <c r="M813" s="21">
        <f>1-AVERAGE(N813:R813)</f>
        <v>0.24625612745098047</v>
      </c>
      <c r="N813" s="20">
        <f>ABS($D$2-F813)/F813</f>
        <v>0.41999999999999993</v>
      </c>
      <c r="O813" s="20">
        <f>ABS($E$2-G813)/G813</f>
        <v>0.14705882352941177</v>
      </c>
      <c r="P813" s="20">
        <f>ABS($F$2-H813)/H813</f>
        <v>3.1250000000000028E-2</v>
      </c>
      <c r="Q813" s="20">
        <f>ABS($H$2-J813)/J813</f>
        <v>2.4166666666666665</v>
      </c>
      <c r="R813" s="20"/>
    </row>
    <row r="814" spans="1:18" ht="15.75" customHeight="1" x14ac:dyDescent="0.2">
      <c r="A814">
        <v>434</v>
      </c>
      <c r="B814" s="9" t="s">
        <v>343</v>
      </c>
      <c r="E814" s="6" t="s">
        <v>40</v>
      </c>
      <c r="F814" s="3">
        <f>(5+7)/2</f>
        <v>6</v>
      </c>
      <c r="G814" s="3">
        <v>83</v>
      </c>
      <c r="H814" s="3">
        <v>6.6</v>
      </c>
      <c r="I814" s="3"/>
      <c r="J814" s="3">
        <v>18</v>
      </c>
      <c r="K814" s="3"/>
      <c r="L814" s="3">
        <v>25</v>
      </c>
      <c r="M814" s="21">
        <f>1-AVERAGE(N814:R814)</f>
        <v>0.24531386150663259</v>
      </c>
      <c r="N814" s="20">
        <f>ABS($D$2-F814)/F814</f>
        <v>0.90333333333333332</v>
      </c>
      <c r="O814" s="20">
        <f>ABS($E$2-G814)/G814</f>
        <v>0.6506024096385542</v>
      </c>
      <c r="P814" s="20">
        <f>ABS($F$2-H814)/H814</f>
        <v>6.0606060606060531E-2</v>
      </c>
      <c r="Q814" s="20">
        <f>ABS($H$2-J814)/J814</f>
        <v>0.1388888888888889</v>
      </c>
      <c r="R814" s="20">
        <f>ABS($J$2-L814)/L814</f>
        <v>2.02</v>
      </c>
    </row>
    <row r="815" spans="1:18" ht="15.75" customHeight="1" x14ac:dyDescent="0.2">
      <c r="A815">
        <v>2</v>
      </c>
      <c r="B815" s="6" t="s">
        <v>39</v>
      </c>
      <c r="C815" s="6"/>
      <c r="D815" s="7"/>
      <c r="E815" s="6" t="s">
        <v>41</v>
      </c>
      <c r="F815" s="3">
        <f>(0.9+1.1)/2</f>
        <v>1</v>
      </c>
      <c r="G815" s="3">
        <f>(25+37)/2</f>
        <v>31</v>
      </c>
      <c r="H815" s="3">
        <v>5.5</v>
      </c>
      <c r="I815" s="3"/>
      <c r="J815" s="3">
        <v>6</v>
      </c>
      <c r="K815" s="3"/>
      <c r="L815" s="3"/>
      <c r="M815" s="21">
        <f>1-AVERAGE(N815:R815)</f>
        <v>0.24288611925708703</v>
      </c>
      <c r="N815" s="20">
        <f>ABS($D$2-F815)/F815</f>
        <v>0.41999999999999993</v>
      </c>
      <c r="O815" s="20">
        <f>ABS($E$2-G815)/G815</f>
        <v>6.4516129032258063E-2</v>
      </c>
      <c r="P815" s="20">
        <f>ABS($F$2-H815)/H815</f>
        <v>0.12727272727272732</v>
      </c>
      <c r="Q815" s="20">
        <f>ABS($H$2-J815)/J815</f>
        <v>2.4166666666666665</v>
      </c>
      <c r="R815" s="20"/>
    </row>
    <row r="816" spans="1:18" ht="15.75" customHeight="1" x14ac:dyDescent="0.2">
      <c r="A816">
        <v>66</v>
      </c>
      <c r="B816" s="6" t="s">
        <v>78</v>
      </c>
      <c r="C816" s="1"/>
      <c r="D816" s="2"/>
      <c r="E816" s="6" t="s">
        <v>41</v>
      </c>
      <c r="F816" s="3">
        <v>0.4</v>
      </c>
      <c r="G816" s="3">
        <v>34</v>
      </c>
      <c r="H816" s="3">
        <v>3.5</v>
      </c>
      <c r="I816" s="3"/>
      <c r="J816" s="3">
        <v>7.7</v>
      </c>
      <c r="K816" s="3"/>
      <c r="L816" s="3"/>
      <c r="M816" s="21">
        <f>1-AVERAGE(N816:R816)</f>
        <v>0.24229373567608858</v>
      </c>
      <c r="N816" s="20">
        <f>ABS($D$2-F816)/F816</f>
        <v>0.45000000000000012</v>
      </c>
      <c r="O816" s="20">
        <f>ABS($E$2-G816)/G816</f>
        <v>0.14705882352941177</v>
      </c>
      <c r="P816" s="20">
        <f>ABS($F$2-H816)/H816</f>
        <v>0.77142857142857146</v>
      </c>
      <c r="Q816" s="20">
        <f>ABS($H$2-J816)/J816</f>
        <v>1.6623376623376624</v>
      </c>
      <c r="R816" s="20"/>
    </row>
    <row r="817" spans="1:18" ht="15.75" customHeight="1" x14ac:dyDescent="0.2">
      <c r="A817">
        <v>657</v>
      </c>
      <c r="B817" s="6" t="s">
        <v>524</v>
      </c>
      <c r="C817" s="1"/>
      <c r="D817" s="2"/>
      <c r="E817" s="6" t="s">
        <v>482</v>
      </c>
      <c r="F817" s="1">
        <v>0.6</v>
      </c>
      <c r="G817" s="4">
        <v>40</v>
      </c>
      <c r="H817" s="4">
        <v>6.2</v>
      </c>
      <c r="I817" s="4"/>
      <c r="J817" s="4">
        <v>5.5</v>
      </c>
      <c r="K817" s="4"/>
      <c r="L817" s="4"/>
      <c r="M817" s="21">
        <f>1-AVERAGE(N817:R817)</f>
        <v>0.24109848484848495</v>
      </c>
      <c r="N817" s="20">
        <f>ABS($D$2-F817)/F817</f>
        <v>3.333333333333318E-2</v>
      </c>
      <c r="O817" s="20">
        <f>ABS($E$2-G817)/G817</f>
        <v>0.27500000000000002</v>
      </c>
      <c r="P817" s="20">
        <f>ABS($F$2-H817)/H817</f>
        <v>0</v>
      </c>
      <c r="Q817" s="20">
        <f>ABS($H$2-J817)/J817</f>
        <v>2.7272727272727271</v>
      </c>
      <c r="R817" s="20"/>
    </row>
    <row r="818" spans="1:18" ht="15.75" customHeight="1" x14ac:dyDescent="0.2">
      <c r="A818">
        <v>262</v>
      </c>
      <c r="B818" s="9" t="s">
        <v>215</v>
      </c>
      <c r="E818" s="6" t="s">
        <v>41</v>
      </c>
      <c r="F818" s="3">
        <f>(0.54+0.68)/2</f>
        <v>0.6100000000000001</v>
      </c>
      <c r="G818" s="3">
        <f>(10+13.5)/2</f>
        <v>11.75</v>
      </c>
      <c r="H818" s="3">
        <f>(3.4+4.2)/2</f>
        <v>3.8</v>
      </c>
      <c r="I818" s="3"/>
      <c r="J818" s="3">
        <f>(10+11.6)/2</f>
        <v>10.8</v>
      </c>
      <c r="K818" s="3"/>
      <c r="L818" s="3"/>
      <c r="M818" s="21">
        <f>1-AVERAGE(N818:R818)</f>
        <v>0.23825186755789995</v>
      </c>
      <c r="N818" s="20">
        <f>ABS($D$2-F818)/F818</f>
        <v>4.9180327868852493E-2</v>
      </c>
      <c r="O818" s="20">
        <f>ABS($E$2-G818)/G818</f>
        <v>1.4680851063829787</v>
      </c>
      <c r="P818" s="20">
        <f>ABS($F$2-H818)/H818</f>
        <v>0.63157894736842113</v>
      </c>
      <c r="Q818" s="20">
        <f>ABS($H$2-J818)/J818</f>
        <v>0.89814814814814803</v>
      </c>
      <c r="R818" s="20"/>
    </row>
    <row r="819" spans="1:18" ht="15.75" customHeight="1" x14ac:dyDescent="0.2">
      <c r="A819">
        <v>197</v>
      </c>
      <c r="B819" s="1" t="s">
        <v>166</v>
      </c>
      <c r="C819" s="1" t="s">
        <v>167</v>
      </c>
      <c r="D819" s="2"/>
      <c r="E819" s="6" t="s">
        <v>40</v>
      </c>
      <c r="F819" s="3">
        <v>1</v>
      </c>
      <c r="G819" s="3">
        <v>25</v>
      </c>
      <c r="H819" s="3">
        <v>6</v>
      </c>
      <c r="I819" s="3"/>
      <c r="J819" s="3">
        <v>5.8</v>
      </c>
      <c r="K819" s="3"/>
      <c r="L819" s="3">
        <v>45</v>
      </c>
      <c r="M819" s="21">
        <f>1-AVERAGE(N819:R819)</f>
        <v>0.23488122605363981</v>
      </c>
      <c r="N819" s="20">
        <f>ABS($D$2-F819)/F819</f>
        <v>0.41999999999999993</v>
      </c>
      <c r="O819" s="20">
        <f>ABS($E$2-G819)/G819</f>
        <v>0.16</v>
      </c>
      <c r="P819" s="20">
        <f>ABS($F$2-H819)/H819</f>
        <v>3.3333333333333361E-2</v>
      </c>
      <c r="Q819" s="20">
        <f>ABS($H$2-J819)/J819</f>
        <v>2.5344827586206895</v>
      </c>
      <c r="R819" s="20">
        <f>ABS($J$2-L819)/L819</f>
        <v>0.67777777777777781</v>
      </c>
    </row>
    <row r="820" spans="1:18" ht="15.75" customHeight="1" x14ac:dyDescent="0.2">
      <c r="A820">
        <v>244</v>
      </c>
      <c r="B820" s="9" t="s">
        <v>205</v>
      </c>
      <c r="C820" s="9" t="s">
        <v>204</v>
      </c>
      <c r="E820" s="6" t="s">
        <v>40</v>
      </c>
      <c r="F820" s="3">
        <f>(0.92+1.07)/2</f>
        <v>0.99500000000000011</v>
      </c>
      <c r="G820" s="3">
        <f>(12+16)/2</f>
        <v>14</v>
      </c>
      <c r="H820" s="3">
        <f>(5+6)/2</f>
        <v>5.5</v>
      </c>
      <c r="I820" s="3"/>
      <c r="J820" s="3">
        <f>(7+8)/2</f>
        <v>7.5</v>
      </c>
      <c r="K820" s="3"/>
      <c r="L820" s="3">
        <f>(49+53)/2</f>
        <v>51</v>
      </c>
      <c r="M820" s="21">
        <f>1-AVERAGE(N820:R820)</f>
        <v>0.23409755679338884</v>
      </c>
      <c r="N820" s="20">
        <f>ABS($D$2-F820)/F820</f>
        <v>0.41708542713567837</v>
      </c>
      <c r="O820" s="20">
        <f>ABS($E$2-G820)/G820</f>
        <v>1.0714285714285714</v>
      </c>
      <c r="P820" s="20">
        <f>ABS($F$2-H820)/H820</f>
        <v>0.12727272727272732</v>
      </c>
      <c r="Q820" s="20">
        <f>ABS($H$2-J820)/J820</f>
        <v>1.7333333333333334</v>
      </c>
      <c r="R820" s="20">
        <f>ABS($J$2-L820)/L820</f>
        <v>0.48039215686274511</v>
      </c>
    </row>
    <row r="821" spans="1:18" ht="15.75" customHeight="1" x14ac:dyDescent="0.2">
      <c r="A821">
        <v>297</v>
      </c>
      <c r="B821" s="9" t="s">
        <v>236</v>
      </c>
      <c r="E821" s="6" t="s">
        <v>40</v>
      </c>
      <c r="F821" s="3">
        <v>0.38</v>
      </c>
      <c r="G821" s="3">
        <v>12.5</v>
      </c>
      <c r="H821" s="3">
        <v>3</v>
      </c>
      <c r="I821" s="3"/>
      <c r="J821" s="3">
        <v>11</v>
      </c>
      <c r="K821" s="3"/>
      <c r="L821" s="3">
        <v>64</v>
      </c>
      <c r="M821" s="21">
        <f>1-AVERAGE(N821:R821)</f>
        <v>0.20873873604465709</v>
      </c>
      <c r="N821" s="20">
        <f>ABS($D$2-F821)/F821</f>
        <v>0.5263157894736844</v>
      </c>
      <c r="O821" s="20">
        <f>ABS($E$2-G821)/G821</f>
        <v>1.32</v>
      </c>
      <c r="P821" s="20">
        <f>ABS($F$2-H821)/H821</f>
        <v>1.0666666666666667</v>
      </c>
      <c r="Q821" s="20">
        <f>ABS($H$2-J821)/J821</f>
        <v>0.86363636363636365</v>
      </c>
      <c r="R821" s="20">
        <f>ABS($J$2-L821)/L821</f>
        <v>0.1796875</v>
      </c>
    </row>
    <row r="822" spans="1:18" ht="15.75" customHeight="1" x14ac:dyDescent="0.2">
      <c r="A822">
        <v>839</v>
      </c>
      <c r="B822" s="1" t="s">
        <v>672</v>
      </c>
      <c r="C822" s="1"/>
      <c r="D822" s="2"/>
      <c r="E822" s="6" t="s">
        <v>495</v>
      </c>
      <c r="F822" s="1">
        <v>1.6</v>
      </c>
      <c r="G822" s="4">
        <v>32</v>
      </c>
      <c r="H822" s="1">
        <v>5.9</v>
      </c>
      <c r="I822" s="4"/>
      <c r="J822" s="4">
        <v>6</v>
      </c>
      <c r="K822" s="4"/>
      <c r="L822" s="4">
        <v>42</v>
      </c>
      <c r="M822" s="21">
        <f>1-AVERAGE(N822:R822)</f>
        <v>0.20072336561743342</v>
      </c>
      <c r="N822" s="20">
        <f>ABS($D$2-F822)/F822</f>
        <v>0.63749999999999996</v>
      </c>
      <c r="O822" s="20">
        <f>ABS($E$2-G822)/G822</f>
        <v>9.375E-2</v>
      </c>
      <c r="P822" s="20">
        <f>ABS($F$2-H822)/H822</f>
        <v>5.0847457627118613E-2</v>
      </c>
      <c r="Q822" s="20">
        <f>ABS($H$2-J822)/J822</f>
        <v>2.4166666666666665</v>
      </c>
      <c r="R822" s="20">
        <f>ABS($J$2-L822)/L822</f>
        <v>0.79761904761904767</v>
      </c>
    </row>
    <row r="823" spans="1:18" ht="15.75" customHeight="1" x14ac:dyDescent="0.2">
      <c r="A823">
        <v>309</v>
      </c>
      <c r="B823" s="9" t="s">
        <v>243</v>
      </c>
      <c r="C823" s="9" t="s">
        <v>244</v>
      </c>
      <c r="E823" s="6" t="s">
        <v>40</v>
      </c>
      <c r="F823" s="3">
        <f>(0.9+1.19)/2</f>
        <v>1.0449999999999999</v>
      </c>
      <c r="G823" s="3">
        <f>(30+33)/2</f>
        <v>31.5</v>
      </c>
      <c r="H823" s="3">
        <f>(6.5+7)/2</f>
        <v>6.75</v>
      </c>
      <c r="I823" s="3"/>
      <c r="J823" s="3">
        <f>(5.4+6)/2</f>
        <v>5.7</v>
      </c>
      <c r="K823" s="3"/>
      <c r="L823" s="3">
        <v>42</v>
      </c>
      <c r="M823" s="21">
        <f>1-AVERAGE(N823:R823)</f>
        <v>0.20001341738183842</v>
      </c>
      <c r="N823" s="20">
        <f>ABS($D$2-F823)/F823</f>
        <v>0.4449760765550238</v>
      </c>
      <c r="O823" s="20">
        <f>ABS($E$2-G823)/G823</f>
        <v>7.9365079365079361E-2</v>
      </c>
      <c r="P823" s="20">
        <f>ABS($F$2-H823)/H823</f>
        <v>8.148148148148146E-2</v>
      </c>
      <c r="Q823" s="20">
        <f>ABS($H$2-J823)/J823</f>
        <v>2.5964912280701755</v>
      </c>
      <c r="R823" s="20">
        <f>ABS($J$2-L823)/L823</f>
        <v>0.79761904761904767</v>
      </c>
    </row>
    <row r="824" spans="1:18" ht="15.75" customHeight="1" x14ac:dyDescent="0.2">
      <c r="A824">
        <v>345</v>
      </c>
      <c r="B824" s="9" t="s">
        <v>271</v>
      </c>
      <c r="C824" s="9" t="s">
        <v>272</v>
      </c>
      <c r="E824" s="6" t="s">
        <v>40</v>
      </c>
      <c r="F824" s="3">
        <f>(0.88+0.93)/2</f>
        <v>0.90500000000000003</v>
      </c>
      <c r="G824" s="3">
        <f>(22+25)/2</f>
        <v>23.5</v>
      </c>
      <c r="H824" s="3">
        <f>(4.7+5.5)/2</f>
        <v>5.0999999999999996</v>
      </c>
      <c r="I824" s="3"/>
      <c r="J824" s="3">
        <f>(4.7+5.5)/2</f>
        <v>5.0999999999999996</v>
      </c>
      <c r="K824" s="3"/>
      <c r="L824" s="3">
        <f>(60+64.5)/2</f>
        <v>62.25</v>
      </c>
      <c r="M824" s="21">
        <f>1-AVERAGE(N824:R824)</f>
        <v>0.19173918028790271</v>
      </c>
      <c r="N824" s="20">
        <f>ABS($D$2-F824)/F824</f>
        <v>0.35911602209944743</v>
      </c>
      <c r="O824" s="20">
        <f>ABS($E$2-G824)/G824</f>
        <v>0.23404255319148937</v>
      </c>
      <c r="P824" s="20">
        <f>ABS($F$2-H824)/H824</f>
        <v>0.21568627450980404</v>
      </c>
      <c r="Q824" s="20">
        <f>ABS($H$2-J824)/J824</f>
        <v>3.0196078431372553</v>
      </c>
      <c r="R824" s="20">
        <f>ABS($J$2-L824)/L824</f>
        <v>0.21285140562248997</v>
      </c>
    </row>
    <row r="825" spans="1:18" ht="15.75" customHeight="1" x14ac:dyDescent="0.2">
      <c r="A825">
        <v>735</v>
      </c>
      <c r="B825" s="1" t="s">
        <v>586</v>
      </c>
      <c r="C825" s="1"/>
      <c r="D825" s="2"/>
      <c r="E825" s="6" t="s">
        <v>482</v>
      </c>
      <c r="F825" s="1">
        <v>0.3</v>
      </c>
      <c r="G825" s="4">
        <v>30</v>
      </c>
      <c r="H825" s="4">
        <v>4</v>
      </c>
      <c r="I825" s="4"/>
      <c r="J825" s="4">
        <v>7.5</v>
      </c>
      <c r="K825" s="4"/>
      <c r="L825" s="4"/>
      <c r="M825" s="21">
        <f>1-AVERAGE(N825:R825)</f>
        <v>0.18749999999999989</v>
      </c>
      <c r="N825" s="20">
        <f>ABS($D$2-F825)/F825</f>
        <v>0.93333333333333368</v>
      </c>
      <c r="O825" s="20">
        <f>ABS($E$2-G825)/G825</f>
        <v>3.3333333333333333E-2</v>
      </c>
      <c r="P825" s="20">
        <f>ABS($F$2-H825)/H825</f>
        <v>0.55000000000000004</v>
      </c>
      <c r="Q825" s="20">
        <f>ABS($H$2-J825)/J825</f>
        <v>1.7333333333333334</v>
      </c>
      <c r="R825" s="20"/>
    </row>
    <row r="826" spans="1:18" ht="15.75" customHeight="1" x14ac:dyDescent="0.2">
      <c r="A826">
        <v>427</v>
      </c>
      <c r="B826" s="9" t="s">
        <v>337</v>
      </c>
      <c r="C826" s="9" t="s">
        <v>338</v>
      </c>
      <c r="E826" s="6" t="s">
        <v>40</v>
      </c>
      <c r="F826" s="3">
        <v>3.6</v>
      </c>
      <c r="G826" s="3">
        <f>(30+45)/2</f>
        <v>37.5</v>
      </c>
      <c r="H826" s="3">
        <f>(5+7)/2</f>
        <v>6</v>
      </c>
      <c r="I826" s="3"/>
      <c r="J826" s="3">
        <f>(5+8)/2</f>
        <v>6.5</v>
      </c>
      <c r="K826" s="3"/>
      <c r="L826" s="3">
        <v>41</v>
      </c>
      <c r="M826" s="21">
        <f>1-AVERAGE(N826:R826)</f>
        <v>0.18116030852616216</v>
      </c>
      <c r="N826" s="20">
        <f>ABS($D$2-F826)/F826</f>
        <v>0.83888888888888891</v>
      </c>
      <c r="O826" s="20">
        <f>ABS($E$2-G826)/G826</f>
        <v>0.22666666666666666</v>
      </c>
      <c r="P826" s="20">
        <f>ABS($F$2-H826)/H826</f>
        <v>3.3333333333333361E-2</v>
      </c>
      <c r="Q826" s="20">
        <f>ABS($H$2-J826)/J826</f>
        <v>2.1538461538461537</v>
      </c>
      <c r="R826" s="20">
        <f>ABS($J$2-L826)/L826</f>
        <v>0.84146341463414631</v>
      </c>
    </row>
    <row r="827" spans="1:18" ht="15.75" customHeight="1" x14ac:dyDescent="0.2">
      <c r="A827">
        <v>468</v>
      </c>
      <c r="B827" s="9" t="s">
        <v>369</v>
      </c>
      <c r="E827" s="6" t="s">
        <v>40</v>
      </c>
      <c r="F827" s="3">
        <v>1.1000000000000001</v>
      </c>
      <c r="G827" s="3">
        <v>36</v>
      </c>
      <c r="H827" s="3">
        <v>6.6</v>
      </c>
      <c r="I827" s="3"/>
      <c r="J827" s="3">
        <f>(5+6)/2</f>
        <v>5.5</v>
      </c>
      <c r="K827" s="3"/>
      <c r="L827" s="3">
        <v>46</v>
      </c>
      <c r="M827" s="21">
        <f>1-AVERAGE(N827:R827)</f>
        <v>0.1807290294246815</v>
      </c>
      <c r="N827" s="20">
        <f>ABS($D$2-F827)/F827</f>
        <v>0.47272727272727272</v>
      </c>
      <c r="O827" s="20">
        <f>ABS($E$2-G827)/G827</f>
        <v>0.19444444444444445</v>
      </c>
      <c r="P827" s="20">
        <f>ABS($F$2-H827)/H827</f>
        <v>6.0606060606060531E-2</v>
      </c>
      <c r="Q827" s="20">
        <f>ABS($H$2-J827)/J827</f>
        <v>2.7272727272727271</v>
      </c>
      <c r="R827" s="20">
        <f>ABS($J$2-L827)/L827</f>
        <v>0.64130434782608692</v>
      </c>
    </row>
    <row r="828" spans="1:18" ht="15.75" customHeight="1" x14ac:dyDescent="0.2">
      <c r="A828">
        <v>628</v>
      </c>
      <c r="B828" s="6" t="s">
        <v>500</v>
      </c>
      <c r="C828" s="6" t="s">
        <v>501</v>
      </c>
      <c r="D828" s="7"/>
      <c r="E828" s="6" t="s">
        <v>482</v>
      </c>
      <c r="F828" s="1">
        <v>0.54</v>
      </c>
      <c r="G828" s="4">
        <v>28</v>
      </c>
      <c r="H828" s="4">
        <v>4.5</v>
      </c>
      <c r="I828" s="4"/>
      <c r="J828" s="4">
        <v>5.4</v>
      </c>
      <c r="K828" s="4"/>
      <c r="L828" s="4"/>
      <c r="M828" s="21">
        <f>1-AVERAGE(N828:R828)</f>
        <v>0.1790343915343916</v>
      </c>
      <c r="N828" s="20">
        <f>ABS($D$2-F828)/F828</f>
        <v>7.4074074074074139E-2</v>
      </c>
      <c r="O828" s="20">
        <f>ABS($E$2-G828)/G828</f>
        <v>3.5714285714285712E-2</v>
      </c>
      <c r="P828" s="20">
        <f>ABS($F$2-H828)/H828</f>
        <v>0.37777777777777782</v>
      </c>
      <c r="Q828" s="20">
        <f>ABS($H$2-J828)/J828</f>
        <v>2.7962962962962958</v>
      </c>
      <c r="R828" s="20"/>
    </row>
    <row r="829" spans="1:18" ht="15.75" customHeight="1" x14ac:dyDescent="0.2">
      <c r="A829">
        <v>128</v>
      </c>
      <c r="B829" s="1" t="s">
        <v>117</v>
      </c>
      <c r="C829" s="1"/>
      <c r="D829" s="2"/>
      <c r="E829" s="6" t="s">
        <v>40</v>
      </c>
      <c r="F829" s="3">
        <f>(0.34+0.44)/2</f>
        <v>0.39</v>
      </c>
      <c r="G829" s="3">
        <f>(17.7+24.3)/2</f>
        <v>21</v>
      </c>
      <c r="H829" s="3">
        <f>(8.4+10.5)/2</f>
        <v>9.4499999999999993</v>
      </c>
      <c r="I829" s="3"/>
      <c r="J829" s="3">
        <f>(4.7+6)/2</f>
        <v>5.35</v>
      </c>
      <c r="K829" s="3"/>
      <c r="L829" s="3">
        <f>(78.7+85.1)/2</f>
        <v>81.900000000000006</v>
      </c>
      <c r="M829" s="21">
        <f>1-AVERAGE(N829:R829)</f>
        <v>0.17560660177482601</v>
      </c>
      <c r="N829" s="20">
        <f>ABS($D$2-F829)/F829</f>
        <v>0.48717948717948734</v>
      </c>
      <c r="O829" s="20">
        <f>ABS($E$2-G829)/G829</f>
        <v>0.38095238095238093</v>
      </c>
      <c r="P829" s="20">
        <f>ABS($F$2-H829)/H829</f>
        <v>0.34391534391534384</v>
      </c>
      <c r="Q829" s="20">
        <f>ABS($H$2-J829)/J829</f>
        <v>2.8317757009345796</v>
      </c>
      <c r="R829" s="20">
        <f>ABS($J$2-L829)/L829</f>
        <v>7.8144078144078213E-2</v>
      </c>
    </row>
    <row r="830" spans="1:18" ht="15.75" customHeight="1" x14ac:dyDescent="0.2">
      <c r="A830">
        <v>75</v>
      </c>
      <c r="B830" s="1" t="s">
        <v>84</v>
      </c>
      <c r="C830" s="1" t="s">
        <v>85</v>
      </c>
      <c r="D830" s="2"/>
      <c r="E830" s="6" t="s">
        <v>40</v>
      </c>
      <c r="F830" s="3">
        <f>(0.41+0.62)/2</f>
        <v>0.51500000000000001</v>
      </c>
      <c r="G830" s="3">
        <f>(1+14)/2</f>
        <v>7.5</v>
      </c>
      <c r="H830" s="3">
        <f>(3.1+4.8)/2</f>
        <v>3.95</v>
      </c>
      <c r="I830" s="3"/>
      <c r="J830" s="3">
        <f>(23+56)/2</f>
        <v>39.5</v>
      </c>
      <c r="K830" s="3"/>
      <c r="L830" s="3">
        <f>(80.7+84.1)/2</f>
        <v>82.4</v>
      </c>
      <c r="M830" s="21">
        <f>1-AVERAGE(N830:R830)</f>
        <v>0.17454979312604968</v>
      </c>
      <c r="N830" s="20">
        <f>ABS($D$2-F830)/F830</f>
        <v>0.12621359223300982</v>
      </c>
      <c r="O830" s="20">
        <f>ABS($E$2-G830)/G830</f>
        <v>2.8666666666666667</v>
      </c>
      <c r="P830" s="20">
        <f>ABS($F$2-H830)/H830</f>
        <v>0.56962025316455689</v>
      </c>
      <c r="Q830" s="20">
        <f>ABS($H$2-J830)/J830</f>
        <v>0.48101265822784811</v>
      </c>
      <c r="R830" s="20">
        <f>ABS($J$2-L830)/L830</f>
        <v>8.3737864077669963E-2</v>
      </c>
    </row>
    <row r="831" spans="1:18" ht="15.75" customHeight="1" x14ac:dyDescent="0.2">
      <c r="A831">
        <v>252</v>
      </c>
      <c r="B831" s="9" t="s">
        <v>209</v>
      </c>
      <c r="E831" s="6" t="s">
        <v>41</v>
      </c>
      <c r="F831" s="3">
        <f>(0.29+0.35)/2</f>
        <v>0.31999999999999995</v>
      </c>
      <c r="G831" s="3">
        <f>(13+18)/2</f>
        <v>15.5</v>
      </c>
      <c r="H831" s="3">
        <f>(4.8+5.2)/2</f>
        <v>5</v>
      </c>
      <c r="I831" s="3"/>
      <c r="J831" s="3">
        <f>(8+9)/2</f>
        <v>8.5</v>
      </c>
      <c r="K831" s="3"/>
      <c r="L831" s="3"/>
      <c r="M831" s="21">
        <f>1-AVERAGE(N831:R831)</f>
        <v>0.16619188804554064</v>
      </c>
      <c r="N831" s="20">
        <f>ABS($D$2-F831)/F831</f>
        <v>0.81250000000000044</v>
      </c>
      <c r="O831" s="20">
        <f>ABS($E$2-G831)/G831</f>
        <v>0.87096774193548387</v>
      </c>
      <c r="P831" s="20">
        <f>ABS($F$2-H831)/H831</f>
        <v>0.24000000000000005</v>
      </c>
      <c r="Q831" s="20">
        <f>ABS($H$2-J831)/J831</f>
        <v>1.411764705882353</v>
      </c>
      <c r="R831" s="20"/>
    </row>
    <row r="832" spans="1:18" ht="15.75" customHeight="1" x14ac:dyDescent="0.2">
      <c r="A832">
        <v>353</v>
      </c>
      <c r="B832" s="9" t="s">
        <v>279</v>
      </c>
      <c r="E832" s="6" t="s">
        <v>41</v>
      </c>
      <c r="F832" s="3">
        <v>1.1299999999999999</v>
      </c>
      <c r="G832" s="3">
        <v>44</v>
      </c>
      <c r="H832" s="3">
        <v>5.4</v>
      </c>
      <c r="I832" s="3"/>
      <c r="J832" s="3">
        <v>6.1</v>
      </c>
      <c r="K832" s="3"/>
      <c r="L832" s="3"/>
      <c r="M832" s="21">
        <f>1-AVERAGE(N832:R832)</f>
        <v>0.16589033988025714</v>
      </c>
      <c r="N832" s="20">
        <f>ABS($D$2-F832)/F832</f>
        <v>0.48672566371681403</v>
      </c>
      <c r="O832" s="20">
        <f>ABS($E$2-G832)/G832</f>
        <v>0.34090909090909088</v>
      </c>
      <c r="P832" s="20">
        <f>ABS($F$2-H832)/H832</f>
        <v>0.14814814814814811</v>
      </c>
      <c r="Q832" s="20">
        <f>ABS($H$2-J832)/J832</f>
        <v>2.3606557377049184</v>
      </c>
      <c r="R832" s="20"/>
    </row>
    <row r="833" spans="1:18" ht="15.75" customHeight="1" x14ac:dyDescent="0.2">
      <c r="A833">
        <v>334</v>
      </c>
      <c r="B833" s="9" t="s">
        <v>264</v>
      </c>
      <c r="E833" s="6" t="s">
        <v>40</v>
      </c>
      <c r="F833" s="3">
        <f>(0.51+0.53)/2</f>
        <v>0.52</v>
      </c>
      <c r="G833" s="3">
        <f>(26+27)/2</f>
        <v>26.5</v>
      </c>
      <c r="H833" s="3">
        <f>(4.1+4.3)/2</f>
        <v>4.1999999999999993</v>
      </c>
      <c r="I833" s="3"/>
      <c r="J833" s="3">
        <f>(4+6)/2</f>
        <v>5</v>
      </c>
      <c r="K833" s="3"/>
      <c r="L833" s="3">
        <f>(52+56)/2</f>
        <v>54</v>
      </c>
      <c r="M833" s="21">
        <f>1-AVERAGE(N833:R833)</f>
        <v>0.16318742752705018</v>
      </c>
      <c r="N833" s="20">
        <f>ABS($D$2-F833)/F833</f>
        <v>0.11538461538461549</v>
      </c>
      <c r="O833" s="20">
        <f>ABS($E$2-G833)/G833</f>
        <v>9.4339622641509441E-2</v>
      </c>
      <c r="P833" s="20">
        <f>ABS($F$2-H833)/H833</f>
        <v>0.4761904761904765</v>
      </c>
      <c r="Q833" s="20">
        <f>ABS($H$2-J833)/J833</f>
        <v>3.1</v>
      </c>
      <c r="R833" s="20">
        <f>ABS($J$2-L833)/L833</f>
        <v>0.39814814814814814</v>
      </c>
    </row>
    <row r="834" spans="1:18" ht="15.75" customHeight="1" x14ac:dyDescent="0.2">
      <c r="A834">
        <v>229</v>
      </c>
      <c r="B834" s="9" t="s">
        <v>194</v>
      </c>
      <c r="C834" s="9" t="s">
        <v>195</v>
      </c>
      <c r="E834" s="6" t="s">
        <v>40</v>
      </c>
      <c r="F834" s="3">
        <f>(0.77+1.2)/2</f>
        <v>0.98499999999999999</v>
      </c>
      <c r="G834" s="3">
        <f>(19+24)/2</f>
        <v>21.5</v>
      </c>
      <c r="H834" s="3">
        <f>(4.2+4.7)/2</f>
        <v>4.45</v>
      </c>
      <c r="I834" s="3"/>
      <c r="J834" s="3">
        <f>(4.5+7)/2</f>
        <v>5.75</v>
      </c>
      <c r="K834" s="3"/>
      <c r="L834" s="3">
        <f>(50+52)/2</f>
        <v>51</v>
      </c>
      <c r="M834" s="21">
        <f>1-AVERAGE(N834:R834)</f>
        <v>0.16022546057478682</v>
      </c>
      <c r="N834" s="20">
        <f>ABS($D$2-F834)/F834</f>
        <v>0.41116751269035523</v>
      </c>
      <c r="O834" s="20">
        <f>ABS($E$2-G834)/G834</f>
        <v>0.34883720930232559</v>
      </c>
      <c r="P834" s="20">
        <f>ABS($F$2-H834)/H834</f>
        <v>0.3932584269662921</v>
      </c>
      <c r="Q834" s="20">
        <f>ABS($H$2-J834)/J834</f>
        <v>2.5652173913043477</v>
      </c>
      <c r="R834" s="20">
        <f>ABS($J$2-L834)/L834</f>
        <v>0.48039215686274511</v>
      </c>
    </row>
    <row r="835" spans="1:18" ht="15.75" customHeight="1" x14ac:dyDescent="0.2">
      <c r="A835">
        <v>352</v>
      </c>
      <c r="B835" s="9" t="s">
        <v>279</v>
      </c>
      <c r="E835" s="6" t="s">
        <v>40</v>
      </c>
      <c r="F835" s="3">
        <v>1.02</v>
      </c>
      <c r="G835" s="3">
        <v>35</v>
      </c>
      <c r="H835" s="3">
        <v>5.5</v>
      </c>
      <c r="I835" s="3"/>
      <c r="J835" s="3">
        <v>4.8</v>
      </c>
      <c r="K835" s="3"/>
      <c r="L835" s="3">
        <v>61</v>
      </c>
      <c r="M835" s="21">
        <f>1-AVERAGE(N835:R835)</f>
        <v>0.15227758018259474</v>
      </c>
      <c r="N835" s="20">
        <f>ABS($D$2-F835)/F835</f>
        <v>0.43137254901960781</v>
      </c>
      <c r="O835" s="20">
        <f>ABS($E$2-G835)/G835</f>
        <v>0.17142857142857143</v>
      </c>
      <c r="P835" s="20">
        <f>ABS($F$2-H835)/H835</f>
        <v>0.12727272727272732</v>
      </c>
      <c r="Q835" s="20">
        <f>ABS($H$2-J835)/J835</f>
        <v>3.2708333333333335</v>
      </c>
      <c r="R835" s="20">
        <f>ABS($J$2-L835)/L835</f>
        <v>0.23770491803278687</v>
      </c>
    </row>
    <row r="836" spans="1:18" ht="15.75" customHeight="1" x14ac:dyDescent="0.2">
      <c r="A836">
        <v>626</v>
      </c>
      <c r="B836" s="6" t="s">
        <v>498</v>
      </c>
      <c r="C836" s="6" t="s">
        <v>499</v>
      </c>
      <c r="D836" s="7"/>
      <c r="E836" s="6" t="s">
        <v>482</v>
      </c>
      <c r="F836" s="1">
        <v>0.6</v>
      </c>
      <c r="G836" s="4">
        <v>35</v>
      </c>
      <c r="H836" s="4">
        <v>4.8</v>
      </c>
      <c r="I836" s="4"/>
      <c r="J836" s="4">
        <v>5.2</v>
      </c>
      <c r="K836" s="4"/>
      <c r="L836" s="4"/>
      <c r="M836" s="21">
        <f>1-AVERAGE(N836:R836)</f>
        <v>0.14031593406593401</v>
      </c>
      <c r="N836" s="20">
        <f>ABS($D$2-F836)/F836</f>
        <v>3.333333333333318E-2</v>
      </c>
      <c r="O836" s="20">
        <f>ABS($E$2-G836)/G836</f>
        <v>0.17142857142857143</v>
      </c>
      <c r="P836" s="20">
        <f>ABS($F$2-H836)/H836</f>
        <v>0.29166666666666674</v>
      </c>
      <c r="Q836" s="20">
        <f>ABS($H$2-J836)/J836</f>
        <v>2.9423076923076925</v>
      </c>
      <c r="R836" s="20"/>
    </row>
    <row r="837" spans="1:18" ht="15.75" customHeight="1" x14ac:dyDescent="0.2">
      <c r="A837">
        <v>389</v>
      </c>
      <c r="B837" s="9" t="s">
        <v>305</v>
      </c>
      <c r="C837" s="9" t="s">
        <v>306</v>
      </c>
      <c r="E837" s="6" t="s">
        <v>40</v>
      </c>
      <c r="F837" s="3">
        <f>(1.41+1.46)/2</f>
        <v>1.4350000000000001</v>
      </c>
      <c r="G837" s="3">
        <f>(45+59)/2</f>
        <v>52</v>
      </c>
      <c r="H837" s="3">
        <f>(3.3+3.5)/2</f>
        <v>3.4</v>
      </c>
      <c r="I837" s="3"/>
      <c r="J837" s="3">
        <f>(6.4+7.3)/2</f>
        <v>6.85</v>
      </c>
      <c r="K837" s="3"/>
      <c r="L837" s="3">
        <f>(50+53)/2</f>
        <v>51.5</v>
      </c>
      <c r="M837" s="21">
        <f>1-AVERAGE(N837:R837)</f>
        <v>0.13592478663877117</v>
      </c>
      <c r="N837" s="20">
        <f>ABS($D$2-F837)/F837</f>
        <v>0.59581881533101044</v>
      </c>
      <c r="O837" s="20">
        <f>ABS($E$2-G837)/G837</f>
        <v>0.44230769230769229</v>
      </c>
      <c r="P837" s="20">
        <f>ABS($F$2-H837)/H837</f>
        <v>0.82352941176470595</v>
      </c>
      <c r="Q837" s="20">
        <f>ABS($H$2-J837)/J837</f>
        <v>1.9927007299270074</v>
      </c>
      <c r="R837" s="20">
        <f>ABS($J$2-L837)/L837</f>
        <v>0.46601941747572817</v>
      </c>
    </row>
    <row r="838" spans="1:18" ht="15.75" customHeight="1" x14ac:dyDescent="0.2">
      <c r="A838">
        <v>627</v>
      </c>
      <c r="B838" s="6" t="s">
        <v>500</v>
      </c>
      <c r="C838" s="6" t="s">
        <v>501</v>
      </c>
      <c r="D838" s="7"/>
      <c r="E838" s="6" t="s">
        <v>495</v>
      </c>
      <c r="F838" s="1">
        <v>0.5</v>
      </c>
      <c r="G838" s="4">
        <v>28</v>
      </c>
      <c r="H838" s="4">
        <v>4.4000000000000004</v>
      </c>
      <c r="I838" s="4"/>
      <c r="J838" s="4">
        <v>4.5</v>
      </c>
      <c r="K838" s="4"/>
      <c r="L838" s="4">
        <v>64</v>
      </c>
      <c r="M838" s="21">
        <f>1-AVERAGE(N838:R838)</f>
        <v>0.13199034992784997</v>
      </c>
      <c r="N838" s="20">
        <f>ABS($D$2-F838)/F838</f>
        <v>0.16000000000000014</v>
      </c>
      <c r="O838" s="20">
        <f>ABS($E$2-G838)/G838</f>
        <v>3.5714285714285712E-2</v>
      </c>
      <c r="P838" s="20">
        <f>ABS($F$2-H838)/H838</f>
        <v>0.40909090909090901</v>
      </c>
      <c r="Q838" s="20">
        <f>ABS($H$2-J838)/J838</f>
        <v>3.5555555555555554</v>
      </c>
      <c r="R838" s="20">
        <f>ABS($J$2-L838)/L838</f>
        <v>0.1796875</v>
      </c>
    </row>
    <row r="839" spans="1:18" ht="15.75" customHeight="1" x14ac:dyDescent="0.2">
      <c r="A839">
        <v>310</v>
      </c>
      <c r="B839" s="9" t="s">
        <v>245</v>
      </c>
      <c r="E839" s="6" t="s">
        <v>40</v>
      </c>
      <c r="F839" s="3">
        <f>(0.96+1.07)/2</f>
        <v>1.0150000000000001</v>
      </c>
      <c r="G839" s="3">
        <f>(24+28)/2</f>
        <v>26</v>
      </c>
      <c r="H839" s="3">
        <f>(5.1+5.9)/2</f>
        <v>5.5</v>
      </c>
      <c r="I839" s="3"/>
      <c r="J839" s="3">
        <f>(4.8+5.3)/2</f>
        <v>5.05</v>
      </c>
      <c r="K839" s="3"/>
      <c r="L839" s="3">
        <f>(44+49)/2</f>
        <v>46.5</v>
      </c>
      <c r="M839" s="21">
        <f>1-AVERAGE(N839:R839)</f>
        <v>0.12914187483973494</v>
      </c>
      <c r="N839" s="20">
        <f>ABS($D$2-F839)/F839</f>
        <v>0.42857142857142855</v>
      </c>
      <c r="O839" s="20">
        <f>ABS($E$2-G839)/G839</f>
        <v>0.11538461538461539</v>
      </c>
      <c r="P839" s="20">
        <f>ABS($F$2-H839)/H839</f>
        <v>0.12727272727272732</v>
      </c>
      <c r="Q839" s="20">
        <f>ABS($H$2-J839)/J839</f>
        <v>3.0594059405940595</v>
      </c>
      <c r="R839" s="20">
        <f>ABS($J$2-L839)/L839</f>
        <v>0.62365591397849462</v>
      </c>
    </row>
    <row r="840" spans="1:18" ht="15.75" customHeight="1" x14ac:dyDescent="0.2">
      <c r="A840">
        <v>337</v>
      </c>
      <c r="B840" s="9" t="s">
        <v>265</v>
      </c>
      <c r="E840" s="6" t="s">
        <v>41</v>
      </c>
      <c r="F840" s="3">
        <f>(0.82+1.15)/2</f>
        <v>0.98499999999999988</v>
      </c>
      <c r="G840" s="3">
        <f>(30+33)/2</f>
        <v>31.5</v>
      </c>
      <c r="H840" s="3">
        <f>(9.6+11.5)/2</f>
        <v>10.55</v>
      </c>
      <c r="I840" s="3"/>
      <c r="J840" s="3">
        <f>(5.4+6)/2</f>
        <v>5.7</v>
      </c>
      <c r="K840" s="3"/>
      <c r="L840" s="3"/>
      <c r="M840" s="21">
        <f>1-AVERAGE(N840:R840)</f>
        <v>0.12516347624821833</v>
      </c>
      <c r="N840" s="20">
        <f>ABS($D$2-F840)/F840</f>
        <v>0.41116751269035517</v>
      </c>
      <c r="O840" s="20">
        <f>ABS($E$2-G840)/G840</f>
        <v>7.9365079365079361E-2</v>
      </c>
      <c r="P840" s="20">
        <f>ABS($F$2-H840)/H840</f>
        <v>0.41232227488151663</v>
      </c>
      <c r="Q840" s="20">
        <f>ABS($H$2-J840)/J840</f>
        <v>2.5964912280701755</v>
      </c>
      <c r="R840" s="20"/>
    </row>
    <row r="841" spans="1:18" ht="15.75" customHeight="1" x14ac:dyDescent="0.2">
      <c r="A841">
        <v>333</v>
      </c>
      <c r="B841" s="9" t="s">
        <v>263</v>
      </c>
      <c r="E841" s="6" t="s">
        <v>40</v>
      </c>
      <c r="F841" s="3">
        <v>1.07</v>
      </c>
      <c r="G841" s="3">
        <v>48</v>
      </c>
      <c r="H841" s="3">
        <v>4.4000000000000004</v>
      </c>
      <c r="I841" s="3"/>
      <c r="J841" s="3">
        <v>5.9</v>
      </c>
      <c r="K841" s="3"/>
      <c r="L841" s="3">
        <v>46</v>
      </c>
      <c r="M841" s="21">
        <f>1-AVERAGE(N841:R841)</f>
        <v>0.12425024266591722</v>
      </c>
      <c r="N841" s="20">
        <f>ABS($D$2-F841)/F841</f>
        <v>0.4579439252336448</v>
      </c>
      <c r="O841" s="20">
        <f>ABS($E$2-G841)/G841</f>
        <v>0.39583333333333331</v>
      </c>
      <c r="P841" s="20">
        <f>ABS($F$2-H841)/H841</f>
        <v>0.40909090909090901</v>
      </c>
      <c r="Q841" s="20">
        <f>ABS($H$2-J841)/J841</f>
        <v>2.4745762711864403</v>
      </c>
      <c r="R841" s="20">
        <f>ABS($J$2-L841)/L841</f>
        <v>0.64130434782608692</v>
      </c>
    </row>
    <row r="842" spans="1:18" ht="15.75" customHeight="1" x14ac:dyDescent="0.2">
      <c r="A842">
        <v>77</v>
      </c>
      <c r="B842" s="1" t="s">
        <v>86</v>
      </c>
      <c r="C842" s="1" t="s">
        <v>87</v>
      </c>
      <c r="D842" s="2"/>
      <c r="E842" s="6" t="s">
        <v>40</v>
      </c>
      <c r="F842" s="3">
        <f>(0.57+0.81)/2</f>
        <v>0.69</v>
      </c>
      <c r="G842" s="3">
        <v>6</v>
      </c>
      <c r="H842" s="3">
        <v>6.1</v>
      </c>
      <c r="I842" s="3"/>
      <c r="J842" s="3">
        <v>30</v>
      </c>
      <c r="K842" s="3"/>
      <c r="L842" s="3">
        <v>81</v>
      </c>
      <c r="M842" s="21">
        <f>1-AVERAGE(N842:R842)</f>
        <v>0.12125700659081518</v>
      </c>
      <c r="N842" s="20">
        <f>ABS($D$2-F842)/F842</f>
        <v>0.15942028985507228</v>
      </c>
      <c r="O842" s="20">
        <f>ABS($E$2-G842)/G842</f>
        <v>3.8333333333333335</v>
      </c>
      <c r="P842" s="20">
        <f>ABS($F$2-H842)/H842</f>
        <v>1.6393442622950907E-2</v>
      </c>
      <c r="Q842" s="20">
        <f>ABS($H$2-J842)/J842</f>
        <v>0.31666666666666665</v>
      </c>
      <c r="R842" s="20">
        <f>ABS($J$2-L842)/L842</f>
        <v>6.7901234567901231E-2</v>
      </c>
    </row>
    <row r="843" spans="1:18" ht="15.75" customHeight="1" x14ac:dyDescent="0.2">
      <c r="A843">
        <v>450</v>
      </c>
      <c r="B843" s="9" t="s">
        <v>354</v>
      </c>
      <c r="E843" s="6" t="s">
        <v>40</v>
      </c>
      <c r="F843" s="3">
        <v>0.64</v>
      </c>
      <c r="G843" s="3">
        <v>25</v>
      </c>
      <c r="H843" s="3">
        <v>3.2</v>
      </c>
      <c r="I843" s="3"/>
      <c r="J843" s="3">
        <v>5.3</v>
      </c>
      <c r="K843" s="3"/>
      <c r="L843" s="3">
        <v>55</v>
      </c>
      <c r="M843" s="21">
        <f>1-AVERAGE(N843:R843)</f>
        <v>0.11361963979416811</v>
      </c>
      <c r="N843" s="20">
        <f>ABS($D$2-F843)/F843</f>
        <v>9.3749999999999903E-2</v>
      </c>
      <c r="O843" s="20">
        <f>ABS($E$2-G843)/G843</f>
        <v>0.16</v>
      </c>
      <c r="P843" s="20">
        <f>ABS($F$2-H843)/H843</f>
        <v>0.9375</v>
      </c>
      <c r="Q843" s="20">
        <f>ABS($H$2-J843)/J843</f>
        <v>2.8679245283018866</v>
      </c>
      <c r="R843" s="20">
        <f>ABS($J$2-L843)/L843</f>
        <v>0.37272727272727274</v>
      </c>
    </row>
    <row r="844" spans="1:18" ht="15.75" customHeight="1" x14ac:dyDescent="0.2">
      <c r="A844">
        <v>513</v>
      </c>
      <c r="B844" s="9" t="s">
        <v>403</v>
      </c>
      <c r="E844" s="6" t="s">
        <v>40</v>
      </c>
      <c r="F844" s="3">
        <f>(0.99+1.05)/2</f>
        <v>1.02</v>
      </c>
      <c r="G844" s="3">
        <f>(47+76)/2</f>
        <v>61.5</v>
      </c>
      <c r="H844" s="3">
        <f>(4+5.3)/2</f>
        <v>4.6500000000000004</v>
      </c>
      <c r="I844" s="3"/>
      <c r="J844" s="3">
        <f>(5.4+7.2)/2</f>
        <v>6.3000000000000007</v>
      </c>
      <c r="K844" s="3"/>
      <c r="L844" s="3">
        <f>(39+41)/2</f>
        <v>40</v>
      </c>
      <c r="M844" s="21">
        <f>1-AVERAGE(N844:R844)</f>
        <v>0.113074115825192</v>
      </c>
      <c r="N844" s="20">
        <f>ABS($D$2-F844)/F844</f>
        <v>0.43137254901960781</v>
      </c>
      <c r="O844" s="20">
        <f>ABS($E$2-G844)/G844</f>
        <v>0.52845528455284552</v>
      </c>
      <c r="P844" s="20">
        <f>ABS($F$2-H844)/H844</f>
        <v>0.33333333333333326</v>
      </c>
      <c r="Q844" s="20">
        <f>ABS($H$2-J844)/J844</f>
        <v>2.2539682539682535</v>
      </c>
      <c r="R844" s="20">
        <f>ABS($J$2-L844)/L844</f>
        <v>0.88749999999999996</v>
      </c>
    </row>
    <row r="845" spans="1:18" ht="15.75" customHeight="1" x14ac:dyDescent="0.2">
      <c r="A845">
        <v>490</v>
      </c>
      <c r="B845" s="9" t="s">
        <v>386</v>
      </c>
      <c r="E845" s="6" t="s">
        <v>41</v>
      </c>
      <c r="F845" s="3">
        <v>1.3</v>
      </c>
      <c r="G845" s="3">
        <v>55.5</v>
      </c>
      <c r="H845" s="3">
        <v>5.9</v>
      </c>
      <c r="I845" s="3"/>
      <c r="J845" s="3">
        <v>5.9</v>
      </c>
      <c r="K845" s="10"/>
      <c r="L845" s="10"/>
      <c r="M845" s="21">
        <f>1-AVERAGE(N845:R845)</f>
        <v>0.11081315996570251</v>
      </c>
      <c r="N845" s="20">
        <f>ABS($D$2-F845)/F845</f>
        <v>0.55384615384615377</v>
      </c>
      <c r="O845" s="20">
        <f>ABS($E$2-G845)/G845</f>
        <v>0.47747747747747749</v>
      </c>
      <c r="P845" s="20">
        <f>ABS($F$2-H845)/H845</f>
        <v>5.0847457627118613E-2</v>
      </c>
      <c r="Q845" s="20">
        <f>ABS($H$2-J845)/J845</f>
        <v>2.4745762711864403</v>
      </c>
      <c r="R845" s="20"/>
    </row>
    <row r="846" spans="1:18" ht="15.75" customHeight="1" x14ac:dyDescent="0.2">
      <c r="A846">
        <v>633</v>
      </c>
      <c r="B846" s="6" t="s">
        <v>508</v>
      </c>
      <c r="C846" s="6" t="s">
        <v>509</v>
      </c>
      <c r="D846" s="7"/>
      <c r="E846" s="6" t="s">
        <v>495</v>
      </c>
      <c r="F846" s="1">
        <v>0.33</v>
      </c>
      <c r="G846" s="4">
        <v>26</v>
      </c>
      <c r="H846" s="4">
        <v>4.5</v>
      </c>
      <c r="I846" s="4"/>
      <c r="J846" s="4">
        <f>(4.5+5.6)/2</f>
        <v>5.05</v>
      </c>
      <c r="K846" s="4"/>
      <c r="L846" s="4">
        <v>65</v>
      </c>
      <c r="M846" s="21">
        <f>1-AVERAGE(N846:R846)</f>
        <v>0.10566348942586556</v>
      </c>
      <c r="N846" s="20">
        <f>ABS($D$2-F846)/F846</f>
        <v>0.75757575757575768</v>
      </c>
      <c r="O846" s="20">
        <f>ABS($E$2-G846)/G846</f>
        <v>0.11538461538461539</v>
      </c>
      <c r="P846" s="20">
        <f>ABS($F$2-H846)/H846</f>
        <v>0.37777777777777782</v>
      </c>
      <c r="Q846" s="20">
        <f>ABS($H$2-J846)/J846</f>
        <v>3.0594059405940595</v>
      </c>
      <c r="R846" s="20">
        <f>ABS($J$2-L846)/L846</f>
        <v>0.16153846153846155</v>
      </c>
    </row>
    <row r="847" spans="1:18" ht="15.75" customHeight="1" x14ac:dyDescent="0.2">
      <c r="A847">
        <v>259</v>
      </c>
      <c r="B847" s="9" t="s">
        <v>214</v>
      </c>
      <c r="E847" s="6" t="s">
        <v>40</v>
      </c>
      <c r="F847" s="3">
        <f>(0.24+0.29)/2</f>
        <v>0.26500000000000001</v>
      </c>
      <c r="G847" s="3">
        <f>(13+16)/2</f>
        <v>14.5</v>
      </c>
      <c r="H847" s="3">
        <f>(3.3+4)/2</f>
        <v>3.65</v>
      </c>
      <c r="I847" s="3"/>
      <c r="J847" s="3">
        <f>(6+12)/2</f>
        <v>9</v>
      </c>
      <c r="K847" s="3"/>
      <c r="L847" s="3">
        <f>(50+57)/2</f>
        <v>53.5</v>
      </c>
      <c r="M847" s="21">
        <f>1-AVERAGE(N847:R847)</f>
        <v>8.4739577336374716E-2</v>
      </c>
      <c r="N847" s="20">
        <f>ABS($D$2-F847)/F847</f>
        <v>1.188679245283019</v>
      </c>
      <c r="O847" s="20">
        <f>ABS($E$2-G847)/G847</f>
        <v>1</v>
      </c>
      <c r="P847" s="20">
        <f>ABS($F$2-H847)/H847</f>
        <v>0.6986301369863015</v>
      </c>
      <c r="Q847" s="20">
        <f>ABS($H$2-J847)/J847</f>
        <v>1.2777777777777777</v>
      </c>
      <c r="R847" s="20">
        <f>ABS($J$2-L847)/L847</f>
        <v>0.41121495327102803</v>
      </c>
    </row>
    <row r="848" spans="1:18" ht="15.75" customHeight="1" x14ac:dyDescent="0.2">
      <c r="A848">
        <v>278</v>
      </c>
      <c r="B848" s="9" t="s">
        <v>225</v>
      </c>
      <c r="E848" s="6" t="s">
        <v>40</v>
      </c>
      <c r="F848" s="3">
        <f>(0.27+0.28)/2</f>
        <v>0.27500000000000002</v>
      </c>
      <c r="G848" s="3">
        <f>(22+25)/2</f>
        <v>23.5</v>
      </c>
      <c r="H848" s="3">
        <f>(3.9+4.3)/2</f>
        <v>4.0999999999999996</v>
      </c>
      <c r="I848" s="3"/>
      <c r="J848" s="3">
        <f>(5.2+6.5)/2</f>
        <v>5.85</v>
      </c>
      <c r="K848" s="3"/>
      <c r="L848" s="3">
        <f>(57+63)/2</f>
        <v>60</v>
      </c>
      <c r="M848" s="21">
        <f>1-AVERAGE(N848:R848)</f>
        <v>7.6412915631908773E-2</v>
      </c>
      <c r="N848" s="20">
        <f>ABS($D$2-F848)/F848</f>
        <v>1.1090909090909091</v>
      </c>
      <c r="O848" s="20">
        <f>ABS($E$2-G848)/G848</f>
        <v>0.23404255319148937</v>
      </c>
      <c r="P848" s="20">
        <f>ABS($F$2-H848)/H848</f>
        <v>0.51219512195121963</v>
      </c>
      <c r="Q848" s="20">
        <f>ABS($H$2-J848)/J848</f>
        <v>2.5042735042735047</v>
      </c>
      <c r="R848" s="20">
        <f>ABS($J$2-L848)/L848</f>
        <v>0.25833333333333336</v>
      </c>
    </row>
    <row r="849" spans="1:18" ht="15.75" customHeight="1" x14ac:dyDescent="0.2">
      <c r="A849">
        <v>336</v>
      </c>
      <c r="B849" s="9" t="s">
        <v>265</v>
      </c>
      <c r="E849" s="6" t="s">
        <v>40</v>
      </c>
      <c r="F849" s="3">
        <f>(0.87+1.05)/2</f>
        <v>0.96</v>
      </c>
      <c r="G849" s="3">
        <f>(29+33)/2</f>
        <v>31</v>
      </c>
      <c r="H849" s="3">
        <f>(10+11.6)/2</f>
        <v>10.8</v>
      </c>
      <c r="I849" s="3"/>
      <c r="J849" s="3">
        <f>(5.1+5.8)/2</f>
        <v>5.4499999999999993</v>
      </c>
      <c r="K849" s="3"/>
      <c r="L849" s="3">
        <f>(35.5+40)/2</f>
        <v>37.75</v>
      </c>
      <c r="M849" s="21">
        <f>1-AVERAGE(N849:R849)</f>
        <v>7.0451344360045076E-2</v>
      </c>
      <c r="N849" s="20">
        <f>ABS($D$2-F849)/F849</f>
        <v>0.39583333333333326</v>
      </c>
      <c r="O849" s="20">
        <f>ABS($E$2-G849)/G849</f>
        <v>6.4516129032258063E-2</v>
      </c>
      <c r="P849" s="20">
        <f>ABS($F$2-H849)/H849</f>
        <v>0.42592592592592593</v>
      </c>
      <c r="Q849" s="20">
        <f>ABS($H$2-J849)/J849</f>
        <v>2.7614678899082574</v>
      </c>
      <c r="R849" s="20">
        <f>ABS($J$2-L849)/L849</f>
        <v>1</v>
      </c>
    </row>
    <row r="850" spans="1:18" ht="15.75" customHeight="1" x14ac:dyDescent="0.2">
      <c r="A850">
        <v>506</v>
      </c>
      <c r="B850" s="9" t="s">
        <v>397</v>
      </c>
      <c r="C850" s="9" t="s">
        <v>398</v>
      </c>
      <c r="E850" s="6" t="s">
        <v>40</v>
      </c>
      <c r="F850" s="3">
        <f>(3.82+4.03)/2</f>
        <v>3.9249999999999998</v>
      </c>
      <c r="G850" s="3">
        <f>(41+47)/2</f>
        <v>44</v>
      </c>
      <c r="H850" s="3">
        <f>(4.6+4.9)/2</f>
        <v>4.75</v>
      </c>
      <c r="I850" s="3"/>
      <c r="J850" s="3">
        <f>(4.7+5.8)/2</f>
        <v>5.25</v>
      </c>
      <c r="K850" s="3"/>
      <c r="L850" s="3">
        <v>58.3</v>
      </c>
      <c r="M850" s="21">
        <f>1-AVERAGE(N850:R850)</f>
        <v>6.0362163616643372E-2</v>
      </c>
      <c r="N850" s="20">
        <f>ABS($D$2-F850)/F850</f>
        <v>0.85222929936305725</v>
      </c>
      <c r="O850" s="20">
        <f>ABS($E$2-G850)/G850</f>
        <v>0.34090909090909088</v>
      </c>
      <c r="P850" s="20">
        <f>ABS($F$2-H850)/H850</f>
        <v>0.3052631578947369</v>
      </c>
      <c r="Q850" s="20">
        <f>ABS($H$2-J850)/J850</f>
        <v>2.9047619047619047</v>
      </c>
      <c r="R850" s="20">
        <f>ABS($J$2-L850)/L850</f>
        <v>0.29502572898799317</v>
      </c>
    </row>
    <row r="851" spans="1:18" ht="15.75" customHeight="1" x14ac:dyDescent="0.2">
      <c r="A851">
        <v>629</v>
      </c>
      <c r="B851" s="6" t="s">
        <v>502</v>
      </c>
      <c r="C851" s="6" t="s">
        <v>503</v>
      </c>
      <c r="D851" s="7"/>
      <c r="E851" s="6" t="s">
        <v>495</v>
      </c>
      <c r="F851" s="1">
        <f>(0.47+0.54)/2</f>
        <v>0.505</v>
      </c>
      <c r="G851" s="4">
        <v>30</v>
      </c>
      <c r="H851" s="4">
        <v>5.9</v>
      </c>
      <c r="I851" s="4"/>
      <c r="J851" s="4">
        <v>3.8</v>
      </c>
      <c r="K851" s="4"/>
      <c r="L851" s="4">
        <v>61</v>
      </c>
      <c r="M851" s="21">
        <f>1-AVERAGE(N851:R851)</f>
        <v>2.6972519483270063E-2</v>
      </c>
      <c r="N851" s="20">
        <f>ABS($D$2-F851)/F851</f>
        <v>0.14851485148514865</v>
      </c>
      <c r="O851" s="20">
        <f>ABS($E$2-G851)/G851</f>
        <v>3.3333333333333333E-2</v>
      </c>
      <c r="P851" s="20">
        <f>ABS($F$2-H851)/H851</f>
        <v>5.0847457627118613E-2</v>
      </c>
      <c r="Q851" s="20">
        <f>ABS($H$2-J851)/J851</f>
        <v>4.3947368421052628</v>
      </c>
      <c r="R851" s="20">
        <f>ABS($J$2-L851)/L851</f>
        <v>0.23770491803278687</v>
      </c>
    </row>
    <row r="852" spans="1:18" ht="15.75" customHeight="1" x14ac:dyDescent="0.2">
      <c r="A852">
        <v>172</v>
      </c>
      <c r="B852" s="1" t="s">
        <v>147</v>
      </c>
      <c r="C852" s="1" t="s">
        <v>148</v>
      </c>
      <c r="D852" s="2"/>
      <c r="E852" s="6" t="s">
        <v>41</v>
      </c>
      <c r="F852" s="3">
        <f>(0.95+1.1)/2</f>
        <v>1.0249999999999999</v>
      </c>
      <c r="G852" s="3">
        <f>(15+18)/2</f>
        <v>16.5</v>
      </c>
      <c r="H852" s="3">
        <f>(5.5+6.7)/2</f>
        <v>6.1</v>
      </c>
      <c r="I852" s="3"/>
      <c r="J852" s="3">
        <f>(5+6)/2</f>
        <v>5.5</v>
      </c>
      <c r="K852" s="3"/>
      <c r="L852" s="3"/>
      <c r="M852" s="21">
        <f>1-AVERAGE(N852:R852)</f>
        <v>1.6152932766287487E-2</v>
      </c>
      <c r="N852" s="20">
        <f>ABS($D$2-F852)/F852</f>
        <v>0.43414634146341452</v>
      </c>
      <c r="O852" s="20">
        <f>ABS($E$2-G852)/G852</f>
        <v>0.75757575757575757</v>
      </c>
      <c r="P852" s="20">
        <f>ABS($F$2-H852)/H852</f>
        <v>1.6393442622950907E-2</v>
      </c>
      <c r="Q852" s="20">
        <f>ABS($H$2-J852)/J852</f>
        <v>2.7272727272727271</v>
      </c>
      <c r="R852" s="20"/>
    </row>
    <row r="853" spans="1:18" ht="15.75" customHeight="1" x14ac:dyDescent="0.2">
      <c r="A853">
        <v>157</v>
      </c>
      <c r="B853" s="1" t="s">
        <v>136</v>
      </c>
      <c r="C853" s="1" t="s">
        <v>137</v>
      </c>
      <c r="D853" s="2"/>
      <c r="E853" s="6" t="s">
        <v>41</v>
      </c>
      <c r="F853" s="3">
        <f>(0.47+0.92)/2</f>
        <v>0.69500000000000006</v>
      </c>
      <c r="G853" s="3">
        <f>(22+31)/2</f>
        <v>26.5</v>
      </c>
      <c r="H853" s="3">
        <f>(5.9+7.6)/2</f>
        <v>6.75</v>
      </c>
      <c r="I853" s="3"/>
      <c r="J853" s="3">
        <f>(3.3+5.6)/2</f>
        <v>4.4499999999999993</v>
      </c>
      <c r="K853" s="3"/>
      <c r="L853" s="3"/>
      <c r="M853" s="21">
        <f>1-AVERAGE(N853:R853)</f>
        <v>1.2992424236004996E-2</v>
      </c>
      <c r="N853" s="20">
        <f>ABS($D$2-F853)/F853</f>
        <v>0.16546762589928055</v>
      </c>
      <c r="O853" s="20">
        <f>ABS($E$2-G853)/G853</f>
        <v>9.4339622641509441E-2</v>
      </c>
      <c r="P853" s="20">
        <f>ABS($F$2-H853)/H853</f>
        <v>8.148148148148146E-2</v>
      </c>
      <c r="Q853" s="20">
        <f>ABS($H$2-J853)/J853</f>
        <v>3.6067415730337085</v>
      </c>
      <c r="R853" s="20"/>
    </row>
    <row r="854" spans="1:18" ht="15.75" customHeight="1" x14ac:dyDescent="0.2">
      <c r="A854">
        <v>635</v>
      </c>
      <c r="B854" s="6" t="s">
        <v>510</v>
      </c>
      <c r="C854" s="6" t="s">
        <v>511</v>
      </c>
      <c r="D854" s="7"/>
      <c r="E854" s="6" t="s">
        <v>495</v>
      </c>
      <c r="F854" s="1">
        <v>3.5</v>
      </c>
      <c r="G854" s="4">
        <v>17</v>
      </c>
      <c r="H854" s="4">
        <v>5</v>
      </c>
      <c r="I854" s="4"/>
      <c r="J854" s="4">
        <v>5.0999999999999996</v>
      </c>
      <c r="K854" s="4"/>
      <c r="L854" s="4">
        <v>64</v>
      </c>
      <c r="M854" s="21">
        <f>1-AVERAGE(N854:R854)</f>
        <v>4.1073179271707838E-3</v>
      </c>
      <c r="N854" s="20">
        <f>ABS($D$2-F854)/F854</f>
        <v>0.8342857142857143</v>
      </c>
      <c r="O854" s="20">
        <f>ABS($E$2-G854)/G854</f>
        <v>0.70588235294117652</v>
      </c>
      <c r="P854" s="20">
        <f>ABS($F$2-H854)/H854</f>
        <v>0.24000000000000005</v>
      </c>
      <c r="Q854" s="20">
        <f>ABS($H$2-J854)/J854</f>
        <v>3.0196078431372553</v>
      </c>
      <c r="R854" s="20">
        <f>ABS($J$2-L854)/L854</f>
        <v>0.1796875</v>
      </c>
    </row>
    <row r="855" spans="1:18" ht="15.75" customHeight="1" x14ac:dyDescent="0.2">
      <c r="A855">
        <v>304</v>
      </c>
      <c r="B855" s="9" t="s">
        <v>239</v>
      </c>
      <c r="E855" s="6" t="s">
        <v>41</v>
      </c>
      <c r="F855" s="3">
        <v>0.4</v>
      </c>
      <c r="G855" s="3">
        <v>40</v>
      </c>
      <c r="H855" s="3">
        <v>4</v>
      </c>
      <c r="I855" s="3"/>
      <c r="J855" s="3">
        <f>(5+6)/2</f>
        <v>5.5</v>
      </c>
      <c r="K855" s="3"/>
      <c r="L855" s="3"/>
      <c r="M855" s="21">
        <f>1-AVERAGE(N855:R855)</f>
        <v>-5.6818181818174551E-4</v>
      </c>
      <c r="N855" s="20">
        <f>ABS($D$2-F855)/F855</f>
        <v>0.45000000000000012</v>
      </c>
      <c r="O855" s="20">
        <f>ABS($E$2-G855)/G855</f>
        <v>0.27500000000000002</v>
      </c>
      <c r="P855" s="20">
        <f>ABS($F$2-H855)/H855</f>
        <v>0.55000000000000004</v>
      </c>
      <c r="Q855" s="20">
        <f>ABS($H$2-J855)/J855</f>
        <v>2.7272727272727271</v>
      </c>
      <c r="R855" s="20"/>
    </row>
    <row r="856" spans="1:18" ht="15.75" customHeight="1" x14ac:dyDescent="0.2">
      <c r="A856">
        <v>349</v>
      </c>
      <c r="B856" s="9" t="s">
        <v>276</v>
      </c>
      <c r="E856" s="6" t="s">
        <v>41</v>
      </c>
      <c r="F856" s="3">
        <f>(0.78+0.94)/2</f>
        <v>0.86</v>
      </c>
      <c r="G856" s="3">
        <f>(46+52)/2</f>
        <v>49</v>
      </c>
      <c r="H856" s="3">
        <f>(6+7.7)/2</f>
        <v>6.85</v>
      </c>
      <c r="I856" s="3"/>
      <c r="J856" s="3">
        <f>(4.2+5.6)/2</f>
        <v>4.9000000000000004</v>
      </c>
      <c r="K856" s="3"/>
      <c r="L856" s="3"/>
      <c r="M856" s="21">
        <f>1-AVERAGE(N856:R856)</f>
        <v>-3.07716024790472E-3</v>
      </c>
      <c r="N856" s="20">
        <f>ABS($D$2-F856)/F856</f>
        <v>0.32558139534883712</v>
      </c>
      <c r="O856" s="20">
        <f>ABS($E$2-G856)/G856</f>
        <v>0.40816326530612246</v>
      </c>
      <c r="P856" s="20">
        <f>ABS($F$2-H856)/H856</f>
        <v>9.4890510948905035E-2</v>
      </c>
      <c r="Q856" s="20">
        <f>ABS($H$2-J856)/J856</f>
        <v>3.1836734693877546</v>
      </c>
      <c r="R856" s="20"/>
    </row>
    <row r="857" spans="1:18" ht="15.75" customHeight="1" x14ac:dyDescent="0.2">
      <c r="A857">
        <v>194</v>
      </c>
      <c r="B857" s="1" t="s">
        <v>162</v>
      </c>
      <c r="C857" s="1" t="s">
        <v>163</v>
      </c>
      <c r="D857" s="2"/>
      <c r="E857" s="6" t="s">
        <v>41</v>
      </c>
      <c r="F857" s="3">
        <f>(0.86+0.95)/2</f>
        <v>0.90500000000000003</v>
      </c>
      <c r="G857" s="3">
        <f>(35+37)/2</f>
        <v>36</v>
      </c>
      <c r="H857" s="3">
        <f>(7+7.5)/2</f>
        <v>7.25</v>
      </c>
      <c r="I857" s="3"/>
      <c r="J857" s="3">
        <f>(4.7+4.8)/2</f>
        <v>4.75</v>
      </c>
      <c r="K857" s="3"/>
      <c r="L857" s="3"/>
      <c r="M857" s="21">
        <f>1-AVERAGE(N857:R857)</f>
        <v>-3.5443816087497027E-3</v>
      </c>
      <c r="N857" s="20">
        <f>ABS($D$2-F857)/F857</f>
        <v>0.35911602209944743</v>
      </c>
      <c r="O857" s="20">
        <f>ABS($E$2-G857)/G857</f>
        <v>0.19444444444444445</v>
      </c>
      <c r="P857" s="20">
        <f>ABS($F$2-H857)/H857</f>
        <v>0.14482758620689654</v>
      </c>
      <c r="Q857" s="20">
        <f>ABS($H$2-J857)/J857</f>
        <v>3.3157894736842106</v>
      </c>
      <c r="R857" s="20"/>
    </row>
    <row r="858" spans="1:18" ht="15.75" customHeight="1" x14ac:dyDescent="0.2">
      <c r="A858">
        <v>108</v>
      </c>
      <c r="B858" s="1" t="s">
        <v>106</v>
      </c>
      <c r="C858" s="1"/>
      <c r="D858" s="2"/>
      <c r="E858" s="6" t="s">
        <v>40</v>
      </c>
      <c r="F858" s="3">
        <v>0.42</v>
      </c>
      <c r="G858" s="3">
        <f>(7+8)/2</f>
        <v>7.5</v>
      </c>
      <c r="H858" s="3">
        <f>(3+4)/2</f>
        <v>3.5</v>
      </c>
      <c r="I858" s="3"/>
      <c r="J858" s="3">
        <f>(10+11)/2</f>
        <v>10.5</v>
      </c>
      <c r="K858" s="3"/>
      <c r="L858" s="3">
        <v>81</v>
      </c>
      <c r="M858" s="21">
        <f>1-AVERAGE(N858:R858)</f>
        <v>-7.8659611992946132E-3</v>
      </c>
      <c r="N858" s="20">
        <f>ABS($D$2-F858)/F858</f>
        <v>0.38095238095238115</v>
      </c>
      <c r="O858" s="20">
        <f>ABS($E$2-G858)/G858</f>
        <v>2.8666666666666667</v>
      </c>
      <c r="P858" s="20">
        <f>ABS($F$2-H858)/H858</f>
        <v>0.77142857142857146</v>
      </c>
      <c r="Q858" s="20">
        <f>ABS($H$2-J858)/J858</f>
        <v>0.95238095238095233</v>
      </c>
      <c r="R858" s="20">
        <f>ABS($J$2-L858)/L858</f>
        <v>6.7901234567901231E-2</v>
      </c>
    </row>
    <row r="859" spans="1:18" ht="15.75" customHeight="1" x14ac:dyDescent="0.2">
      <c r="A859">
        <v>148</v>
      </c>
      <c r="B859" s="1" t="s">
        <v>129</v>
      </c>
      <c r="C859" s="1"/>
      <c r="D859" s="2"/>
      <c r="E859" s="6" t="s">
        <v>40</v>
      </c>
      <c r="F859" s="3">
        <f>(1.35+1.39)/2</f>
        <v>1.37</v>
      </c>
      <c r="G859" s="3">
        <f>(27+28)/2</f>
        <v>27.5</v>
      </c>
      <c r="H859" s="3">
        <v>7.3</v>
      </c>
      <c r="I859" s="3"/>
      <c r="J859" s="3">
        <f>(3.6+4.2)/2</f>
        <v>3.9000000000000004</v>
      </c>
      <c r="K859" s="3"/>
      <c r="L859" s="3">
        <f>(73+77)/2</f>
        <v>75</v>
      </c>
      <c r="M859" s="21">
        <f>1-AVERAGE(N859:R859)</f>
        <v>-8.9899289791302017E-3</v>
      </c>
      <c r="N859" s="20">
        <f>ABS($D$2-F859)/F859</f>
        <v>0.57664233576642332</v>
      </c>
      <c r="O859" s="20">
        <f>ABS($E$2-G859)/G859</f>
        <v>5.4545454545454543E-2</v>
      </c>
      <c r="P859" s="20">
        <f>ABS($F$2-H859)/H859</f>
        <v>0.15068493150684928</v>
      </c>
      <c r="Q859" s="20">
        <f>ABS($H$2-J859)/J859</f>
        <v>4.2564102564102564</v>
      </c>
      <c r="R859" s="20">
        <f>ABS($J$2-L859)/L859</f>
        <v>6.6666666666666671E-3</v>
      </c>
    </row>
    <row r="860" spans="1:18" ht="15.75" customHeight="1" x14ac:dyDescent="0.2">
      <c r="A860">
        <v>303</v>
      </c>
      <c r="B860" s="9" t="s">
        <v>239</v>
      </c>
      <c r="E860" s="6" t="s">
        <v>40</v>
      </c>
      <c r="F860" s="3">
        <f>(0.3+0.57)/2</f>
        <v>0.43499999999999994</v>
      </c>
      <c r="G860" s="3">
        <f>(26+41)/2</f>
        <v>33.5</v>
      </c>
      <c r="H860" s="3">
        <f>(3+5)/2</f>
        <v>4</v>
      </c>
      <c r="I860" s="3"/>
      <c r="J860" s="3">
        <f>(3+6.5)/2</f>
        <v>4.75</v>
      </c>
      <c r="K860" s="3"/>
      <c r="L860" s="3">
        <v>44</v>
      </c>
      <c r="M860" s="21">
        <f>1-AVERAGE(N860:R860)</f>
        <v>-9.8720512271179839E-3</v>
      </c>
      <c r="N860" s="20">
        <f>ABS($D$2-F860)/F860</f>
        <v>0.33333333333333365</v>
      </c>
      <c r="O860" s="20">
        <f>ABS($E$2-G860)/G860</f>
        <v>0.13432835820895522</v>
      </c>
      <c r="P860" s="20">
        <f>ABS($F$2-H860)/H860</f>
        <v>0.55000000000000004</v>
      </c>
      <c r="Q860" s="20">
        <f>ABS($H$2-J860)/J860</f>
        <v>3.3157894736842106</v>
      </c>
      <c r="R860" s="20">
        <f>ABS($J$2-L860)/L860</f>
        <v>0.71590909090909094</v>
      </c>
    </row>
    <row r="861" spans="1:18" ht="15.75" customHeight="1" x14ac:dyDescent="0.2">
      <c r="A861">
        <v>209</v>
      </c>
      <c r="B861" s="1" t="s">
        <v>177</v>
      </c>
      <c r="C861" s="1" t="s">
        <v>178</v>
      </c>
      <c r="D861" s="2"/>
      <c r="E861" s="6" t="s">
        <v>40</v>
      </c>
      <c r="F861" s="3">
        <f>(0.76+1.18)/2</f>
        <v>0.97</v>
      </c>
      <c r="G861" s="3">
        <f>(20+32)/2</f>
        <v>26</v>
      </c>
      <c r="H861" s="3">
        <f>(4.1+6.5)/2</f>
        <v>5.3</v>
      </c>
      <c r="I861" s="3"/>
      <c r="J861" s="3">
        <f>(3.6+5)/2</f>
        <v>4.3</v>
      </c>
      <c r="K861" s="3"/>
      <c r="L861" s="3">
        <f>(38+50)/2</f>
        <v>44</v>
      </c>
      <c r="M861" s="21">
        <f>1-AVERAGE(N861:R861)</f>
        <v>-3.4121748636728455E-2</v>
      </c>
      <c r="N861" s="20">
        <f>ABS($D$2-F861)/F861</f>
        <v>0.402061855670103</v>
      </c>
      <c r="O861" s="20">
        <f>ABS($E$2-G861)/G861</f>
        <v>0.11538461538461539</v>
      </c>
      <c r="P861" s="20">
        <f>ABS($F$2-H861)/H861</f>
        <v>0.16981132075471705</v>
      </c>
      <c r="Q861" s="20">
        <f>ABS($H$2-J861)/J861</f>
        <v>3.7674418604651163</v>
      </c>
      <c r="R861" s="20">
        <f>ABS($J$2-L861)/L861</f>
        <v>0.71590909090909094</v>
      </c>
    </row>
    <row r="862" spans="1:18" ht="15.75" customHeight="1" x14ac:dyDescent="0.2">
      <c r="A862">
        <v>211</v>
      </c>
      <c r="B862" s="1" t="s">
        <v>179</v>
      </c>
      <c r="C862" s="1" t="s">
        <v>180</v>
      </c>
      <c r="D862" s="2"/>
      <c r="E862" s="6" t="s">
        <v>40</v>
      </c>
      <c r="F862" s="3">
        <f>(0.76+1.18)/2</f>
        <v>0.97</v>
      </c>
      <c r="G862" s="3">
        <f>(20+32)/2</f>
        <v>26</v>
      </c>
      <c r="H862" s="3">
        <f>(4.1+6.5)/2</f>
        <v>5.3</v>
      </c>
      <c r="I862" s="3"/>
      <c r="J862" s="3">
        <f>(3.6+5)/2</f>
        <v>4.3</v>
      </c>
      <c r="K862" s="3"/>
      <c r="L862" s="3">
        <f>(38+50)/2</f>
        <v>44</v>
      </c>
      <c r="M862" s="21">
        <f>1-AVERAGE(N862:R862)</f>
        <v>-3.4121748636728455E-2</v>
      </c>
      <c r="N862" s="20">
        <f>ABS($D$2-F862)/F862</f>
        <v>0.402061855670103</v>
      </c>
      <c r="O862" s="20">
        <f>ABS($E$2-G862)/G862</f>
        <v>0.11538461538461539</v>
      </c>
      <c r="P862" s="20">
        <f>ABS($F$2-H862)/H862</f>
        <v>0.16981132075471705</v>
      </c>
      <c r="Q862" s="20">
        <f>ABS($H$2-J862)/J862</f>
        <v>3.7674418604651163</v>
      </c>
      <c r="R862" s="20">
        <f>ABS($J$2-L862)/L862</f>
        <v>0.71590909090909094</v>
      </c>
    </row>
    <row r="863" spans="1:18" ht="15.75" customHeight="1" x14ac:dyDescent="0.2">
      <c r="A863">
        <v>193</v>
      </c>
      <c r="B863" s="1" t="s">
        <v>162</v>
      </c>
      <c r="C863" s="1" t="s">
        <v>163</v>
      </c>
      <c r="D863" s="2"/>
      <c r="E863" s="6" t="s">
        <v>40</v>
      </c>
      <c r="F863" s="3">
        <f>(1+1.34)/2</f>
        <v>1.17</v>
      </c>
      <c r="G863" s="3">
        <f>(29+33)/2</f>
        <v>31</v>
      </c>
      <c r="H863" s="3">
        <f>(6+6.4)/2</f>
        <v>6.2</v>
      </c>
      <c r="I863" s="3"/>
      <c r="J863" s="3">
        <f>(4+4.2)/2</f>
        <v>4.0999999999999996</v>
      </c>
      <c r="K863" s="3"/>
      <c r="L863" s="3">
        <f>(45+47)/2</f>
        <v>46</v>
      </c>
      <c r="M863" s="21">
        <f>1-AVERAGE(N863:R863)</f>
        <v>-4.2018796226369837E-2</v>
      </c>
      <c r="N863" s="20">
        <f>ABS($D$2-F863)/F863</f>
        <v>0.50427350427350415</v>
      </c>
      <c r="O863" s="20">
        <f>ABS($E$2-G863)/G863</f>
        <v>6.4516129032258063E-2</v>
      </c>
      <c r="P863" s="20">
        <f>ABS($F$2-H863)/H863</f>
        <v>0</v>
      </c>
      <c r="Q863" s="20">
        <f>ABS($H$2-J863)/J863</f>
        <v>4</v>
      </c>
      <c r="R863" s="20">
        <f>ABS($J$2-L863)/L863</f>
        <v>0.64130434782608692</v>
      </c>
    </row>
    <row r="864" spans="1:18" ht="15.75" customHeight="1" x14ac:dyDescent="0.2">
      <c r="A864">
        <v>378</v>
      </c>
      <c r="B864" s="9" t="s">
        <v>295</v>
      </c>
      <c r="E864" s="6" t="s">
        <v>40</v>
      </c>
      <c r="F864" s="3">
        <v>0.85</v>
      </c>
      <c r="G864" s="3">
        <f>(35+40)/2</f>
        <v>37.5</v>
      </c>
      <c r="H864" s="3">
        <v>6</v>
      </c>
      <c r="I864" s="3"/>
      <c r="J864" s="3">
        <v>4</v>
      </c>
      <c r="K864" s="3"/>
      <c r="L864" s="3">
        <v>49</v>
      </c>
      <c r="M864" s="21">
        <f>1-AVERAGE(N864:R864)</f>
        <v>-4.869267707082825E-2</v>
      </c>
      <c r="N864" s="20">
        <f>ABS($D$2-F864)/F864</f>
        <v>0.31764705882352934</v>
      </c>
      <c r="O864" s="20">
        <f>ABS($E$2-G864)/G864</f>
        <v>0.22666666666666666</v>
      </c>
      <c r="P864" s="20">
        <f>ABS($F$2-H864)/H864</f>
        <v>3.3333333333333361E-2</v>
      </c>
      <c r="Q864" s="20">
        <f>ABS($H$2-J864)/J864</f>
        <v>4.125</v>
      </c>
      <c r="R864" s="20">
        <f>ABS($J$2-L864)/L864</f>
        <v>0.54081632653061229</v>
      </c>
    </row>
    <row r="865" spans="1:18" ht="15.75" customHeight="1" x14ac:dyDescent="0.2">
      <c r="A865">
        <v>634</v>
      </c>
      <c r="B865" s="6" t="s">
        <v>508</v>
      </c>
      <c r="C865" s="6" t="s">
        <v>509</v>
      </c>
      <c r="D865" s="7"/>
      <c r="E865" s="6" t="s">
        <v>482</v>
      </c>
      <c r="F865" s="1">
        <v>0.33</v>
      </c>
      <c r="G865" s="4">
        <v>36</v>
      </c>
      <c r="H865" s="4">
        <v>4</v>
      </c>
      <c r="I865" s="4"/>
      <c r="J865" s="4">
        <v>5.5</v>
      </c>
      <c r="K865" s="4"/>
      <c r="L865" s="4"/>
      <c r="M865" s="21">
        <f>1-AVERAGE(N865:R865)</f>
        <v>-5.7323232323232443E-2</v>
      </c>
      <c r="N865" s="20">
        <f>ABS($D$2-F865)/F865</f>
        <v>0.75757575757575768</v>
      </c>
      <c r="O865" s="20">
        <f>ABS($E$2-G865)/G865</f>
        <v>0.19444444444444445</v>
      </c>
      <c r="P865" s="20">
        <f>ABS($F$2-H865)/H865</f>
        <v>0.55000000000000004</v>
      </c>
      <c r="Q865" s="20">
        <f>ABS($H$2-J865)/J865</f>
        <v>2.7272727272727271</v>
      </c>
      <c r="R865" s="20"/>
    </row>
    <row r="866" spans="1:18" ht="15.75" customHeight="1" x14ac:dyDescent="0.2">
      <c r="A866">
        <v>346</v>
      </c>
      <c r="B866" s="9" t="s">
        <v>273</v>
      </c>
      <c r="C866" s="9" t="s">
        <v>274</v>
      </c>
      <c r="E866" s="6" t="s">
        <v>40</v>
      </c>
      <c r="F866" s="3">
        <f>(0.4+0.6)/2</f>
        <v>0.5</v>
      </c>
      <c r="G866" s="3">
        <f>(31+38)/2</f>
        <v>34.5</v>
      </c>
      <c r="H866" s="3">
        <f>(5.7+6.6)/2</f>
        <v>6.15</v>
      </c>
      <c r="I866" s="3"/>
      <c r="J866" s="3">
        <f>(3.3+4.2)/2</f>
        <v>3.75</v>
      </c>
      <c r="K866" s="3"/>
      <c r="L866" s="3">
        <v>50</v>
      </c>
      <c r="M866" s="21">
        <f>1-AVERAGE(N866:R866)</f>
        <v>-6.0843407564510343E-2</v>
      </c>
      <c r="N866" s="20">
        <f>ABS($D$2-F866)/F866</f>
        <v>0.16000000000000014</v>
      </c>
      <c r="O866" s="20">
        <f>ABS($E$2-G866)/G866</f>
        <v>0.15942028985507245</v>
      </c>
      <c r="P866" s="20">
        <f>ABS($F$2-H866)/H866</f>
        <v>8.1300813008129795E-3</v>
      </c>
      <c r="Q866" s="20">
        <f>ABS($H$2-J866)/J866</f>
        <v>4.4666666666666668</v>
      </c>
      <c r="R866" s="20">
        <f>ABS($J$2-L866)/L866</f>
        <v>0.51</v>
      </c>
    </row>
    <row r="867" spans="1:18" ht="15.75" customHeight="1" x14ac:dyDescent="0.2">
      <c r="A867">
        <v>185</v>
      </c>
      <c r="B867" s="1" t="s">
        <v>157</v>
      </c>
      <c r="C867" s="1"/>
      <c r="D867" s="2"/>
      <c r="E867" s="6" t="s">
        <v>40</v>
      </c>
      <c r="F867" s="3">
        <f>(1.11+1.55)/2</f>
        <v>1.33</v>
      </c>
      <c r="G867" s="3">
        <f>(18+23)/2</f>
        <v>20.5</v>
      </c>
      <c r="H867" s="3">
        <f>(4.2+6.2)/2</f>
        <v>5.2</v>
      </c>
      <c r="I867" s="3"/>
      <c r="J867" s="3">
        <f>(3.3+5.9)/2</f>
        <v>4.5999999999999996</v>
      </c>
      <c r="K867" s="3"/>
      <c r="L867" s="3">
        <v>41</v>
      </c>
      <c r="M867" s="21">
        <f>1-AVERAGE(N867:R867)</f>
        <v>-9.3767353369965445E-2</v>
      </c>
      <c r="N867" s="20">
        <f>ABS($D$2-F867)/F867</f>
        <v>0.56390977443609025</v>
      </c>
      <c r="O867" s="20">
        <f>ABS($E$2-G867)/G867</f>
        <v>0.41463414634146339</v>
      </c>
      <c r="P867" s="20">
        <f>ABS($F$2-H867)/H867</f>
        <v>0.19230769230769229</v>
      </c>
      <c r="Q867" s="20">
        <f>ABS($H$2-J867)/J867</f>
        <v>3.456521739130435</v>
      </c>
      <c r="R867" s="20">
        <f>ABS($J$2-L867)/L867</f>
        <v>0.84146341463414631</v>
      </c>
    </row>
    <row r="868" spans="1:18" ht="15.75" customHeight="1" x14ac:dyDescent="0.2">
      <c r="A868">
        <v>152</v>
      </c>
      <c r="B868" s="1" t="s">
        <v>132</v>
      </c>
      <c r="C868" s="1" t="s">
        <v>133</v>
      </c>
      <c r="D868" s="2"/>
      <c r="E868" s="6" t="s">
        <v>40</v>
      </c>
      <c r="F868" s="3">
        <f>(0.81+1.46)/2</f>
        <v>1.135</v>
      </c>
      <c r="G868" s="3">
        <f>(20+24)/2</f>
        <v>22</v>
      </c>
      <c r="H868" s="3">
        <f>(4.6+6.8)/2</f>
        <v>5.6999999999999993</v>
      </c>
      <c r="I868" s="3"/>
      <c r="J868" s="3">
        <f>(3.6+4.8)/2</f>
        <v>4.2</v>
      </c>
      <c r="K868" s="3"/>
      <c r="L868" s="3">
        <f>(42+47)/2</f>
        <v>44.5</v>
      </c>
      <c r="M868" s="21">
        <f>1-AVERAGE(N868:R868)</f>
        <v>-9.4493899000785753E-2</v>
      </c>
      <c r="N868" s="20">
        <f>ABS($D$2-F868)/F868</f>
        <v>0.48898678414096908</v>
      </c>
      <c r="O868" s="20">
        <f>ABS($E$2-G868)/G868</f>
        <v>0.31818181818181818</v>
      </c>
      <c r="P868" s="20">
        <f>ABS($F$2-H868)/H868</f>
        <v>8.7719298245614197E-2</v>
      </c>
      <c r="Q868" s="20">
        <f>ABS($H$2-J868)/J868</f>
        <v>3.8809523809523809</v>
      </c>
      <c r="R868" s="20">
        <f>ABS($J$2-L868)/L868</f>
        <v>0.6966292134831461</v>
      </c>
    </row>
    <row r="869" spans="1:18" ht="15.75" customHeight="1" x14ac:dyDescent="0.2">
      <c r="A869">
        <v>829</v>
      </c>
      <c r="B869" s="6" t="s">
        <v>664</v>
      </c>
      <c r="C869" s="1" t="s">
        <v>665</v>
      </c>
      <c r="D869" s="2"/>
      <c r="E869" s="6" t="s">
        <v>495</v>
      </c>
      <c r="F869" s="1">
        <v>1.7</v>
      </c>
      <c r="G869" s="4">
        <v>42</v>
      </c>
      <c r="H869" s="4">
        <v>4.9000000000000004</v>
      </c>
      <c r="I869" s="4"/>
      <c r="J869" s="4">
        <v>4.5999999999999996</v>
      </c>
      <c r="K869" s="4"/>
      <c r="L869" s="4">
        <v>41</v>
      </c>
      <c r="M869" s="21">
        <f>1-AVERAGE(N869:R869)</f>
        <v>-0.10632772302982696</v>
      </c>
      <c r="N869" s="20">
        <f>ABS($D$2-F869)/F869</f>
        <v>0.6588235294117647</v>
      </c>
      <c r="O869" s="20">
        <f>ABS($E$2-G869)/G869</f>
        <v>0.30952380952380953</v>
      </c>
      <c r="P869" s="20">
        <f>ABS($F$2-H869)/H869</f>
        <v>0.26530612244897955</v>
      </c>
      <c r="Q869" s="20">
        <f>ABS($H$2-J869)/J869</f>
        <v>3.456521739130435</v>
      </c>
      <c r="R869" s="20">
        <f>ABS($J$2-L869)/L869</f>
        <v>0.84146341463414631</v>
      </c>
    </row>
    <row r="870" spans="1:18" ht="15.75" customHeight="1" x14ac:dyDescent="0.2">
      <c r="A870">
        <v>109</v>
      </c>
      <c r="B870" s="1" t="s">
        <v>106</v>
      </c>
      <c r="C870" s="1"/>
      <c r="D870" s="2"/>
      <c r="E870" s="6" t="s">
        <v>41</v>
      </c>
      <c r="F870" s="3">
        <v>0.42</v>
      </c>
      <c r="G870" s="3">
        <f>(8+9)/2</f>
        <v>8.5</v>
      </c>
      <c r="H870" s="3">
        <f>(3+4)/2</f>
        <v>3.5</v>
      </c>
      <c r="I870" s="3"/>
      <c r="J870" s="3">
        <f>(10+12)/2</f>
        <v>11</v>
      </c>
      <c r="K870" s="3"/>
      <c r="L870" s="3"/>
      <c r="M870" s="21">
        <f>1-AVERAGE(N870:R870)</f>
        <v>-0.1069455054749171</v>
      </c>
      <c r="N870" s="20">
        <f>ABS($D$2-F870)/F870</f>
        <v>0.38095238095238115</v>
      </c>
      <c r="O870" s="20">
        <f>ABS($E$2-G870)/G870</f>
        <v>2.4117647058823528</v>
      </c>
      <c r="P870" s="20">
        <f>ABS($F$2-H870)/H870</f>
        <v>0.77142857142857146</v>
      </c>
      <c r="Q870" s="20">
        <f>ABS($H$2-J870)/J870</f>
        <v>0.86363636363636365</v>
      </c>
      <c r="R870" s="20"/>
    </row>
    <row r="871" spans="1:18" ht="15.75" customHeight="1" x14ac:dyDescent="0.2">
      <c r="A871">
        <v>466</v>
      </c>
      <c r="B871" s="9" t="s">
        <v>368</v>
      </c>
      <c r="E871" s="6" t="s">
        <v>40</v>
      </c>
      <c r="F871" s="3">
        <v>2.2999999999999998</v>
      </c>
      <c r="G871" s="3">
        <f>(40+50)/2</f>
        <v>45</v>
      </c>
      <c r="H871" s="3">
        <f>(6+7)/2</f>
        <v>6.5</v>
      </c>
      <c r="I871" s="3"/>
      <c r="J871" s="3">
        <f>(4.3+5)/2</f>
        <v>4.6500000000000004</v>
      </c>
      <c r="K871" s="3"/>
      <c r="L871" s="3">
        <v>38</v>
      </c>
      <c r="M871" s="21">
        <f>1-AVERAGE(N871:R871)</f>
        <v>-0.10899594889334319</v>
      </c>
      <c r="N871" s="20">
        <f>ABS($D$2-F871)/F871</f>
        <v>0.74782608695652164</v>
      </c>
      <c r="O871" s="20">
        <f>ABS($E$2-G871)/G871</f>
        <v>0.35555555555555557</v>
      </c>
      <c r="P871" s="20">
        <f>ABS($F$2-H871)/H871</f>
        <v>4.6153846153846129E-2</v>
      </c>
      <c r="Q871" s="20">
        <f>ABS($H$2-J871)/J871</f>
        <v>3.408602150537634</v>
      </c>
      <c r="R871" s="20">
        <f>ABS($J$2-L871)/L871</f>
        <v>0.98684210526315785</v>
      </c>
    </row>
    <row r="872" spans="1:18" ht="15.75" customHeight="1" x14ac:dyDescent="0.2">
      <c r="A872">
        <v>159</v>
      </c>
      <c r="B872" s="1" t="s">
        <v>138</v>
      </c>
      <c r="C872" s="1" t="s">
        <v>139</v>
      </c>
      <c r="D872" s="2"/>
      <c r="E872" s="6" t="s">
        <v>41</v>
      </c>
      <c r="F872" s="3">
        <f>(0.86+1.22)/2</f>
        <v>1.04</v>
      </c>
      <c r="G872" s="3">
        <f>(34+47)/2</f>
        <v>40.5</v>
      </c>
      <c r="H872" s="3">
        <f>(4.7+7.1)/2</f>
        <v>5.9</v>
      </c>
      <c r="I872" s="3"/>
      <c r="J872" s="3">
        <f>(2.9+5.9)/2</f>
        <v>4.4000000000000004</v>
      </c>
      <c r="K872" s="3"/>
      <c r="L872" s="3"/>
      <c r="M872" s="21">
        <f>1-AVERAGE(N872:R872)</f>
        <v>-0.10904916907741757</v>
      </c>
      <c r="N872" s="20">
        <f>ABS($D$2-F872)/F872</f>
        <v>0.44230769230769224</v>
      </c>
      <c r="O872" s="20">
        <f>ABS($E$2-G872)/G872</f>
        <v>0.2839506172839506</v>
      </c>
      <c r="P872" s="20">
        <f>ABS($F$2-H872)/H872</f>
        <v>5.0847457627118613E-2</v>
      </c>
      <c r="Q872" s="20">
        <f>ABS($H$2-J872)/J872</f>
        <v>3.6590909090909092</v>
      </c>
      <c r="R872" s="20"/>
    </row>
    <row r="873" spans="1:18" ht="15.75" customHeight="1" x14ac:dyDescent="0.2">
      <c r="A873">
        <v>631</v>
      </c>
      <c r="B873" s="6" t="s">
        <v>504</v>
      </c>
      <c r="C873" s="6" t="s">
        <v>505</v>
      </c>
      <c r="D873" s="7"/>
      <c r="E873" s="6" t="s">
        <v>495</v>
      </c>
      <c r="F873" s="1">
        <v>0.7</v>
      </c>
      <c r="G873" s="4">
        <v>40</v>
      </c>
      <c r="H873" s="4">
        <v>7.2</v>
      </c>
      <c r="I873" s="4"/>
      <c r="J873" s="4">
        <v>3.6</v>
      </c>
      <c r="K873" s="4"/>
      <c r="L873" s="4">
        <v>59</v>
      </c>
      <c r="M873" s="21">
        <f>1-AVERAGE(N873:R873)</f>
        <v>-0.11188458434221138</v>
      </c>
      <c r="N873" s="20">
        <f>ABS($D$2-F873)/F873</f>
        <v>0.17142857142857126</v>
      </c>
      <c r="O873" s="20">
        <f>ABS($E$2-G873)/G873</f>
        <v>0.27500000000000002</v>
      </c>
      <c r="P873" s="20">
        <f>ABS($F$2-H873)/H873</f>
        <v>0.1388888888888889</v>
      </c>
      <c r="Q873" s="20">
        <f>ABS($H$2-J873)/J873</f>
        <v>4.6944444444444438</v>
      </c>
      <c r="R873" s="20">
        <f>ABS($J$2-L873)/L873</f>
        <v>0.27966101694915252</v>
      </c>
    </row>
    <row r="874" spans="1:18" ht="15.75" customHeight="1" x14ac:dyDescent="0.2">
      <c r="A874">
        <v>426</v>
      </c>
      <c r="B874" s="9" t="s">
        <v>336</v>
      </c>
      <c r="E874" s="6" t="s">
        <v>41</v>
      </c>
      <c r="F874" s="3">
        <v>0.74</v>
      </c>
      <c r="G874" s="3">
        <v>43</v>
      </c>
      <c r="H874" s="3">
        <v>3.9</v>
      </c>
      <c r="I874" s="3"/>
      <c r="J874" s="3">
        <v>4.7</v>
      </c>
      <c r="K874" s="10"/>
      <c r="L874" s="10"/>
      <c r="M874" s="21">
        <f>1-AVERAGE(N874:R874)</f>
        <v>-0.12331083224205441</v>
      </c>
      <c r="N874" s="20">
        <f>ABS($D$2-F874)/F874</f>
        <v>0.21621621621621612</v>
      </c>
      <c r="O874" s="20">
        <f>ABS($E$2-G874)/G874</f>
        <v>0.32558139534883723</v>
      </c>
      <c r="P874" s="20">
        <f>ABS($F$2-H874)/H874</f>
        <v>0.58974358974358987</v>
      </c>
      <c r="Q874" s="20">
        <f>ABS($H$2-J874)/J874</f>
        <v>3.3617021276595747</v>
      </c>
      <c r="R874" s="20"/>
    </row>
    <row r="875" spans="1:18" ht="15.75" customHeight="1" x14ac:dyDescent="0.2">
      <c r="A875">
        <v>117</v>
      </c>
      <c r="B875" s="1" t="s">
        <v>110</v>
      </c>
      <c r="C875" s="1" t="s">
        <v>111</v>
      </c>
      <c r="D875" s="2"/>
      <c r="E875" s="6" t="s">
        <v>40</v>
      </c>
      <c r="F875" s="3">
        <f>(0.64+0.85)/2</f>
        <v>0.745</v>
      </c>
      <c r="G875" s="3">
        <f>(32+42)/2</f>
        <v>37</v>
      </c>
      <c r="H875" s="3">
        <f>(8+11)/2</f>
        <v>9.5</v>
      </c>
      <c r="I875" s="3"/>
      <c r="J875" s="3">
        <f>(2.8+4.6)/2</f>
        <v>3.6999999999999997</v>
      </c>
      <c r="K875" s="3"/>
      <c r="L875" s="3">
        <f>(53+63)/2</f>
        <v>58</v>
      </c>
      <c r="M875" s="21">
        <f>1-AVERAGE(N875:R875)</f>
        <v>-0.12546516516150752</v>
      </c>
      <c r="N875" s="20">
        <f>ABS($D$2-F875)/F875</f>
        <v>0.221476510067114</v>
      </c>
      <c r="O875" s="20">
        <f>ABS($E$2-G875)/G875</f>
        <v>0.21621621621621623</v>
      </c>
      <c r="P875" s="20">
        <f>ABS($F$2-H875)/H875</f>
        <v>0.34736842105263155</v>
      </c>
      <c r="Q875" s="20">
        <f>ABS($H$2-J875)/J875</f>
        <v>4.5405405405405412</v>
      </c>
      <c r="R875" s="20">
        <f>ABS($J$2-L875)/L875</f>
        <v>0.30172413793103448</v>
      </c>
    </row>
    <row r="876" spans="1:18" ht="15.75" customHeight="1" x14ac:dyDescent="0.2">
      <c r="A876">
        <v>189</v>
      </c>
      <c r="B876" s="1" t="s">
        <v>159</v>
      </c>
      <c r="C876" s="1"/>
      <c r="D876" s="2"/>
      <c r="E876" s="6" t="s">
        <v>40</v>
      </c>
      <c r="F876" s="3">
        <v>1.4</v>
      </c>
      <c r="G876" s="3">
        <v>40</v>
      </c>
      <c r="H876" s="3">
        <v>5.8</v>
      </c>
      <c r="I876" s="3"/>
      <c r="J876" s="3">
        <v>3.8</v>
      </c>
      <c r="K876" s="3"/>
      <c r="L876" s="3">
        <v>57</v>
      </c>
      <c r="M876" s="21">
        <f>1-AVERAGE(N876:R876)</f>
        <v>-0.12979560971393989</v>
      </c>
      <c r="N876" s="20">
        <f>ABS($D$2-F876)/F876</f>
        <v>0.58571428571428563</v>
      </c>
      <c r="O876" s="20">
        <f>ABS($E$2-G876)/G876</f>
        <v>0.27500000000000002</v>
      </c>
      <c r="P876" s="20">
        <f>ABS($F$2-H876)/H876</f>
        <v>6.8965517241379379E-2</v>
      </c>
      <c r="Q876" s="20">
        <f>ABS($H$2-J876)/J876</f>
        <v>4.3947368421052628</v>
      </c>
      <c r="R876" s="20">
        <f>ABS($J$2-L876)/L876</f>
        <v>0.32456140350877194</v>
      </c>
    </row>
    <row r="877" spans="1:18" ht="15.75" customHeight="1" x14ac:dyDescent="0.2">
      <c r="A877">
        <v>171</v>
      </c>
      <c r="B877" s="1" t="s">
        <v>147</v>
      </c>
      <c r="C877" s="1" t="s">
        <v>148</v>
      </c>
      <c r="D877" s="2"/>
      <c r="E877" s="6" t="s">
        <v>40</v>
      </c>
      <c r="F877" s="3">
        <f>(1+1.27)/2</f>
        <v>1.135</v>
      </c>
      <c r="G877" s="3">
        <f>(14+16)/2</f>
        <v>15</v>
      </c>
      <c r="H877" s="3">
        <f>(6.4+7.3)/2</f>
        <v>6.85</v>
      </c>
      <c r="I877" s="3"/>
      <c r="J877" s="3">
        <f>(4.2+4.8)/2</f>
        <v>4.5</v>
      </c>
      <c r="K877" s="3"/>
      <c r="L877" s="3">
        <f>(44+47)/2</f>
        <v>45.5</v>
      </c>
      <c r="M877" s="21">
        <f>1-AVERAGE(N877:R877)</f>
        <v>-0.14642136866388444</v>
      </c>
      <c r="N877" s="20">
        <f>ABS($D$2-F877)/F877</f>
        <v>0.48898678414096908</v>
      </c>
      <c r="O877" s="20">
        <f>ABS($E$2-G877)/G877</f>
        <v>0.93333333333333335</v>
      </c>
      <c r="P877" s="20">
        <f>ABS($F$2-H877)/H877</f>
        <v>9.4890510948905035E-2</v>
      </c>
      <c r="Q877" s="20">
        <f>ABS($H$2-J877)/J877</f>
        <v>3.5555555555555554</v>
      </c>
      <c r="R877" s="20">
        <f>ABS($J$2-L877)/L877</f>
        <v>0.65934065934065933</v>
      </c>
    </row>
    <row r="878" spans="1:18" ht="15.75" customHeight="1" x14ac:dyDescent="0.2">
      <c r="A878">
        <v>380</v>
      </c>
      <c r="B878" s="9" t="s">
        <v>298</v>
      </c>
      <c r="C878" s="9" t="s">
        <v>299</v>
      </c>
      <c r="E878" s="6" t="s">
        <v>41</v>
      </c>
      <c r="F878" s="3">
        <v>0.68</v>
      </c>
      <c r="G878" s="3">
        <v>35</v>
      </c>
      <c r="H878" s="3">
        <v>6.3</v>
      </c>
      <c r="I878" s="3"/>
      <c r="J878" s="3">
        <v>3.9</v>
      </c>
      <c r="K878" s="10"/>
      <c r="L878" s="10"/>
      <c r="M878" s="21">
        <f>1-AVERAGE(N878:R878)</f>
        <v>-0.14769266681031401</v>
      </c>
      <c r="N878" s="20">
        <f>ABS($D$2-F878)/F878</f>
        <v>0.14705882352941171</v>
      </c>
      <c r="O878" s="20">
        <f>ABS($E$2-G878)/G878</f>
        <v>0.17142857142857143</v>
      </c>
      <c r="P878" s="20">
        <f>ABS($F$2-H878)/H878</f>
        <v>1.5873015873015817E-2</v>
      </c>
      <c r="Q878" s="20">
        <f>ABS($H$2-J878)/J878</f>
        <v>4.2564102564102573</v>
      </c>
      <c r="R878" s="20"/>
    </row>
    <row r="879" spans="1:18" ht="15.75" customHeight="1" x14ac:dyDescent="0.2">
      <c r="A879">
        <v>258</v>
      </c>
      <c r="B879" s="9" t="s">
        <v>213</v>
      </c>
      <c r="E879" s="6" t="s">
        <v>41</v>
      </c>
      <c r="F879" s="3">
        <f>(0.26+0.33)/2</f>
        <v>0.29500000000000004</v>
      </c>
      <c r="G879" s="3">
        <f>(13+15)/2</f>
        <v>14</v>
      </c>
      <c r="H879" s="3">
        <f>(4.6+5.3)/2</f>
        <v>4.9499999999999993</v>
      </c>
      <c r="I879" s="3"/>
      <c r="J879" s="3">
        <f>(5.8+6.6)/2</f>
        <v>6.1999999999999993</v>
      </c>
      <c r="K879" s="3"/>
      <c r="L879" s="3"/>
      <c r="M879" s="21">
        <f>1-AVERAGE(N879:R879)</f>
        <v>-0.14912678294307602</v>
      </c>
      <c r="N879" s="20">
        <f>ABS($D$2-F879)/F879</f>
        <v>0.96610169491525422</v>
      </c>
      <c r="O879" s="20">
        <f>ABS($E$2-G879)/G879</f>
        <v>1.0714285714285714</v>
      </c>
      <c r="P879" s="20">
        <f>ABS($F$2-H879)/H879</f>
        <v>0.25252525252525276</v>
      </c>
      <c r="Q879" s="20">
        <f>ABS($H$2-J879)/J879</f>
        <v>2.306451612903226</v>
      </c>
      <c r="R879" s="20"/>
    </row>
    <row r="880" spans="1:18" ht="15.75" customHeight="1" x14ac:dyDescent="0.2">
      <c r="A880">
        <v>210</v>
      </c>
      <c r="B880" s="1" t="s">
        <v>177</v>
      </c>
      <c r="C880" s="1" t="s">
        <v>178</v>
      </c>
      <c r="D880" s="2"/>
      <c r="E880" s="6" t="s">
        <v>41</v>
      </c>
      <c r="F880" s="3">
        <f>(0.74+0.95)/2</f>
        <v>0.84499999999999997</v>
      </c>
      <c r="G880" s="3">
        <f>(21+29)/2</f>
        <v>25</v>
      </c>
      <c r="H880" s="3">
        <f>(4+5.4)/2</f>
        <v>4.7</v>
      </c>
      <c r="I880" s="3"/>
      <c r="J880" s="3">
        <f>(3.5+5)/2</f>
        <v>4.25</v>
      </c>
      <c r="K880" s="3"/>
      <c r="L880" s="3"/>
      <c r="M880" s="21">
        <f>1-AVERAGE(N880:R880)</f>
        <v>-0.15407195384763495</v>
      </c>
      <c r="N880" s="20">
        <f>ABS($D$2-F880)/F880</f>
        <v>0.31360946745562118</v>
      </c>
      <c r="O880" s="20">
        <f>ABS($E$2-G880)/G880</f>
        <v>0.16</v>
      </c>
      <c r="P880" s="20">
        <f>ABS($F$2-H880)/H880</f>
        <v>0.31914893617021273</v>
      </c>
      <c r="Q880" s="20">
        <f>ABS($H$2-J880)/J880</f>
        <v>3.8235294117647061</v>
      </c>
      <c r="R880" s="20"/>
    </row>
    <row r="881" spans="1:18" ht="15.75" customHeight="1" x14ac:dyDescent="0.2">
      <c r="A881">
        <v>212</v>
      </c>
      <c r="B881" s="1" t="s">
        <v>179</v>
      </c>
      <c r="C881" s="1" t="s">
        <v>180</v>
      </c>
      <c r="D881" s="2"/>
      <c r="E881" s="6" t="s">
        <v>41</v>
      </c>
      <c r="F881" s="3">
        <f>(0.74+0.95)/2</f>
        <v>0.84499999999999997</v>
      </c>
      <c r="G881" s="3">
        <f>(21+29)/2</f>
        <v>25</v>
      </c>
      <c r="H881" s="3">
        <f>(4+5.4)/2</f>
        <v>4.7</v>
      </c>
      <c r="I881" s="3"/>
      <c r="J881" s="3">
        <f>(3.5+5)/2</f>
        <v>4.25</v>
      </c>
      <c r="K881" s="3"/>
      <c r="L881" s="3"/>
      <c r="M881" s="21">
        <f>1-AVERAGE(N881:R881)</f>
        <v>-0.15407195384763495</v>
      </c>
      <c r="N881" s="20">
        <f>ABS($D$2-F881)/F881</f>
        <v>0.31360946745562118</v>
      </c>
      <c r="O881" s="20">
        <f>ABS($E$2-G881)/G881</f>
        <v>0.16</v>
      </c>
      <c r="P881" s="20">
        <f>ABS($F$2-H881)/H881</f>
        <v>0.31914893617021273</v>
      </c>
      <c r="Q881" s="20">
        <f>ABS($H$2-J881)/J881</f>
        <v>3.8235294117647061</v>
      </c>
      <c r="R881" s="20"/>
    </row>
    <row r="882" spans="1:18" ht="15.75" customHeight="1" x14ac:dyDescent="0.2">
      <c r="A882">
        <v>260</v>
      </c>
      <c r="B882" s="9" t="s">
        <v>214</v>
      </c>
      <c r="E882" s="6" t="s">
        <v>41</v>
      </c>
      <c r="F882" s="3">
        <f>(0.23+0.25)/2</f>
        <v>0.24</v>
      </c>
      <c r="G882" s="3">
        <f>(15+16)/2</f>
        <v>15.5</v>
      </c>
      <c r="H882" s="3">
        <v>3.8</v>
      </c>
      <c r="I882" s="3"/>
      <c r="J882" s="3">
        <f>(7.5+7.6)/2</f>
        <v>7.55</v>
      </c>
      <c r="K882" s="3"/>
      <c r="L882" s="3"/>
      <c r="M882" s="21">
        <f>1-AVERAGE(N882:R882)</f>
        <v>-0.15861128601251062</v>
      </c>
      <c r="N882" s="20">
        <f>ABS($D$2-F882)/F882</f>
        <v>1.416666666666667</v>
      </c>
      <c r="O882" s="20">
        <f>ABS($E$2-G882)/G882</f>
        <v>0.87096774193548387</v>
      </c>
      <c r="P882" s="20">
        <f>ABS($F$2-H882)/H882</f>
        <v>0.63157894736842113</v>
      </c>
      <c r="Q882" s="20">
        <f>ABS($H$2-J882)/J882</f>
        <v>1.7152317880794701</v>
      </c>
      <c r="R882" s="20"/>
    </row>
    <row r="883" spans="1:18" ht="15.75" customHeight="1" x14ac:dyDescent="0.2">
      <c r="A883">
        <v>288</v>
      </c>
      <c r="B883" s="9" t="s">
        <v>230</v>
      </c>
      <c r="E883" s="6" t="s">
        <v>41</v>
      </c>
      <c r="F883" s="3">
        <f>(0.6+0.8)/2</f>
        <v>0.7</v>
      </c>
      <c r="G883" s="3">
        <v>22</v>
      </c>
      <c r="H883" s="3">
        <v>4.3</v>
      </c>
      <c r="I883" s="3"/>
      <c r="J883" s="3">
        <v>4.3</v>
      </c>
      <c r="K883" s="3"/>
      <c r="L883" s="3"/>
      <c r="M883" s="21">
        <f>1-AVERAGE(N883:R883)</f>
        <v>-0.17472817879794622</v>
      </c>
      <c r="N883" s="20">
        <f>ABS($D$2-F883)/F883</f>
        <v>0.17142857142857126</v>
      </c>
      <c r="O883" s="20">
        <f>ABS($E$2-G883)/G883</f>
        <v>0.31818181818181818</v>
      </c>
      <c r="P883" s="20">
        <f>ABS($F$2-H883)/H883</f>
        <v>0.44186046511627919</v>
      </c>
      <c r="Q883" s="20">
        <f>ABS($H$2-J883)/J883</f>
        <v>3.7674418604651163</v>
      </c>
      <c r="R883" s="20"/>
    </row>
    <row r="884" spans="1:18" ht="15.75" customHeight="1" x14ac:dyDescent="0.2">
      <c r="A884">
        <v>170</v>
      </c>
      <c r="B884" s="1" t="s">
        <v>146</v>
      </c>
      <c r="C884" s="1"/>
      <c r="D884" s="2"/>
      <c r="E884" s="6" t="s">
        <v>41</v>
      </c>
      <c r="F884" s="3">
        <f>(0.54+0.6)/2</f>
        <v>0.57000000000000006</v>
      </c>
      <c r="G884" s="3">
        <f>(17+20)/2</f>
        <v>18.5</v>
      </c>
      <c r="H884" s="3">
        <f>(6+7)/2</f>
        <v>6.5</v>
      </c>
      <c r="I884" s="3"/>
      <c r="J884" s="3">
        <f>(3.8+4.2)/2</f>
        <v>4</v>
      </c>
      <c r="K884" s="3"/>
      <c r="L884" s="3"/>
      <c r="M884" s="21">
        <f>1-AVERAGE(N884:R884)</f>
        <v>-0.18906631834263421</v>
      </c>
      <c r="N884" s="20">
        <f>ABS($D$2-F884)/F884</f>
        <v>1.754385964912282E-2</v>
      </c>
      <c r="O884" s="20">
        <f>ABS($E$2-G884)/G884</f>
        <v>0.56756756756756754</v>
      </c>
      <c r="P884" s="20">
        <f>ABS($F$2-H884)/H884</f>
        <v>4.6153846153846129E-2</v>
      </c>
      <c r="Q884" s="20">
        <f>ABS($H$2-J884)/J884</f>
        <v>4.125</v>
      </c>
      <c r="R884" s="20"/>
    </row>
    <row r="885" spans="1:18" ht="15.75" customHeight="1" x14ac:dyDescent="0.2">
      <c r="A885">
        <v>425</v>
      </c>
      <c r="B885" s="9" t="s">
        <v>336</v>
      </c>
      <c r="E885" s="6" t="s">
        <v>40</v>
      </c>
      <c r="F885" s="3">
        <v>0.8</v>
      </c>
      <c r="G885" s="3">
        <v>33</v>
      </c>
      <c r="H885" s="3">
        <v>4.5</v>
      </c>
      <c r="I885" s="3"/>
      <c r="J885" s="3">
        <v>3.9</v>
      </c>
      <c r="K885" s="3"/>
      <c r="L885" s="3">
        <v>39</v>
      </c>
      <c r="M885" s="21">
        <f>1-AVERAGE(N885:R885)</f>
        <v>-0.19325951825951848</v>
      </c>
      <c r="N885" s="20">
        <f>ABS($D$2-F885)/F885</f>
        <v>0.27499999999999997</v>
      </c>
      <c r="O885" s="20">
        <f>ABS($E$2-G885)/G885</f>
        <v>0.12121212121212122</v>
      </c>
      <c r="P885" s="20">
        <f>ABS($F$2-H885)/H885</f>
        <v>0.37777777777777782</v>
      </c>
      <c r="Q885" s="20">
        <f>ABS($H$2-J885)/J885</f>
        <v>4.2564102564102573</v>
      </c>
      <c r="R885" s="20">
        <f>ABS($J$2-L885)/L885</f>
        <v>0.9358974358974359</v>
      </c>
    </row>
    <row r="886" spans="1:18" ht="15.75" customHeight="1" x14ac:dyDescent="0.2">
      <c r="A886">
        <v>186</v>
      </c>
      <c r="B886" s="1" t="s">
        <v>157</v>
      </c>
      <c r="C886" s="1"/>
      <c r="D886" s="2"/>
      <c r="E886" s="6" t="s">
        <v>41</v>
      </c>
      <c r="F886" s="3">
        <f>(0.97+1.15)/2</f>
        <v>1.06</v>
      </c>
      <c r="G886" s="3">
        <f>(19+20)/2</f>
        <v>19.5</v>
      </c>
      <c r="H886" s="3">
        <f>(5+6.6)/2</f>
        <v>5.8</v>
      </c>
      <c r="I886" s="3"/>
      <c r="J886" s="3">
        <f>(4+4.6)/2</f>
        <v>4.3</v>
      </c>
      <c r="K886" s="3"/>
      <c r="L886" s="3"/>
      <c r="M886" s="21">
        <f>1-AVERAGE(N886:R886)</f>
        <v>-0.19410426339130704</v>
      </c>
      <c r="N886" s="20">
        <f>ABS($D$2-F886)/F886</f>
        <v>0.45283018867924524</v>
      </c>
      <c r="O886" s="20">
        <f>ABS($E$2-G886)/G886</f>
        <v>0.48717948717948717</v>
      </c>
      <c r="P886" s="20">
        <f>ABS($F$2-H886)/H886</f>
        <v>6.8965517241379379E-2</v>
      </c>
      <c r="Q886" s="20">
        <f>ABS($H$2-J886)/J886</f>
        <v>3.7674418604651163</v>
      </c>
      <c r="R886" s="20"/>
    </row>
    <row r="887" spans="1:18" ht="15.75" customHeight="1" x14ac:dyDescent="0.2">
      <c r="A887">
        <v>178</v>
      </c>
      <c r="B887" s="1" t="s">
        <v>152</v>
      </c>
      <c r="C887" s="1"/>
      <c r="D887" s="2"/>
      <c r="E887" s="6" t="s">
        <v>41</v>
      </c>
      <c r="F887" s="3">
        <f>(0.56+0.81)/2</f>
        <v>0.68500000000000005</v>
      </c>
      <c r="G887" s="3">
        <f>(25+34)/2</f>
        <v>29.5</v>
      </c>
      <c r="H887" s="3">
        <f>(6.8+9.1)/2</f>
        <v>7.9499999999999993</v>
      </c>
      <c r="I887" s="3"/>
      <c r="J887" s="3">
        <f>(3.4+4.2)/2</f>
        <v>3.8</v>
      </c>
      <c r="K887" s="3"/>
      <c r="L887" s="3"/>
      <c r="M887" s="21">
        <f>1-AVERAGE(N887:R887)</f>
        <v>-0.19627411308600107</v>
      </c>
      <c r="N887" s="20">
        <f>ABS($D$2-F887)/F887</f>
        <v>0.15328467153284667</v>
      </c>
      <c r="O887" s="20">
        <f>ABS($E$2-G887)/G887</f>
        <v>1.6949152542372881E-2</v>
      </c>
      <c r="P887" s="20">
        <f>ABS($F$2-H887)/H887</f>
        <v>0.22012578616352191</v>
      </c>
      <c r="Q887" s="20">
        <f>ABS($H$2-J887)/J887</f>
        <v>4.3947368421052628</v>
      </c>
      <c r="R887" s="20"/>
    </row>
    <row r="888" spans="1:18" ht="15.75" customHeight="1" x14ac:dyDescent="0.2">
      <c r="A888">
        <v>341</v>
      </c>
      <c r="B888" s="9" t="s">
        <v>268</v>
      </c>
      <c r="C888" s="9" t="s">
        <v>269</v>
      </c>
      <c r="E888" s="6" t="s">
        <v>40</v>
      </c>
      <c r="F888" s="3">
        <f>(0.31+0.51)/2</f>
        <v>0.41000000000000003</v>
      </c>
      <c r="G888" s="3">
        <f>(32+36)/2</f>
        <v>34</v>
      </c>
      <c r="H888" s="3">
        <f>(4+6)/2</f>
        <v>5</v>
      </c>
      <c r="I888" s="3"/>
      <c r="J888" s="3">
        <f>(3.6+3.9)/2</f>
        <v>3.75</v>
      </c>
      <c r="K888" s="3"/>
      <c r="L888" s="3">
        <v>42</v>
      </c>
      <c r="M888" s="21">
        <f>1-AVERAGE(N888:R888)</f>
        <v>-0.21319573683131798</v>
      </c>
      <c r="N888" s="20">
        <f>ABS($D$2-F888)/F888</f>
        <v>0.41463414634146351</v>
      </c>
      <c r="O888" s="20">
        <f>ABS($E$2-G888)/G888</f>
        <v>0.14705882352941177</v>
      </c>
      <c r="P888" s="20">
        <f>ABS($F$2-H888)/H888</f>
        <v>0.24000000000000005</v>
      </c>
      <c r="Q888" s="20">
        <f>ABS($H$2-J888)/J888</f>
        <v>4.4666666666666668</v>
      </c>
      <c r="R888" s="20">
        <f>ABS($J$2-L888)/L888</f>
        <v>0.79761904761904767</v>
      </c>
    </row>
    <row r="889" spans="1:18" ht="15.75" customHeight="1" x14ac:dyDescent="0.2">
      <c r="A889">
        <v>318</v>
      </c>
      <c r="B889" s="9" t="s">
        <v>254</v>
      </c>
      <c r="E889" s="6" t="s">
        <v>40</v>
      </c>
      <c r="F889" s="3">
        <f>(0.4+0.47)/2</f>
        <v>0.435</v>
      </c>
      <c r="G889" s="3">
        <f>(27+31)/2</f>
        <v>29</v>
      </c>
      <c r="H889" s="3">
        <f>(3.9+4.8)/2</f>
        <v>4.3499999999999996</v>
      </c>
      <c r="I889" s="3"/>
      <c r="J889" s="3">
        <f>(3+4.3)/2</f>
        <v>3.65</v>
      </c>
      <c r="K889" s="3"/>
      <c r="L889" s="3">
        <f>(41+47)/2</f>
        <v>44</v>
      </c>
      <c r="M889" s="21">
        <f>1-AVERAGE(N889:R889)</f>
        <v>-0.21819362734572945</v>
      </c>
      <c r="N889" s="20">
        <f>ABS($D$2-F889)/F889</f>
        <v>0.33333333333333348</v>
      </c>
      <c r="O889" s="20">
        <f>ABS($E$2-G889)/G889</f>
        <v>0</v>
      </c>
      <c r="P889" s="20">
        <f>ABS($F$2-H889)/H889</f>
        <v>0.42528735632183923</v>
      </c>
      <c r="Q889" s="20">
        <f>ABS($H$2-J889)/J889</f>
        <v>4.6164383561643838</v>
      </c>
      <c r="R889" s="20">
        <f>ABS($J$2-L889)/L889</f>
        <v>0.71590909090909094</v>
      </c>
    </row>
    <row r="890" spans="1:18" ht="15.75" customHeight="1" x14ac:dyDescent="0.2">
      <c r="A890">
        <v>467</v>
      </c>
      <c r="B890" s="9" t="s">
        <v>368</v>
      </c>
      <c r="E890" s="6" t="s">
        <v>41</v>
      </c>
      <c r="F890" s="3">
        <v>2.2999999999999998</v>
      </c>
      <c r="G890" s="3">
        <v>55</v>
      </c>
      <c r="H890" s="3">
        <v>7.1</v>
      </c>
      <c r="I890" s="3"/>
      <c r="J890" s="3">
        <v>4.5</v>
      </c>
      <c r="K890" s="10"/>
      <c r="L890" s="10"/>
      <c r="M890" s="21">
        <f>1-AVERAGE(N890:R890)</f>
        <v>-0.22571736965490796</v>
      </c>
      <c r="N890" s="20">
        <f>ABS($D$2-F890)/F890</f>
        <v>0.74782608695652164</v>
      </c>
      <c r="O890" s="20">
        <f>ABS($E$2-G890)/G890</f>
        <v>0.47272727272727272</v>
      </c>
      <c r="P890" s="20">
        <f>ABS($F$2-H890)/H890</f>
        <v>0.12676056338028163</v>
      </c>
      <c r="Q890" s="20">
        <f>ABS($H$2-J890)/J890</f>
        <v>3.5555555555555554</v>
      </c>
      <c r="R890" s="20"/>
    </row>
    <row r="891" spans="1:18" ht="15.75" customHeight="1" x14ac:dyDescent="0.2">
      <c r="A891">
        <v>348</v>
      </c>
      <c r="B891" s="9" t="s">
        <v>276</v>
      </c>
      <c r="E891" s="6" t="s">
        <v>40</v>
      </c>
      <c r="F891" s="3">
        <f>(1.12+1.19)/2</f>
        <v>1.155</v>
      </c>
      <c r="G891" s="3">
        <f>(45+50)/2</f>
        <v>47.5</v>
      </c>
      <c r="H891" s="3">
        <f>(7.4+7.6)/2</f>
        <v>7.5</v>
      </c>
      <c r="I891" s="3"/>
      <c r="J891" s="3">
        <f>(3.5+3.8)/2</f>
        <v>3.65</v>
      </c>
      <c r="K891" s="3"/>
      <c r="L891" s="3">
        <f>(48.4+50)/2</f>
        <v>49.2</v>
      </c>
      <c r="M891" s="21">
        <f>1-AVERAGE(N891:R891)</f>
        <v>-0.24232674341443916</v>
      </c>
      <c r="N891" s="20">
        <f>ABS($D$2-F891)/F891</f>
        <v>0.4978354978354978</v>
      </c>
      <c r="O891" s="20">
        <f>ABS($E$2-G891)/G891</f>
        <v>0.38947368421052631</v>
      </c>
      <c r="P891" s="20">
        <f>ABS($F$2-H891)/H891</f>
        <v>0.17333333333333331</v>
      </c>
      <c r="Q891" s="20">
        <f>ABS($H$2-J891)/J891</f>
        <v>4.6164383561643838</v>
      </c>
      <c r="R891" s="20">
        <f>ABS($J$2-L891)/L891</f>
        <v>0.53455284552845517</v>
      </c>
    </row>
    <row r="892" spans="1:18" ht="15.75" customHeight="1" x14ac:dyDescent="0.2">
      <c r="A892">
        <v>379</v>
      </c>
      <c r="B892" s="9" t="s">
        <v>296</v>
      </c>
      <c r="C892" s="9" t="s">
        <v>297</v>
      </c>
      <c r="E892" s="6" t="s">
        <v>40</v>
      </c>
      <c r="F892" s="3">
        <f>(0.35+0.51)/2</f>
        <v>0.43</v>
      </c>
      <c r="G892" s="3">
        <f>(16+27)/2</f>
        <v>21.5</v>
      </c>
      <c r="H892" s="3">
        <f>(5+5.9)/2</f>
        <v>5.45</v>
      </c>
      <c r="I892" s="3"/>
      <c r="J892" s="3">
        <f>(3.2+3.7)/2</f>
        <v>3.45</v>
      </c>
      <c r="K892" s="3"/>
      <c r="L892" s="3">
        <f>(50+53)/2</f>
        <v>51.5</v>
      </c>
      <c r="M892" s="21">
        <f>1-AVERAGE(N892:R892)</f>
        <v>-0.24866750009734173</v>
      </c>
      <c r="N892" s="20">
        <f>ABS($D$2-F892)/F892</f>
        <v>0.34883720930232576</v>
      </c>
      <c r="O892" s="20">
        <f>ABS($E$2-G892)/G892</f>
        <v>0.34883720930232559</v>
      </c>
      <c r="P892" s="20">
        <f>ABS($F$2-H892)/H892</f>
        <v>0.13761467889908258</v>
      </c>
      <c r="Q892" s="20">
        <f>ABS($H$2-J892)/J892</f>
        <v>4.9420289855072461</v>
      </c>
      <c r="R892" s="20">
        <f>ABS($J$2-L892)/L892</f>
        <v>0.46601941747572817</v>
      </c>
    </row>
    <row r="893" spans="1:18" ht="15.75" customHeight="1" x14ac:dyDescent="0.2">
      <c r="A893">
        <v>190</v>
      </c>
      <c r="B893" s="1" t="s">
        <v>159</v>
      </c>
      <c r="C893" s="1"/>
      <c r="D893" s="2"/>
      <c r="E893" s="6" t="s">
        <v>41</v>
      </c>
      <c r="F893" s="3">
        <v>1.25</v>
      </c>
      <c r="G893" s="3">
        <v>35</v>
      </c>
      <c r="H893" s="3">
        <v>5.3</v>
      </c>
      <c r="I893" s="3"/>
      <c r="J893" s="3">
        <v>4</v>
      </c>
      <c r="K893" s="3"/>
      <c r="L893" s="3"/>
      <c r="M893" s="21">
        <f>1-AVERAGE(N893:R893)</f>
        <v>-0.25055997304582212</v>
      </c>
      <c r="N893" s="20">
        <f>ABS($D$2-F893)/F893</f>
        <v>0.53599999999999992</v>
      </c>
      <c r="O893" s="20">
        <f>ABS($E$2-G893)/G893</f>
        <v>0.17142857142857143</v>
      </c>
      <c r="P893" s="20">
        <f>ABS($F$2-H893)/H893</f>
        <v>0.16981132075471705</v>
      </c>
      <c r="Q893" s="20">
        <f>ABS($H$2-J893)/J893</f>
        <v>4.125</v>
      </c>
      <c r="R893" s="20"/>
    </row>
    <row r="894" spans="1:18" ht="15.75" customHeight="1" x14ac:dyDescent="0.2">
      <c r="A894">
        <v>158</v>
      </c>
      <c r="B894" s="1" t="s">
        <v>138</v>
      </c>
      <c r="C894" s="1" t="s">
        <v>139</v>
      </c>
      <c r="D894" s="2"/>
      <c r="E894" s="6" t="s">
        <v>40</v>
      </c>
      <c r="F894" s="3">
        <f>(1+1.7)/2</f>
        <v>1.35</v>
      </c>
      <c r="G894" s="3">
        <f>(27+41)/2</f>
        <v>34</v>
      </c>
      <c r="H894" s="3">
        <f>(4.7+5.8)/2</f>
        <v>5.25</v>
      </c>
      <c r="I894" s="3"/>
      <c r="J894" s="3">
        <f>(2.8+4.1)/2</f>
        <v>3.4499999999999997</v>
      </c>
      <c r="K894" s="3"/>
      <c r="L894" s="3">
        <f>(46+58)/2</f>
        <v>52</v>
      </c>
      <c r="M894" s="21">
        <f>1-AVERAGE(N894:R894)</f>
        <v>-0.25846672745649735</v>
      </c>
      <c r="N894" s="20">
        <f>ABS($D$2-F894)/F894</f>
        <v>0.57037037037037031</v>
      </c>
      <c r="O894" s="20">
        <f>ABS($E$2-G894)/G894</f>
        <v>0.14705882352941177</v>
      </c>
      <c r="P894" s="20">
        <f>ABS($F$2-H894)/H894</f>
        <v>0.18095238095238098</v>
      </c>
      <c r="Q894" s="20">
        <f>ABS($H$2-J894)/J894</f>
        <v>4.942028985507247</v>
      </c>
      <c r="R894" s="20">
        <f>ABS($J$2-L894)/L894</f>
        <v>0.45192307692307693</v>
      </c>
    </row>
    <row r="895" spans="1:18" ht="15.75" customHeight="1" x14ac:dyDescent="0.2">
      <c r="A895">
        <v>177</v>
      </c>
      <c r="B895" s="1" t="s">
        <v>152</v>
      </c>
      <c r="C895" s="1"/>
      <c r="D895" s="2"/>
      <c r="E895" s="6" t="s">
        <v>40</v>
      </c>
      <c r="F895" s="3">
        <f>(0.55+0.95)/2</f>
        <v>0.75</v>
      </c>
      <c r="G895" s="3">
        <f>(23+33)/2</f>
        <v>28</v>
      </c>
      <c r="H895" s="3">
        <f>(6.3+9.3)/2</f>
        <v>7.8000000000000007</v>
      </c>
      <c r="I895" s="3"/>
      <c r="J895" s="3">
        <f>(3+3.8)/2</f>
        <v>3.4</v>
      </c>
      <c r="K895" s="3"/>
      <c r="L895" s="3">
        <f>(37+46)/2</f>
        <v>41.5</v>
      </c>
      <c r="M895" s="21">
        <f>1-AVERAGE(N895:R895)</f>
        <v>-0.26323960612975528</v>
      </c>
      <c r="N895" s="20">
        <f>ABS($D$2-F895)/F895</f>
        <v>0.22666666666666657</v>
      </c>
      <c r="O895" s="20">
        <f>ABS($E$2-G895)/G895</f>
        <v>3.5714285714285712E-2</v>
      </c>
      <c r="P895" s="20">
        <f>ABS($F$2-H895)/H895</f>
        <v>0.20512820512820518</v>
      </c>
      <c r="Q895" s="20">
        <f>ABS($H$2-J895)/J895</f>
        <v>5.0294117647058831</v>
      </c>
      <c r="R895" s="20">
        <f>ABS($J$2-L895)/L895</f>
        <v>0.81927710843373491</v>
      </c>
    </row>
    <row r="896" spans="1:18" ht="15.75" customHeight="1" x14ac:dyDescent="0.2">
      <c r="A896">
        <v>191</v>
      </c>
      <c r="B896" s="1" t="s">
        <v>160</v>
      </c>
      <c r="C896" s="1" t="s">
        <v>161</v>
      </c>
      <c r="D896" s="2"/>
      <c r="E896" s="6" t="s">
        <v>40</v>
      </c>
      <c r="F896" s="3">
        <f>(1+1.3)/2</f>
        <v>1.1499999999999999</v>
      </c>
      <c r="G896" s="3">
        <f>(33+35)/2</f>
        <v>34</v>
      </c>
      <c r="H896" s="3">
        <f>(6+7)/2</f>
        <v>6.5</v>
      </c>
      <c r="I896" s="3"/>
      <c r="J896" s="3">
        <f>(3+4)/2</f>
        <v>3.5</v>
      </c>
      <c r="K896" s="3"/>
      <c r="L896" s="3">
        <f>(40+42)/2</f>
        <v>41</v>
      </c>
      <c r="M896" s="21">
        <f>1-AVERAGE(N896:R896)</f>
        <v>-0.27749422307466087</v>
      </c>
      <c r="N896" s="20">
        <f>ABS($D$2-F896)/F896</f>
        <v>0.49565217391304339</v>
      </c>
      <c r="O896" s="20">
        <f>ABS($E$2-G896)/G896</f>
        <v>0.14705882352941177</v>
      </c>
      <c r="P896" s="20">
        <f>ABS($F$2-H896)/H896</f>
        <v>4.6153846153846129E-2</v>
      </c>
      <c r="Q896" s="20">
        <f>ABS($H$2-J896)/J896</f>
        <v>4.8571428571428568</v>
      </c>
      <c r="R896" s="20">
        <f>ABS($J$2-L896)/L896</f>
        <v>0.84146341463414631</v>
      </c>
    </row>
    <row r="897" spans="1:18" ht="15.75" customHeight="1" x14ac:dyDescent="0.2">
      <c r="A897">
        <v>489</v>
      </c>
      <c r="B897" s="9" t="s">
        <v>386</v>
      </c>
      <c r="E897" s="6" t="s">
        <v>40</v>
      </c>
      <c r="F897" s="3">
        <v>1.5</v>
      </c>
      <c r="G897" s="3">
        <v>40</v>
      </c>
      <c r="H897" s="3">
        <v>6.25</v>
      </c>
      <c r="I897" s="3"/>
      <c r="J897" s="3">
        <v>5.2</v>
      </c>
      <c r="K897" s="3"/>
      <c r="L897" s="3">
        <v>21</v>
      </c>
      <c r="M897" s="21">
        <f>1-AVERAGE(N897:R897)</f>
        <v>-0.28677582417582426</v>
      </c>
      <c r="N897" s="20">
        <f>ABS($D$2-F897)/F897</f>
        <v>0.61333333333333329</v>
      </c>
      <c r="O897" s="20">
        <f>ABS($E$2-G897)/G897</f>
        <v>0.27500000000000002</v>
      </c>
      <c r="P897" s="20">
        <f>ABS($F$2-H897)/H897</f>
        <v>7.9999999999999724E-3</v>
      </c>
      <c r="Q897" s="20">
        <f>ABS($H$2-J897)/J897</f>
        <v>2.9423076923076925</v>
      </c>
      <c r="R897" s="20">
        <f>ABS($J$2-L897)/L897</f>
        <v>2.5952380952380953</v>
      </c>
    </row>
    <row r="898" spans="1:18" ht="15.75" customHeight="1" x14ac:dyDescent="0.2">
      <c r="A898">
        <v>67</v>
      </c>
      <c r="B898" s="6" t="s">
        <v>79</v>
      </c>
      <c r="C898" s="1"/>
      <c r="D898" s="2"/>
      <c r="E898" s="6" t="s">
        <v>40</v>
      </c>
      <c r="F898" s="3">
        <v>0.44</v>
      </c>
      <c r="G898" s="3">
        <v>5.3</v>
      </c>
      <c r="H898" s="3">
        <v>2.4</v>
      </c>
      <c r="I898" s="3"/>
      <c r="J898" s="3">
        <v>19</v>
      </c>
      <c r="K898" s="3"/>
      <c r="L898" s="3">
        <v>80</v>
      </c>
      <c r="M898" s="21">
        <f>1-AVERAGE(N898:R898)</f>
        <v>-0.30168212662875016</v>
      </c>
      <c r="N898" s="20">
        <f>ABS($D$2-F898)/F898</f>
        <v>0.31818181818181834</v>
      </c>
      <c r="O898" s="20">
        <f>ABS($E$2-G898)/G898</f>
        <v>4.4716981132075473</v>
      </c>
      <c r="P898" s="20">
        <f>ABS($F$2-H898)/H898</f>
        <v>1.5833333333333335</v>
      </c>
      <c r="Q898" s="20">
        <f>ABS($H$2-J898)/J898</f>
        <v>7.8947368421052627E-2</v>
      </c>
      <c r="R898" s="20">
        <f>ABS($J$2-L898)/L898</f>
        <v>5.6250000000000001E-2</v>
      </c>
    </row>
    <row r="899" spans="1:18" ht="15.75" customHeight="1" x14ac:dyDescent="0.2">
      <c r="A899">
        <v>118</v>
      </c>
      <c r="B899" s="1" t="s">
        <v>110</v>
      </c>
      <c r="C899" s="1" t="s">
        <v>111</v>
      </c>
      <c r="D899" s="2"/>
      <c r="E899" s="6" t="s">
        <v>41</v>
      </c>
      <c r="F899" s="3">
        <f>(0.49+0.66)/2</f>
        <v>0.57499999999999996</v>
      </c>
      <c r="G899" s="3">
        <f>(38+49)/2</f>
        <v>43.5</v>
      </c>
      <c r="H899" s="3">
        <f>(7.2+9.3)/2</f>
        <v>8.25</v>
      </c>
      <c r="I899" s="3"/>
      <c r="J899" s="3">
        <v>3.5</v>
      </c>
      <c r="K899" s="3"/>
      <c r="L899" s="3"/>
      <c r="M899" s="21">
        <f>1-AVERAGE(N899:R899)</f>
        <v>-0.36191417278373805</v>
      </c>
      <c r="N899" s="20">
        <f>ABS($D$2-F899)/F899</f>
        <v>8.6956521739132448E-3</v>
      </c>
      <c r="O899" s="20">
        <f>ABS($E$2-G899)/G899</f>
        <v>0.33333333333333331</v>
      </c>
      <c r="P899" s="20">
        <f>ABS($F$2-H899)/H899</f>
        <v>0.24848484848484848</v>
      </c>
      <c r="Q899" s="20">
        <f>ABS($H$2-J899)/J899</f>
        <v>4.8571428571428568</v>
      </c>
      <c r="R899" s="20"/>
    </row>
    <row r="900" spans="1:18" ht="15.75" customHeight="1" x14ac:dyDescent="0.2">
      <c r="A900">
        <v>169</v>
      </c>
      <c r="B900" s="1" t="s">
        <v>146</v>
      </c>
      <c r="C900" s="1"/>
      <c r="D900" s="2"/>
      <c r="E900" s="6" t="s">
        <v>40</v>
      </c>
      <c r="F900" s="3">
        <f>(0.8+0.85)/2</f>
        <v>0.82499999999999996</v>
      </c>
      <c r="G900" s="3">
        <f>(14+18)/2</f>
        <v>16</v>
      </c>
      <c r="H900" s="3">
        <f>(6+7)/2</f>
        <v>6.5</v>
      </c>
      <c r="I900" s="3"/>
      <c r="J900" s="3">
        <f>(3.2+4)/2</f>
        <v>3.6</v>
      </c>
      <c r="K900" s="3"/>
      <c r="L900" s="3">
        <f>(37+40)/2</f>
        <v>38.5</v>
      </c>
      <c r="M900" s="21">
        <f>1-AVERAGE(N900:R900)</f>
        <v>-0.36222138972138951</v>
      </c>
      <c r="N900" s="20">
        <f>ABS($D$2-F900)/F900</f>
        <v>0.29696969696969683</v>
      </c>
      <c r="O900" s="20">
        <f>ABS($E$2-G900)/G900</f>
        <v>0.8125</v>
      </c>
      <c r="P900" s="20">
        <f>ABS($F$2-H900)/H900</f>
        <v>4.6153846153846129E-2</v>
      </c>
      <c r="Q900" s="20">
        <f>ABS($H$2-J900)/J900</f>
        <v>4.6944444444444438</v>
      </c>
      <c r="R900" s="20">
        <f>ABS($J$2-L900)/L900</f>
        <v>0.96103896103896103</v>
      </c>
    </row>
    <row r="901" spans="1:18" ht="15.75" customHeight="1" x14ac:dyDescent="0.2">
      <c r="A901">
        <v>192</v>
      </c>
      <c r="B901" s="1" t="s">
        <v>160</v>
      </c>
      <c r="C901" s="1" t="s">
        <v>161</v>
      </c>
      <c r="D901" s="2"/>
      <c r="E901" s="6" t="s">
        <v>41</v>
      </c>
      <c r="F901" s="3">
        <f>(0.75+1.3)/2</f>
        <v>1.0249999999999999</v>
      </c>
      <c r="G901" s="3">
        <f>(30+32)/2</f>
        <v>31</v>
      </c>
      <c r="H901" s="3">
        <f>(5+6)/2</f>
        <v>5.5</v>
      </c>
      <c r="I901" s="3"/>
      <c r="J901" s="3">
        <f>(3+4)/2</f>
        <v>3.5</v>
      </c>
      <c r="K901" s="3"/>
      <c r="L901" s="3"/>
      <c r="M901" s="21">
        <f>1-AVERAGE(N901:R901)</f>
        <v>-0.37076951372781419</v>
      </c>
      <c r="N901" s="20">
        <f>ABS($D$2-F901)/F901</f>
        <v>0.43414634146341452</v>
      </c>
      <c r="O901" s="20">
        <f>ABS($E$2-G901)/G901</f>
        <v>6.4516129032258063E-2</v>
      </c>
      <c r="P901" s="20">
        <f>ABS($F$2-H901)/H901</f>
        <v>0.12727272727272732</v>
      </c>
      <c r="Q901" s="20">
        <f>ABS($H$2-J901)/J901</f>
        <v>4.8571428571428568</v>
      </c>
      <c r="R901" s="20"/>
    </row>
    <row r="902" spans="1:18" ht="15.75" customHeight="1" x14ac:dyDescent="0.2">
      <c r="A902">
        <v>163</v>
      </c>
      <c r="B902" s="1" t="s">
        <v>143</v>
      </c>
      <c r="C902" s="1"/>
      <c r="D902" s="2"/>
      <c r="E902" s="6" t="s">
        <v>40</v>
      </c>
      <c r="F902" s="3">
        <f>(1+1.47)/2</f>
        <v>1.2349999999999999</v>
      </c>
      <c r="G902" s="3">
        <f>(30+40)/2</f>
        <v>35</v>
      </c>
      <c r="H902" s="3">
        <f>(6+7)/2</f>
        <v>6.5</v>
      </c>
      <c r="I902" s="3"/>
      <c r="J902" s="3">
        <f>(2+4.3)/2</f>
        <v>3.15</v>
      </c>
      <c r="K902" s="3"/>
      <c r="L902" s="3">
        <f>(42+45)/2</f>
        <v>43.5</v>
      </c>
      <c r="M902" s="21">
        <f>1-AVERAGE(N902:R902)</f>
        <v>-0.39830309637932149</v>
      </c>
      <c r="N902" s="20">
        <f>ABS($D$2-F902)/F902</f>
        <v>0.53036437246963553</v>
      </c>
      <c r="O902" s="20">
        <f>ABS($E$2-G902)/G902</f>
        <v>0.17142857142857143</v>
      </c>
      <c r="P902" s="20">
        <f>ABS($F$2-H902)/H902</f>
        <v>4.6153846153846129E-2</v>
      </c>
      <c r="Q902" s="20">
        <f>ABS($H$2-J902)/J902</f>
        <v>5.5079365079365088</v>
      </c>
      <c r="R902" s="20">
        <f>ABS($J$2-L902)/L902</f>
        <v>0.73563218390804597</v>
      </c>
    </row>
    <row r="903" spans="1:18" ht="15.75" customHeight="1" x14ac:dyDescent="0.2">
      <c r="A903">
        <v>160</v>
      </c>
      <c r="B903" s="1" t="s">
        <v>140</v>
      </c>
      <c r="C903" s="1"/>
      <c r="D903" s="2"/>
      <c r="E903" s="6" t="s">
        <v>40</v>
      </c>
      <c r="F903" s="3">
        <f>(0.76+0.9)/2</f>
        <v>0.83000000000000007</v>
      </c>
      <c r="G903" s="3">
        <f>(30+36)/2</f>
        <v>33</v>
      </c>
      <c r="H903" s="3">
        <f>(5+5.3)/2</f>
        <v>5.15</v>
      </c>
      <c r="I903" s="3"/>
      <c r="J903" s="3">
        <f>(3+3.3)/2</f>
        <v>3.15</v>
      </c>
      <c r="K903" s="3"/>
      <c r="L903" s="3">
        <v>40</v>
      </c>
      <c r="M903" s="21">
        <f>1-AVERAGE(N903:R903)</f>
        <v>-0.40434738871427411</v>
      </c>
      <c r="N903" s="20">
        <f>ABS($D$2-F903)/F903</f>
        <v>0.3012048192771084</v>
      </c>
      <c r="O903" s="20">
        <f>ABS($E$2-G903)/G903</f>
        <v>0.12121212121212122</v>
      </c>
      <c r="P903" s="20">
        <f>ABS($F$2-H903)/H903</f>
        <v>0.20388349514563103</v>
      </c>
      <c r="Q903" s="20">
        <f>ABS($H$2-J903)/J903</f>
        <v>5.5079365079365088</v>
      </c>
      <c r="R903" s="20">
        <f>ABS($J$2-L903)/L903</f>
        <v>0.88749999999999996</v>
      </c>
    </row>
    <row r="904" spans="1:18" ht="15.75" customHeight="1" x14ac:dyDescent="0.2">
      <c r="A904">
        <v>630</v>
      </c>
      <c r="B904" s="6" t="s">
        <v>502</v>
      </c>
      <c r="C904" s="6" t="s">
        <v>503</v>
      </c>
      <c r="D904" s="7"/>
      <c r="E904" s="6" t="s">
        <v>482</v>
      </c>
      <c r="F904" s="1">
        <v>0.52</v>
      </c>
      <c r="G904" s="4">
        <v>33</v>
      </c>
      <c r="H904" s="4">
        <v>6</v>
      </c>
      <c r="I904" s="4"/>
      <c r="J904" s="4">
        <v>3.2</v>
      </c>
      <c r="K904" s="4"/>
      <c r="L904" s="4"/>
      <c r="M904" s="21">
        <f>1-AVERAGE(N904:R904)</f>
        <v>-0.41904501748251755</v>
      </c>
      <c r="N904" s="20">
        <f>ABS($D$2-F904)/F904</f>
        <v>0.11538461538461549</v>
      </c>
      <c r="O904" s="20">
        <f>ABS($E$2-G904)/G904</f>
        <v>0.12121212121212122</v>
      </c>
      <c r="P904" s="20">
        <f>ABS($F$2-H904)/H904</f>
        <v>3.3333333333333361E-2</v>
      </c>
      <c r="Q904" s="20">
        <f>ABS($H$2-J904)/J904</f>
        <v>5.40625</v>
      </c>
      <c r="R904" s="20"/>
    </row>
    <row r="905" spans="1:18" ht="15.75" customHeight="1" x14ac:dyDescent="0.2">
      <c r="A905">
        <v>156</v>
      </c>
      <c r="B905" s="1" t="s">
        <v>136</v>
      </c>
      <c r="C905" s="1" t="s">
        <v>137</v>
      </c>
      <c r="D905" s="2"/>
      <c r="E905" s="6" t="s">
        <v>40</v>
      </c>
      <c r="F905" s="3">
        <f>(0.54+1.26)/2</f>
        <v>0.9</v>
      </c>
      <c r="G905" s="3">
        <f>(21+27)/2</f>
        <v>24</v>
      </c>
      <c r="H905" s="3">
        <f>(5.4+8.8)/2</f>
        <v>7.1000000000000005</v>
      </c>
      <c r="I905" s="3"/>
      <c r="J905" s="3">
        <f>(2.9+3.3)/2</f>
        <v>3.0999999999999996</v>
      </c>
      <c r="K905" s="3"/>
      <c r="L905" s="3">
        <f>(39+41)/2</f>
        <v>40</v>
      </c>
      <c r="M905" s="21">
        <f>1-AVERAGE(N905:R905)</f>
        <v>-0.43821053561512446</v>
      </c>
      <c r="N905" s="20">
        <f>ABS($D$2-F905)/F905</f>
        <v>0.35555555555555551</v>
      </c>
      <c r="O905" s="20">
        <f>ABS($E$2-G905)/G905</f>
        <v>0.20833333333333334</v>
      </c>
      <c r="P905" s="20">
        <f>ABS($F$2-H905)/H905</f>
        <v>0.12676056338028174</v>
      </c>
      <c r="Q905" s="20">
        <f>ABS($H$2-J905)/J905</f>
        <v>5.612903225806452</v>
      </c>
      <c r="R905" s="20">
        <f>ABS($J$2-L905)/L905</f>
        <v>0.88749999999999996</v>
      </c>
    </row>
    <row r="906" spans="1:18" ht="15.75" customHeight="1" x14ac:dyDescent="0.2">
      <c r="A906">
        <v>404</v>
      </c>
      <c r="B906" s="9" t="s">
        <v>323</v>
      </c>
      <c r="E906" s="6" t="s">
        <v>40</v>
      </c>
      <c r="F906" s="3">
        <f>(1+1.15)/2</f>
        <v>1.075</v>
      </c>
      <c r="G906" s="3">
        <f>(38+46)/2</f>
        <v>42</v>
      </c>
      <c r="H906" s="3">
        <f>(4.5+4.8)/2</f>
        <v>4.6500000000000004</v>
      </c>
      <c r="I906" s="3"/>
      <c r="J906" s="3">
        <f>(2.9+3.5)/2</f>
        <v>3.2</v>
      </c>
      <c r="K906" s="3"/>
      <c r="L906" s="3">
        <f>(41+45)/2</f>
        <v>43</v>
      </c>
      <c r="M906" s="21">
        <f>1-AVERAGE(N906:R906)</f>
        <v>-0.45307724252491677</v>
      </c>
      <c r="N906" s="20">
        <f>ABS($D$2-F906)/F906</f>
        <v>0.46046511627906966</v>
      </c>
      <c r="O906" s="20">
        <f>ABS($E$2-G906)/G906</f>
        <v>0.30952380952380953</v>
      </c>
      <c r="P906" s="20">
        <f>ABS($F$2-H906)/H906</f>
        <v>0.33333333333333326</v>
      </c>
      <c r="Q906" s="20">
        <f>ABS($H$2-J906)/J906</f>
        <v>5.40625</v>
      </c>
      <c r="R906" s="20">
        <f>ABS($J$2-L906)/L906</f>
        <v>0.7558139534883721</v>
      </c>
    </row>
    <row r="907" spans="1:18" ht="15.75" customHeight="1" x14ac:dyDescent="0.2">
      <c r="A907">
        <v>174</v>
      </c>
      <c r="B907" s="1" t="s">
        <v>149</v>
      </c>
      <c r="C907" s="1" t="s">
        <v>150</v>
      </c>
      <c r="D907" s="2"/>
      <c r="E907" s="6" t="s">
        <v>41</v>
      </c>
      <c r="F907" s="3">
        <f>(0.83+1.05)/2</f>
        <v>0.94</v>
      </c>
      <c r="G907" s="3">
        <f>(33+46)/2</f>
        <v>39.5</v>
      </c>
      <c r="H907" s="3">
        <f>(6.3+7.2)/2</f>
        <v>6.75</v>
      </c>
      <c r="I907" s="3"/>
      <c r="J907" s="3">
        <f>(2.8+3.9)/2</f>
        <v>3.3499999999999996</v>
      </c>
      <c r="K907" s="3"/>
      <c r="L907" s="3"/>
      <c r="M907" s="21">
        <f>1-AVERAGE(N907:R907)</f>
        <v>-0.46242149369262253</v>
      </c>
      <c r="N907" s="20">
        <f>ABS($D$2-F907)/F907</f>
        <v>0.38297872340425521</v>
      </c>
      <c r="O907" s="20">
        <f>ABS($E$2-G907)/G907</f>
        <v>0.26582278481012656</v>
      </c>
      <c r="P907" s="20">
        <f>ABS($F$2-H907)/H907</f>
        <v>8.148148148148146E-2</v>
      </c>
      <c r="Q907" s="20">
        <f>ABS($H$2-J907)/J907</f>
        <v>5.1194029850746272</v>
      </c>
      <c r="R907" s="20"/>
    </row>
    <row r="908" spans="1:18" ht="15.75" customHeight="1" x14ac:dyDescent="0.2">
      <c r="A908">
        <v>173</v>
      </c>
      <c r="B908" s="1" t="s">
        <v>149</v>
      </c>
      <c r="C908" s="1" t="s">
        <v>150</v>
      </c>
      <c r="D908" s="2"/>
      <c r="E908" s="6" t="s">
        <v>40</v>
      </c>
      <c r="F908" s="3">
        <f>(0.84+1.15)/2</f>
        <v>0.99499999999999988</v>
      </c>
      <c r="G908" s="3">
        <f>(38+45)/2</f>
        <v>41.5</v>
      </c>
      <c r="H908" s="3">
        <f>(5.6+6.9)/2</f>
        <v>6.25</v>
      </c>
      <c r="I908" s="3"/>
      <c r="J908" s="3">
        <f>(2.5+3.6)/2</f>
        <v>3.05</v>
      </c>
      <c r="K908" s="3"/>
      <c r="L908" s="3">
        <f>(34+43)/2</f>
        <v>38.5</v>
      </c>
      <c r="M908" s="21">
        <f>1-AVERAGE(N908:R908)</f>
        <v>-0.48172813657231672</v>
      </c>
      <c r="N908" s="20">
        <f>ABS($D$2-F908)/F908</f>
        <v>0.41708542713567825</v>
      </c>
      <c r="O908" s="20">
        <f>ABS($E$2-G908)/G908</f>
        <v>0.30120481927710846</v>
      </c>
      <c r="P908" s="20">
        <f>ABS($F$2-H908)/H908</f>
        <v>7.9999999999999724E-3</v>
      </c>
      <c r="Q908" s="20">
        <f>ABS($H$2-J908)/J908</f>
        <v>5.721311475409836</v>
      </c>
      <c r="R908" s="20">
        <f>ABS($J$2-L908)/L908</f>
        <v>0.96103896103896103</v>
      </c>
    </row>
    <row r="909" spans="1:18" ht="15.75" customHeight="1" x14ac:dyDescent="0.2">
      <c r="A909">
        <v>319</v>
      </c>
      <c r="B909" s="9" t="s">
        <v>254</v>
      </c>
      <c r="E909" s="6" t="s">
        <v>41</v>
      </c>
      <c r="F909" s="3">
        <v>0.45</v>
      </c>
      <c r="G909" s="3">
        <v>27</v>
      </c>
      <c r="H909" s="3">
        <v>4.5</v>
      </c>
      <c r="I909" s="3"/>
      <c r="J909" s="3">
        <f>(3+3.5)/2</f>
        <v>3.25</v>
      </c>
      <c r="K909" s="3"/>
      <c r="L909" s="3"/>
      <c r="M909" s="21">
        <f>1-AVERAGE(N909:R909)</f>
        <v>-0.51210826210826221</v>
      </c>
      <c r="N909" s="20">
        <f>ABS($D$2-F909)/F909</f>
        <v>0.28888888888888903</v>
      </c>
      <c r="O909" s="20">
        <f>ABS($E$2-G909)/G909</f>
        <v>7.407407407407407E-2</v>
      </c>
      <c r="P909" s="20">
        <f>ABS($F$2-H909)/H909</f>
        <v>0.37777777777777782</v>
      </c>
      <c r="Q909" s="20">
        <f>ABS($H$2-J909)/J909</f>
        <v>5.3076923076923075</v>
      </c>
      <c r="R909" s="20"/>
    </row>
    <row r="910" spans="1:18" ht="15.75" customHeight="1" x14ac:dyDescent="0.2">
      <c r="A910">
        <v>313</v>
      </c>
      <c r="B910" s="9" t="s">
        <v>247</v>
      </c>
      <c r="C910" s="9" t="s">
        <v>248</v>
      </c>
      <c r="E910" s="6" t="s">
        <v>40</v>
      </c>
      <c r="F910" s="3">
        <f>(0.38+0.45)/2</f>
        <v>0.41500000000000004</v>
      </c>
      <c r="G910" s="3">
        <f>(16+20)/2</f>
        <v>18</v>
      </c>
      <c r="H910" s="3">
        <f>(4.8+5.3)/2</f>
        <v>5.05</v>
      </c>
      <c r="I910" s="3"/>
      <c r="J910" s="3">
        <f>(2.8+3.5)/2</f>
        <v>3.15</v>
      </c>
      <c r="K910" s="3"/>
      <c r="L910" s="3">
        <f>(38+42)/2</f>
        <v>40</v>
      </c>
      <c r="M910" s="21">
        <f>1-AVERAGE(N910:R910)</f>
        <v>-0.52637215055412634</v>
      </c>
      <c r="N910" s="20">
        <f>ABS($D$2-F910)/F910</f>
        <v>0.39759036144578319</v>
      </c>
      <c r="O910" s="20">
        <f>ABS($E$2-G910)/G910</f>
        <v>0.61111111111111116</v>
      </c>
      <c r="P910" s="20">
        <f>ABS($F$2-H910)/H910</f>
        <v>0.22772277227722781</v>
      </c>
      <c r="Q910" s="20">
        <f>ABS($H$2-J910)/J910</f>
        <v>5.5079365079365088</v>
      </c>
      <c r="R910" s="20">
        <f>ABS($J$2-L910)/L910</f>
        <v>0.88749999999999996</v>
      </c>
    </row>
    <row r="911" spans="1:18" ht="15.75" customHeight="1" x14ac:dyDescent="0.2">
      <c r="A911">
        <v>342</v>
      </c>
      <c r="B911" s="9" t="s">
        <v>268</v>
      </c>
      <c r="C911" s="9" t="s">
        <v>269</v>
      </c>
      <c r="E911" s="6" t="s">
        <v>41</v>
      </c>
      <c r="F911" s="3">
        <f>(0.31+0.38)/2</f>
        <v>0.34499999999999997</v>
      </c>
      <c r="G911" s="3">
        <f>(25+31)/2</f>
        <v>28</v>
      </c>
      <c r="H911" s="3">
        <f>(4+5.5)/2</f>
        <v>4.75</v>
      </c>
      <c r="I911" s="3"/>
      <c r="J911" s="3">
        <f>(3+3.6)/2</f>
        <v>3.3</v>
      </c>
      <c r="K911" s="3"/>
      <c r="L911" s="3"/>
      <c r="M911" s="21">
        <f>1-AVERAGE(N911:R911)</f>
        <v>-0.55856451900502258</v>
      </c>
      <c r="N911" s="20">
        <f>ABS($D$2-F911)/F911</f>
        <v>0.68115942028985543</v>
      </c>
      <c r="O911" s="20">
        <f>ABS($E$2-G911)/G911</f>
        <v>3.5714285714285712E-2</v>
      </c>
      <c r="P911" s="20">
        <f>ABS($F$2-H911)/H911</f>
        <v>0.3052631578947369</v>
      </c>
      <c r="Q911" s="20">
        <f>ABS($H$2-J911)/J911</f>
        <v>5.2121212121212119</v>
      </c>
      <c r="R911" s="20"/>
    </row>
    <row r="912" spans="1:18" ht="15.75" customHeight="1" x14ac:dyDescent="0.2">
      <c r="A912">
        <v>393</v>
      </c>
      <c r="B912" s="9" t="s">
        <v>311</v>
      </c>
      <c r="C912" s="9" t="s">
        <v>312</v>
      </c>
      <c r="E912" s="6" t="s">
        <v>40</v>
      </c>
      <c r="F912" s="3">
        <v>1.1000000000000001</v>
      </c>
      <c r="G912" s="3">
        <v>42</v>
      </c>
      <c r="H912" s="3">
        <v>5.5</v>
      </c>
      <c r="I912" s="3"/>
      <c r="J912" s="3">
        <v>2.8</v>
      </c>
      <c r="K912" s="3"/>
      <c r="L912" s="3">
        <v>43</v>
      </c>
      <c r="M912" s="21">
        <f>1-AVERAGE(N912:R912)</f>
        <v>-0.59735326688815071</v>
      </c>
      <c r="N912" s="20">
        <f>ABS($D$2-F912)/F912</f>
        <v>0.47272727272727272</v>
      </c>
      <c r="O912" s="20">
        <f>ABS($E$2-G912)/G912</f>
        <v>0.30952380952380953</v>
      </c>
      <c r="P912" s="20">
        <f>ABS($F$2-H912)/H912</f>
        <v>0.12727272727272732</v>
      </c>
      <c r="Q912" s="20">
        <f>ABS($H$2-J912)/J912</f>
        <v>6.3214285714285712</v>
      </c>
      <c r="R912" s="20">
        <f>ABS($J$2-L912)/L912</f>
        <v>0.7558139534883721</v>
      </c>
    </row>
    <row r="913" spans="1:18" ht="15.75" customHeight="1" x14ac:dyDescent="0.2">
      <c r="A913">
        <v>166</v>
      </c>
      <c r="B913" s="1" t="s">
        <v>144</v>
      </c>
      <c r="C913" s="1"/>
      <c r="D913" s="2"/>
      <c r="E913" s="6" t="s">
        <v>41</v>
      </c>
      <c r="F913" s="3">
        <f>(0.59+0.74)/2</f>
        <v>0.66500000000000004</v>
      </c>
      <c r="G913" s="3">
        <f>(30+53)/2</f>
        <v>41.5</v>
      </c>
      <c r="H913" s="3">
        <f>(6+7.6)/2</f>
        <v>6.8</v>
      </c>
      <c r="I913" s="3"/>
      <c r="J913" s="3">
        <f>(2+3.9)/2</f>
        <v>2.95</v>
      </c>
      <c r="K913" s="3"/>
      <c r="L913" s="3"/>
      <c r="M913" s="21">
        <f>1-AVERAGE(N913:R913)</f>
        <v>-0.61660305115995429</v>
      </c>
      <c r="N913" s="20">
        <f>ABS($D$2-F913)/F913</f>
        <v>0.12781954887218039</v>
      </c>
      <c r="O913" s="20">
        <f>ABS($E$2-G913)/G913</f>
        <v>0.30120481927710846</v>
      </c>
      <c r="P913" s="20">
        <f>ABS($F$2-H913)/H913</f>
        <v>8.8235294117647009E-2</v>
      </c>
      <c r="Q913" s="20">
        <f>ABS($H$2-J913)/J913</f>
        <v>5.9491525423728815</v>
      </c>
      <c r="R913" s="20"/>
    </row>
    <row r="914" spans="1:18" ht="15.75" customHeight="1" x14ac:dyDescent="0.2">
      <c r="A914">
        <v>347</v>
      </c>
      <c r="B914" s="9" t="s">
        <v>275</v>
      </c>
      <c r="E914" s="6" t="s">
        <v>40</v>
      </c>
      <c r="F914" s="3">
        <f>(1.73+1.85)/2</f>
        <v>1.79</v>
      </c>
      <c r="G914" s="3">
        <f>(39+46)/2</f>
        <v>42.5</v>
      </c>
      <c r="H914" s="3">
        <f>(4.8+5.5)/2</f>
        <v>5.15</v>
      </c>
      <c r="I914" s="3"/>
      <c r="J914" s="3">
        <f>(2.7+3.1)/2</f>
        <v>2.9000000000000004</v>
      </c>
      <c r="K914" s="3"/>
      <c r="L914" s="3">
        <f>(40+42)/2</f>
        <v>41</v>
      </c>
      <c r="M914" s="21">
        <f>1-AVERAGE(N914:R914)</f>
        <v>-0.62158742789519406</v>
      </c>
      <c r="N914" s="20">
        <f>ABS($D$2-F914)/F914</f>
        <v>0.67597765363128492</v>
      </c>
      <c r="O914" s="20">
        <f>ABS($E$2-G914)/G914</f>
        <v>0.31764705882352939</v>
      </c>
      <c r="P914" s="20">
        <f>ABS($F$2-H914)/H914</f>
        <v>0.20388349514563103</v>
      </c>
      <c r="Q914" s="20">
        <f>ABS($H$2-J914)/J914</f>
        <v>6.068965517241379</v>
      </c>
      <c r="R914" s="20">
        <f>ABS($J$2-L914)/L914</f>
        <v>0.84146341463414631</v>
      </c>
    </row>
    <row r="915" spans="1:18" ht="15.75" customHeight="1" x14ac:dyDescent="0.2">
      <c r="A915">
        <v>164</v>
      </c>
      <c r="B915" s="1" t="s">
        <v>143</v>
      </c>
      <c r="C915" s="1"/>
      <c r="D915" s="2"/>
      <c r="E915" s="6" t="s">
        <v>41</v>
      </c>
      <c r="F915" s="3">
        <f>(1+1.44)/2</f>
        <v>1.22</v>
      </c>
      <c r="G915" s="3">
        <f>(30+40)/2</f>
        <v>35</v>
      </c>
      <c r="H915" s="3">
        <f>(6+7)/2</f>
        <v>6.5</v>
      </c>
      <c r="I915" s="3"/>
      <c r="J915" s="3">
        <f>(2.7+3.3)/2</f>
        <v>3</v>
      </c>
      <c r="K915" s="3"/>
      <c r="L915" s="3"/>
      <c r="M915" s="21">
        <f>1-AVERAGE(N915:R915)</f>
        <v>-0.64387647871254416</v>
      </c>
      <c r="N915" s="20">
        <f>ABS($D$2-F915)/F915</f>
        <v>0.52459016393442615</v>
      </c>
      <c r="O915" s="20">
        <f>ABS($E$2-G915)/G915</f>
        <v>0.17142857142857143</v>
      </c>
      <c r="P915" s="20">
        <f>ABS($F$2-H915)/H915</f>
        <v>4.6153846153846129E-2</v>
      </c>
      <c r="Q915" s="20">
        <f>ABS($H$2-J915)/J915</f>
        <v>5.833333333333333</v>
      </c>
      <c r="R915" s="20"/>
    </row>
    <row r="916" spans="1:18" ht="15.75" customHeight="1" x14ac:dyDescent="0.2">
      <c r="A916">
        <v>165</v>
      </c>
      <c r="B916" s="1" t="s">
        <v>144</v>
      </c>
      <c r="C916" s="1"/>
      <c r="D916" s="2"/>
      <c r="E916" s="6" t="s">
        <v>40</v>
      </c>
      <c r="F916" s="3">
        <f>(0.72+1.01)/2</f>
        <v>0.86499999999999999</v>
      </c>
      <c r="G916" s="3">
        <f>(25+42)/2</f>
        <v>33.5</v>
      </c>
      <c r="H916" s="3">
        <f>(7+10)/2</f>
        <v>8.5</v>
      </c>
      <c r="I916" s="3"/>
      <c r="J916" s="3">
        <f>(2+3.5)/2</f>
        <v>2.75</v>
      </c>
      <c r="K916" s="3"/>
      <c r="L916" s="3">
        <f>(30+44)/2</f>
        <v>37</v>
      </c>
      <c r="M916" s="21">
        <f>1-AVERAGE(N916:R916)</f>
        <v>-0.64589647147503904</v>
      </c>
      <c r="N916" s="20">
        <f>ABS($D$2-F916)/F916</f>
        <v>0.32947976878612706</v>
      </c>
      <c r="O916" s="20">
        <f>ABS($E$2-G916)/G916</f>
        <v>0.13432835820895522</v>
      </c>
      <c r="P916" s="20">
        <f>ABS($F$2-H916)/H916</f>
        <v>0.27058823529411763</v>
      </c>
      <c r="Q916" s="20">
        <f>ABS($H$2-J916)/J916</f>
        <v>6.4545454545454541</v>
      </c>
      <c r="R916" s="20">
        <f>ABS($J$2-L916)/L916</f>
        <v>1.0405405405405406</v>
      </c>
    </row>
    <row r="917" spans="1:18" ht="15.75" customHeight="1" x14ac:dyDescent="0.2">
      <c r="A917">
        <v>241</v>
      </c>
      <c r="B917" s="9" t="s">
        <v>202</v>
      </c>
      <c r="E917" s="6" t="s">
        <v>40</v>
      </c>
      <c r="F917" s="10">
        <v>0.74</v>
      </c>
      <c r="G917" s="10">
        <v>37</v>
      </c>
      <c r="H917" s="10">
        <v>5.4</v>
      </c>
      <c r="I917" s="10"/>
      <c r="J917" s="10">
        <v>2.6</v>
      </c>
      <c r="K917" s="10"/>
      <c r="L917" s="10">
        <v>38</v>
      </c>
      <c r="M917" s="21">
        <f>1-AVERAGE(N917:R917)</f>
        <v>-0.6904076140918245</v>
      </c>
      <c r="N917" s="20">
        <f>ABS($D$2-F917)/F917</f>
        <v>0.21621621621621612</v>
      </c>
      <c r="O917" s="20">
        <f>ABS($E$2-G917)/G917</f>
        <v>0.21621621621621623</v>
      </c>
      <c r="P917" s="20">
        <f>ABS($F$2-H917)/H917</f>
        <v>0.14814814814814811</v>
      </c>
      <c r="Q917" s="20">
        <f>ABS($H$2-J917)/J917</f>
        <v>6.8846153846153841</v>
      </c>
      <c r="R917" s="20">
        <f>ABS($J$2-L917)/L917</f>
        <v>0.98684210526315785</v>
      </c>
    </row>
    <row r="918" spans="1:18" ht="15.75" customHeight="1" x14ac:dyDescent="0.2">
      <c r="A918">
        <v>176</v>
      </c>
      <c r="B918" s="1" t="s">
        <v>151</v>
      </c>
      <c r="C918" s="1"/>
      <c r="D918" s="2"/>
      <c r="E918" s="6" t="s">
        <v>41</v>
      </c>
      <c r="F918" s="3">
        <f>(0.89+1.18)/2</f>
        <v>1.0349999999999999</v>
      </c>
      <c r="G918" s="3">
        <f>(21+27)/2</f>
        <v>24</v>
      </c>
      <c r="H918" s="3">
        <f>(7.1+8.5)/2</f>
        <v>7.8</v>
      </c>
      <c r="I918" s="3"/>
      <c r="J918" s="3">
        <f>(2.5+3.2)/2</f>
        <v>2.85</v>
      </c>
      <c r="K918" s="3"/>
      <c r="L918" s="3"/>
      <c r="M918" s="21">
        <f>1-AVERAGE(N918:R918)</f>
        <v>-0.76151438029298424</v>
      </c>
      <c r="N918" s="20">
        <f>ABS($D$2-F918)/F918</f>
        <v>0.43961352657004821</v>
      </c>
      <c r="O918" s="20">
        <f>ABS($E$2-G918)/G918</f>
        <v>0.20833333333333334</v>
      </c>
      <c r="P918" s="20">
        <f>ABS($F$2-H918)/H918</f>
        <v>0.20512820512820509</v>
      </c>
      <c r="Q918" s="20">
        <f>ABS($H$2-J918)/J918</f>
        <v>6.1929824561403501</v>
      </c>
      <c r="R918" s="20"/>
    </row>
    <row r="919" spans="1:18" ht="15.75" customHeight="1" x14ac:dyDescent="0.2">
      <c r="A919">
        <v>175</v>
      </c>
      <c r="B919" s="1" t="s">
        <v>151</v>
      </c>
      <c r="C919" s="1"/>
      <c r="D919" s="2"/>
      <c r="E919" s="6" t="s">
        <v>40</v>
      </c>
      <c r="F919" s="3">
        <f>(1.15+1.28)/2</f>
        <v>1.2149999999999999</v>
      </c>
      <c r="G919" s="3">
        <f>(20+25)/2</f>
        <v>22.5</v>
      </c>
      <c r="H919" s="3">
        <f>(7.1+8.8)/2</f>
        <v>7.95</v>
      </c>
      <c r="I919" s="3"/>
      <c r="J919" s="3">
        <f>(2.3+2.9)/2</f>
        <v>2.5999999999999996</v>
      </c>
      <c r="K919" s="3"/>
      <c r="L919" s="3">
        <f>(35+39)/2</f>
        <v>37</v>
      </c>
      <c r="M919" s="21">
        <f>1-AVERAGE(N919:R919)</f>
        <v>-0.79136086901286085</v>
      </c>
      <c r="N919" s="20">
        <f>ABS($D$2-F919)/F919</f>
        <v>0.52263374485596692</v>
      </c>
      <c r="O919" s="20">
        <f>ABS($E$2-G919)/G919</f>
        <v>0.28888888888888886</v>
      </c>
      <c r="P919" s="20">
        <f>ABS($F$2-H919)/H919</f>
        <v>0.22012578616352202</v>
      </c>
      <c r="Q919" s="20">
        <f>ABS($H$2-J919)/J919</f>
        <v>6.884615384615385</v>
      </c>
      <c r="R919" s="20">
        <f>ABS($J$2-L919)/L919</f>
        <v>1.0405405405405406</v>
      </c>
    </row>
    <row r="920" spans="1:18" ht="15.75" customHeight="1" x14ac:dyDescent="0.2">
      <c r="A920">
        <v>343</v>
      </c>
      <c r="B920" s="9" t="s">
        <v>270</v>
      </c>
      <c r="E920" s="6" t="s">
        <v>40</v>
      </c>
      <c r="F920" s="3">
        <f>(0.26+0.27)/2</f>
        <v>0.26500000000000001</v>
      </c>
      <c r="G920" s="3">
        <f>(5+5.1)/2</f>
        <v>5.05</v>
      </c>
      <c r="H920" s="3"/>
      <c r="I920" s="3"/>
      <c r="J920" s="3">
        <f>(3+3.7)/2</f>
        <v>3.35</v>
      </c>
      <c r="K920" s="3"/>
      <c r="L920" s="3"/>
      <c r="M920" s="21">
        <f>1-AVERAGE(N920:R920)</f>
        <v>-2.6835521625944629</v>
      </c>
      <c r="N920" s="20">
        <f>ABS($D$2-F920)/F920</f>
        <v>1.188679245283019</v>
      </c>
      <c r="O920" s="20">
        <f>ABS($E$2-G920)/G920</f>
        <v>4.7425742574257423</v>
      </c>
      <c r="P920" s="20"/>
      <c r="Q920" s="20">
        <f>ABS($H$2-J920)/J920</f>
        <v>5.1194029850746263</v>
      </c>
      <c r="R920" s="20"/>
    </row>
    <row r="921" spans="1:18" ht="15.75" customHeight="1" x14ac:dyDescent="0.2">
      <c r="A921">
        <v>344</v>
      </c>
      <c r="B921" s="9" t="s">
        <v>270</v>
      </c>
      <c r="E921" s="6" t="s">
        <v>41</v>
      </c>
      <c r="F921" s="3">
        <f>(0.2+0.25)/2</f>
        <v>0.22500000000000001</v>
      </c>
      <c r="G921" s="3">
        <f>(4.7+5.2)/2</f>
        <v>4.95</v>
      </c>
      <c r="H921" s="3"/>
      <c r="I921" s="3"/>
      <c r="J921" s="3">
        <f>(2.9+4)/2</f>
        <v>3.45</v>
      </c>
      <c r="K921" s="3"/>
      <c r="L921" s="3"/>
      <c r="M921" s="21">
        <f>1-AVERAGE(N921:R921)</f>
        <v>-2.7927975406236278</v>
      </c>
      <c r="N921" s="20">
        <f>ABS($D$2-F921)/F921</f>
        <v>1.5777777777777782</v>
      </c>
      <c r="O921" s="20">
        <f>ABS($E$2-G921)/G921</f>
        <v>4.8585858585858581</v>
      </c>
      <c r="P921" s="20"/>
      <c r="Q921" s="20">
        <f>ABS($H$2-J921)/J921</f>
        <v>4.9420289855072461</v>
      </c>
      <c r="R921" s="20"/>
    </row>
    <row r="922" spans="1:18" ht="15.75" customHeight="1" x14ac:dyDescent="0.2">
      <c r="A922">
        <v>522</v>
      </c>
      <c r="B922" s="9" t="s">
        <v>408</v>
      </c>
      <c r="E922" s="6" t="s">
        <v>40</v>
      </c>
      <c r="F922" s="3">
        <f>(80+200)/2</f>
        <v>140</v>
      </c>
      <c r="G922" s="3">
        <f>(200+250)/2</f>
        <v>225</v>
      </c>
      <c r="H922" s="3"/>
      <c r="I922" s="3"/>
      <c r="J922" s="3"/>
      <c r="K922" s="3"/>
      <c r="L922" s="3">
        <f>(48+50)/2</f>
        <v>49</v>
      </c>
      <c r="N922" s="20">
        <f>ABS($D$2-F922)/F922</f>
        <v>0.99585714285714277</v>
      </c>
      <c r="O922" s="20">
        <f>ABS($E$2-G922)/G922</f>
        <v>0.87111111111111106</v>
      </c>
      <c r="P922" s="20"/>
      <c r="Q922" s="20"/>
      <c r="R922" s="20">
        <f>ABS($J$2-L922)/L922</f>
        <v>0.54081632653061229</v>
      </c>
    </row>
    <row r="923" spans="1:18" ht="15.75" customHeight="1" x14ac:dyDescent="0.2">
      <c r="A923">
        <v>941</v>
      </c>
      <c r="B923" s="1" t="s">
        <v>744</v>
      </c>
      <c r="C923" s="1" t="s">
        <v>745</v>
      </c>
      <c r="D923" s="2"/>
      <c r="E923" s="6" t="s">
        <v>495</v>
      </c>
      <c r="F923" s="1">
        <v>1.1000000000000001</v>
      </c>
      <c r="G923" s="4">
        <v>20</v>
      </c>
      <c r="H923" s="4">
        <v>6.7</v>
      </c>
      <c r="I923" s="4"/>
      <c r="J923" s="4"/>
      <c r="K923" s="4"/>
      <c r="L923" s="4">
        <v>49</v>
      </c>
      <c r="N923" s="20">
        <f>ABS($D$2-F923)/F923</f>
        <v>0.47272727272727272</v>
      </c>
      <c r="O923" s="20">
        <f>ABS($E$2-G923)/G923</f>
        <v>0.45</v>
      </c>
      <c r="P923" s="20">
        <f>ABS($F$2-H923)/H923</f>
        <v>7.4626865671641784E-2</v>
      </c>
      <c r="Q923" s="20"/>
      <c r="R923" s="20">
        <f>ABS($J$2-L923)/L923</f>
        <v>0.54081632653061229</v>
      </c>
    </row>
    <row r="924" spans="1:18" ht="15.75" customHeight="1" x14ac:dyDescent="0.2">
      <c r="A924">
        <v>138</v>
      </c>
      <c r="B924" s="1" t="s">
        <v>123</v>
      </c>
      <c r="C924" s="1"/>
      <c r="D924" s="2"/>
      <c r="E924" s="6" t="s">
        <v>40</v>
      </c>
      <c r="F924" s="3">
        <f>(0.62+0.68)/2</f>
        <v>0.65</v>
      </c>
      <c r="G924" s="3">
        <v>19.100000000000001</v>
      </c>
      <c r="H924" s="3"/>
      <c r="I924" s="3"/>
      <c r="J924" s="3">
        <v>21.6</v>
      </c>
      <c r="K924" s="3"/>
      <c r="L924" s="3">
        <v>79</v>
      </c>
      <c r="N924" s="20">
        <f>ABS($D$2-F924)/F924</f>
        <v>0.10769230769230762</v>
      </c>
      <c r="O924" s="20">
        <f>ABS($E$2-G924)/G924</f>
        <v>0.51832460732984287</v>
      </c>
      <c r="P924" s="20"/>
      <c r="Q924" s="20">
        <f>ABS($H$2-J924)/J924</f>
        <v>5.0925925925925986E-2</v>
      </c>
      <c r="R924" s="20">
        <f>ABS($J$2-L924)/L924</f>
        <v>4.4303797468354431E-2</v>
      </c>
    </row>
    <row r="925" spans="1:18" ht="15.75" customHeight="1" x14ac:dyDescent="0.2">
      <c r="A925">
        <v>68</v>
      </c>
      <c r="B925" s="6" t="s">
        <v>79</v>
      </c>
      <c r="C925" s="1"/>
      <c r="D925" s="2"/>
      <c r="E925" s="6" t="s">
        <v>41</v>
      </c>
      <c r="F925" s="3">
        <f>(0.41+0.58)/2</f>
        <v>0.495</v>
      </c>
      <c r="G925" s="3">
        <f>(32+41)/2</f>
        <v>36.5</v>
      </c>
      <c r="H925" s="3"/>
      <c r="I925" s="3"/>
      <c r="J925" s="3">
        <f>(8+10)/2</f>
        <v>9</v>
      </c>
      <c r="K925" s="3"/>
      <c r="L925" s="3"/>
      <c r="N925" s="20">
        <f>ABS($D$2-F925)/F925</f>
        <v>0.17171717171717188</v>
      </c>
      <c r="O925" s="20">
        <f>ABS($E$2-G925)/G925</f>
        <v>0.20547945205479451</v>
      </c>
      <c r="P925" s="20"/>
      <c r="Q925" s="20">
        <f>ABS($H$2-J925)/J925</f>
        <v>1.2777777777777777</v>
      </c>
      <c r="R925" s="20"/>
    </row>
    <row r="926" spans="1:18" ht="15.75" customHeight="1" x14ac:dyDescent="0.2">
      <c r="A926">
        <v>69</v>
      </c>
      <c r="B926" s="6" t="s">
        <v>80</v>
      </c>
      <c r="C926" s="1"/>
      <c r="D926" s="2"/>
      <c r="E926" s="6" t="s">
        <v>40</v>
      </c>
      <c r="F926" s="3">
        <f>(0.13+0.21)/2</f>
        <v>0.16999999999999998</v>
      </c>
      <c r="G926" s="3">
        <v>1.45</v>
      </c>
      <c r="H926" s="3"/>
      <c r="I926" s="3"/>
      <c r="J926" s="3"/>
      <c r="K926" s="3"/>
      <c r="L926" s="3"/>
      <c r="N926" s="20">
        <f>ABS($D$2-F926)/F926</f>
        <v>2.4117647058823537</v>
      </c>
      <c r="O926" s="20">
        <f>ABS($E$2-G926)/G926</f>
        <v>19</v>
      </c>
      <c r="P926" s="20"/>
      <c r="Q926" s="20"/>
      <c r="R926" s="20"/>
    </row>
    <row r="927" spans="1:18" ht="15.75" customHeight="1" x14ac:dyDescent="0.2">
      <c r="A927">
        <v>70</v>
      </c>
      <c r="B927" s="6" t="s">
        <v>80</v>
      </c>
      <c r="C927" s="1"/>
      <c r="D927" s="2"/>
      <c r="E927" s="6" t="s">
        <v>41</v>
      </c>
      <c r="F927" s="3">
        <f>(0.4+0.47)/2</f>
        <v>0.435</v>
      </c>
      <c r="G927" s="3">
        <f>(33+45)/2</f>
        <v>39</v>
      </c>
      <c r="H927" s="3"/>
      <c r="I927" s="3"/>
      <c r="J927" s="3">
        <f>(12+15)/2</f>
        <v>13.5</v>
      </c>
      <c r="K927" s="3"/>
      <c r="L927" s="3"/>
      <c r="N927" s="20">
        <f>ABS($D$2-F927)/F927</f>
        <v>0.33333333333333348</v>
      </c>
      <c r="O927" s="20">
        <f>ABS($E$2-G927)/G927</f>
        <v>0.25641025641025639</v>
      </c>
      <c r="Q927" s="20">
        <f>ABS($H$2-J927)/J927</f>
        <v>0.51851851851851849</v>
      </c>
      <c r="R927" s="20"/>
    </row>
    <row r="928" spans="1:18" ht="15.75" customHeight="1" x14ac:dyDescent="0.2">
      <c r="A928">
        <v>72</v>
      </c>
      <c r="B928" s="6" t="s">
        <v>81</v>
      </c>
      <c r="C928" s="1" t="s">
        <v>82</v>
      </c>
      <c r="D928" s="2"/>
      <c r="E928" s="6" t="s">
        <v>41</v>
      </c>
      <c r="F928" s="3">
        <f>(0.43+0.57)/2</f>
        <v>0.5</v>
      </c>
      <c r="G928" s="3">
        <f>(30+44)/2</f>
        <v>37</v>
      </c>
      <c r="H928" s="3"/>
      <c r="I928" s="3"/>
      <c r="J928" s="3">
        <f>(8+10)/2</f>
        <v>9</v>
      </c>
      <c r="K928" s="3"/>
      <c r="L928" s="3"/>
      <c r="N928" s="20">
        <f>ABS($D$2-F928)/F928</f>
        <v>0.16000000000000014</v>
      </c>
      <c r="O928" s="20">
        <f>ABS($E$2-G928)/G928</f>
        <v>0.21621621621621623</v>
      </c>
      <c r="P928" s="20"/>
      <c r="Q928" s="20">
        <f>ABS($H$2-J928)/J928</f>
        <v>1.2777777777777777</v>
      </c>
      <c r="R928" s="20"/>
    </row>
    <row r="929" spans="1:18" ht="15.75" customHeight="1" x14ac:dyDescent="0.2">
      <c r="A929">
        <v>74</v>
      </c>
      <c r="B929" s="1" t="s">
        <v>83</v>
      </c>
      <c r="C929" s="1"/>
      <c r="D929" s="2"/>
      <c r="E929" s="6" t="s">
        <v>41</v>
      </c>
      <c r="F929" s="3">
        <f>(0.61+0.63)/2</f>
        <v>0.62</v>
      </c>
      <c r="G929" s="3">
        <f>(26+27)/2</f>
        <v>26.5</v>
      </c>
      <c r="H929" s="3"/>
      <c r="I929" s="3"/>
      <c r="J929" s="3">
        <f>(5.9+7)/2</f>
        <v>6.45</v>
      </c>
      <c r="K929" s="3"/>
      <c r="L929" s="3"/>
      <c r="N929" s="20">
        <f>ABS($D$2-F929)/F929</f>
        <v>6.4516129032257938E-2</v>
      </c>
      <c r="O929" s="20">
        <f>ABS($E$2-G929)/G929</f>
        <v>9.4339622641509441E-2</v>
      </c>
      <c r="P929" s="20"/>
      <c r="Q929" s="20">
        <f>ABS($H$2-J929)/J929</f>
        <v>2.1782945736434107</v>
      </c>
      <c r="R929" s="20"/>
    </row>
    <row r="930" spans="1:18" ht="15.75" customHeight="1" x14ac:dyDescent="0.2">
      <c r="A930">
        <v>76</v>
      </c>
      <c r="B930" s="1" t="s">
        <v>84</v>
      </c>
      <c r="C930" s="1" t="s">
        <v>85</v>
      </c>
      <c r="D930" s="2"/>
      <c r="E930" s="6" t="s">
        <v>41</v>
      </c>
      <c r="F930" s="3">
        <f>(0.53+0.61)/2</f>
        <v>0.57000000000000006</v>
      </c>
      <c r="G930" s="3">
        <f>(23+28)/2</f>
        <v>25.5</v>
      </c>
      <c r="H930" s="3"/>
      <c r="I930" s="3"/>
      <c r="J930" s="3">
        <f>(12+15)/2</f>
        <v>13.5</v>
      </c>
      <c r="K930" s="3"/>
      <c r="L930" s="3"/>
      <c r="N930" s="20">
        <f>ABS($D$2-F930)/F930</f>
        <v>1.754385964912282E-2</v>
      </c>
      <c r="O930" s="20">
        <f>ABS($E$2-G930)/G930</f>
        <v>0.13725490196078433</v>
      </c>
      <c r="P930" s="20"/>
      <c r="Q930" s="20">
        <f>ABS($H$2-J930)/J930</f>
        <v>0.51851851851851849</v>
      </c>
      <c r="R930" s="20"/>
    </row>
    <row r="931" spans="1:18" ht="15.75" customHeight="1" x14ac:dyDescent="0.2">
      <c r="F931" s="10"/>
      <c r="G931" s="10"/>
      <c r="H931" s="10"/>
      <c r="I931" s="10"/>
      <c r="J931" s="10"/>
      <c r="K931" s="10"/>
      <c r="L931" s="10"/>
    </row>
    <row r="932" spans="1:18" ht="15.75" customHeight="1" x14ac:dyDescent="0.2">
      <c r="F932" s="10"/>
      <c r="G932" s="10"/>
      <c r="H932" s="10"/>
      <c r="I932" s="10"/>
      <c r="J932" s="10"/>
      <c r="K932" s="10"/>
      <c r="L932" s="10"/>
    </row>
    <row r="933" spans="1:18" ht="15.75" customHeight="1" x14ac:dyDescent="0.2">
      <c r="F933" s="10"/>
      <c r="G933" s="10"/>
      <c r="H933" s="10"/>
      <c r="I933" s="10"/>
      <c r="J933" s="10"/>
      <c r="K933" s="10"/>
      <c r="L933" s="10"/>
    </row>
    <row r="934" spans="1:18" ht="15.75" customHeight="1" x14ac:dyDescent="0.2">
      <c r="F934" s="10"/>
      <c r="G934" s="10"/>
      <c r="H934" s="10"/>
      <c r="I934" s="10"/>
      <c r="J934" s="10"/>
      <c r="K934" s="10"/>
      <c r="L934" s="10"/>
    </row>
    <row r="935" spans="1:18" ht="15.75" customHeight="1" x14ac:dyDescent="0.2">
      <c r="F935" s="10"/>
      <c r="G935" s="10"/>
      <c r="H935" s="10"/>
      <c r="I935" s="10"/>
      <c r="J935" s="10"/>
      <c r="K935" s="10"/>
      <c r="L935" s="10"/>
    </row>
    <row r="936" spans="1:18" ht="15.75" customHeight="1" x14ac:dyDescent="0.2">
      <c r="F936" s="10"/>
      <c r="G936" s="10"/>
      <c r="H936" s="10"/>
      <c r="I936" s="10"/>
      <c r="J936" s="10"/>
      <c r="K936" s="10"/>
      <c r="L936" s="10"/>
    </row>
    <row r="937" spans="1:18" ht="15.75" customHeight="1" x14ac:dyDescent="0.2">
      <c r="F937" s="10"/>
      <c r="G937" s="10"/>
      <c r="H937" s="10"/>
      <c r="I937" s="10"/>
      <c r="J937" s="10"/>
      <c r="K937" s="10"/>
      <c r="L937" s="10"/>
    </row>
    <row r="938" spans="1:18" ht="15.75" customHeight="1" x14ac:dyDescent="0.2">
      <c r="F938" s="10"/>
      <c r="G938" s="10"/>
      <c r="H938" s="10"/>
      <c r="I938" s="10"/>
      <c r="J938" s="10"/>
      <c r="K938" s="10"/>
      <c r="L938" s="10"/>
    </row>
    <row r="939" spans="1:18" ht="15.75" customHeight="1" x14ac:dyDescent="0.2">
      <c r="F939" s="10"/>
      <c r="G939" s="10"/>
      <c r="H939" s="10"/>
      <c r="I939" s="10"/>
      <c r="J939" s="10"/>
      <c r="K939" s="10"/>
      <c r="L939" s="10"/>
    </row>
    <row r="940" spans="1:18" ht="15.75" customHeight="1" x14ac:dyDescent="0.2">
      <c r="F940" s="10"/>
      <c r="G940" s="10"/>
      <c r="H940" s="10"/>
      <c r="I940" s="10"/>
      <c r="J940" s="10"/>
      <c r="K940" s="10"/>
      <c r="L940" s="10"/>
    </row>
    <row r="941" spans="1:18" ht="15.75" customHeight="1" x14ac:dyDescent="0.2">
      <c r="F941" s="10"/>
      <c r="G941" s="10"/>
      <c r="H941" s="10"/>
      <c r="I941" s="10"/>
      <c r="J941" s="10"/>
      <c r="K941" s="10"/>
      <c r="L941" s="10"/>
    </row>
    <row r="942" spans="1:18" ht="15.75" customHeight="1" x14ac:dyDescent="0.2">
      <c r="F942" s="10"/>
      <c r="G942" s="10"/>
      <c r="H942" s="10"/>
      <c r="I942" s="10"/>
      <c r="J942" s="10"/>
      <c r="K942" s="10"/>
      <c r="L942" s="10"/>
    </row>
    <row r="943" spans="1:18" ht="15.75" customHeight="1" x14ac:dyDescent="0.2">
      <c r="F943" s="10"/>
      <c r="G943" s="10"/>
      <c r="H943" s="10"/>
      <c r="I943" s="10"/>
      <c r="J943" s="10"/>
      <c r="K943" s="10"/>
      <c r="L943" s="10"/>
    </row>
    <row r="944" spans="1:18" ht="15.75" customHeight="1" x14ac:dyDescent="0.2">
      <c r="F944" s="10"/>
      <c r="G944" s="10"/>
      <c r="H944" s="10"/>
      <c r="I944" s="10"/>
      <c r="J944" s="10"/>
      <c r="K944" s="10"/>
      <c r="L944" s="10"/>
    </row>
    <row r="945" spans="6:12" ht="15.75" customHeight="1" x14ac:dyDescent="0.2">
      <c r="F945" s="10"/>
      <c r="G945" s="10"/>
      <c r="H945" s="10"/>
      <c r="I945" s="10"/>
      <c r="J945" s="10"/>
      <c r="K945" s="10"/>
      <c r="L945" s="10"/>
    </row>
    <row r="946" spans="6:12" ht="15.75" customHeight="1" x14ac:dyDescent="0.2">
      <c r="F946" s="10"/>
      <c r="G946" s="10"/>
      <c r="H946" s="10"/>
      <c r="I946" s="10"/>
      <c r="J946" s="10"/>
      <c r="K946" s="10"/>
      <c r="L946" s="10"/>
    </row>
    <row r="947" spans="6:12" ht="15.75" customHeight="1" x14ac:dyDescent="0.2">
      <c r="F947" s="10"/>
      <c r="G947" s="10"/>
      <c r="H947" s="10"/>
      <c r="I947" s="10"/>
      <c r="J947" s="10"/>
      <c r="K947" s="10"/>
      <c r="L947" s="10"/>
    </row>
    <row r="948" spans="6:12" ht="15.75" customHeight="1" x14ac:dyDescent="0.2">
      <c r="F948" s="10"/>
      <c r="G948" s="10"/>
      <c r="H948" s="10"/>
      <c r="I948" s="10"/>
      <c r="J948" s="10"/>
      <c r="K948" s="10"/>
      <c r="L948" s="10"/>
    </row>
    <row r="949" spans="6:12" ht="15.75" customHeight="1" x14ac:dyDescent="0.2">
      <c r="F949" s="10"/>
      <c r="G949" s="10"/>
      <c r="H949" s="10"/>
      <c r="I949" s="10"/>
      <c r="J949" s="10"/>
      <c r="K949" s="10"/>
      <c r="L949" s="10"/>
    </row>
    <row r="950" spans="6:12" ht="15.75" customHeight="1" x14ac:dyDescent="0.2">
      <c r="F950" s="10"/>
      <c r="G950" s="10"/>
      <c r="H950" s="10"/>
      <c r="I950" s="10"/>
      <c r="J950" s="10"/>
      <c r="K950" s="10"/>
      <c r="L950" s="10"/>
    </row>
    <row r="951" spans="6:12" ht="15.75" customHeight="1" x14ac:dyDescent="0.2">
      <c r="F951" s="10"/>
      <c r="G951" s="10"/>
      <c r="H951" s="10"/>
      <c r="I951" s="10"/>
      <c r="J951" s="10"/>
      <c r="K951" s="10"/>
      <c r="L951" s="10"/>
    </row>
    <row r="952" spans="6:12" ht="15.75" customHeight="1" x14ac:dyDescent="0.2">
      <c r="F952" s="10"/>
      <c r="G952" s="10"/>
      <c r="H952" s="10"/>
      <c r="I952" s="10"/>
      <c r="J952" s="10"/>
      <c r="K952" s="10"/>
      <c r="L952" s="10"/>
    </row>
    <row r="953" spans="6:12" ht="15.75" customHeight="1" x14ac:dyDescent="0.2">
      <c r="F953" s="10"/>
      <c r="G953" s="10"/>
      <c r="H953" s="10"/>
      <c r="I953" s="10"/>
      <c r="J953" s="10"/>
      <c r="K953" s="10"/>
      <c r="L953" s="10"/>
    </row>
    <row r="954" spans="6:12" ht="15.75" customHeight="1" x14ac:dyDescent="0.2">
      <c r="F954" s="10"/>
      <c r="G954" s="10"/>
      <c r="H954" s="10"/>
      <c r="I954" s="10"/>
      <c r="J954" s="10"/>
      <c r="K954" s="10"/>
      <c r="L954" s="10"/>
    </row>
    <row r="955" spans="6:12" ht="15.75" customHeight="1" x14ac:dyDescent="0.2">
      <c r="F955" s="10"/>
      <c r="G955" s="10"/>
      <c r="H955" s="10"/>
      <c r="I955" s="10"/>
      <c r="J955" s="10"/>
      <c r="K955" s="10"/>
      <c r="L955" s="10"/>
    </row>
    <row r="956" spans="6:12" ht="15.75" customHeight="1" x14ac:dyDescent="0.2">
      <c r="F956" s="10"/>
      <c r="G956" s="10"/>
      <c r="H956" s="10"/>
      <c r="I956" s="10"/>
      <c r="J956" s="10"/>
      <c r="K956" s="10"/>
      <c r="L956" s="10"/>
    </row>
    <row r="957" spans="6:12" ht="15.75" customHeight="1" x14ac:dyDescent="0.2">
      <c r="F957" s="10"/>
      <c r="G957" s="10"/>
      <c r="H957" s="10"/>
      <c r="I957" s="10"/>
      <c r="J957" s="10"/>
      <c r="K957" s="10"/>
      <c r="L957" s="10"/>
    </row>
    <row r="958" spans="6:12" ht="15.75" customHeight="1" x14ac:dyDescent="0.2">
      <c r="F958" s="10"/>
      <c r="G958" s="10"/>
      <c r="H958" s="10"/>
      <c r="I958" s="10"/>
      <c r="J958" s="10"/>
      <c r="K958" s="10"/>
      <c r="L958" s="10"/>
    </row>
    <row r="959" spans="6:12" ht="15.75" customHeight="1" x14ac:dyDescent="0.2">
      <c r="F959" s="10"/>
      <c r="G959" s="10"/>
      <c r="H959" s="10"/>
      <c r="I959" s="10"/>
      <c r="J959" s="10"/>
      <c r="K959" s="10"/>
      <c r="L959" s="10"/>
    </row>
    <row r="960" spans="6:12" ht="15.75" customHeight="1" x14ac:dyDescent="0.2">
      <c r="F960" s="10"/>
      <c r="G960" s="10"/>
      <c r="H960" s="10"/>
      <c r="I960" s="10"/>
      <c r="J960" s="10"/>
      <c r="K960" s="10"/>
      <c r="L960" s="10"/>
    </row>
    <row r="961" spans="6:12" ht="15.75" customHeight="1" x14ac:dyDescent="0.2">
      <c r="F961" s="10"/>
      <c r="G961" s="10"/>
      <c r="H961" s="10"/>
      <c r="I961" s="10"/>
      <c r="J961" s="10"/>
      <c r="K961" s="10"/>
      <c r="L961" s="10"/>
    </row>
    <row r="962" spans="6:12" ht="15.75" customHeight="1" x14ac:dyDescent="0.2">
      <c r="F962" s="10"/>
      <c r="G962" s="10"/>
      <c r="H962" s="10"/>
      <c r="I962" s="10"/>
      <c r="J962" s="10"/>
      <c r="K962" s="10"/>
      <c r="L962" s="10"/>
    </row>
    <row r="963" spans="6:12" ht="15.75" customHeight="1" x14ac:dyDescent="0.2">
      <c r="F963" s="10"/>
      <c r="G963" s="10"/>
      <c r="H963" s="10"/>
      <c r="I963" s="10"/>
      <c r="J963" s="10"/>
      <c r="K963" s="10"/>
      <c r="L963" s="10"/>
    </row>
    <row r="964" spans="6:12" ht="15.75" customHeight="1" x14ac:dyDescent="0.2">
      <c r="F964" s="10"/>
      <c r="G964" s="10"/>
      <c r="H964" s="10"/>
      <c r="I964" s="10"/>
      <c r="J964" s="10"/>
      <c r="K964" s="10"/>
      <c r="L964" s="10"/>
    </row>
    <row r="965" spans="6:12" ht="15.75" customHeight="1" x14ac:dyDescent="0.2">
      <c r="F965" s="10"/>
      <c r="G965" s="10"/>
      <c r="H965" s="10"/>
      <c r="I965" s="10"/>
      <c r="J965" s="10"/>
      <c r="K965" s="10"/>
      <c r="L965" s="10"/>
    </row>
    <row r="966" spans="6:12" ht="15.75" customHeight="1" x14ac:dyDescent="0.2">
      <c r="F966" s="10"/>
      <c r="G966" s="10"/>
      <c r="H966" s="10"/>
      <c r="I966" s="10"/>
      <c r="J966" s="10"/>
      <c r="K966" s="10"/>
      <c r="L966" s="10"/>
    </row>
    <row r="967" spans="6:12" ht="15.75" customHeight="1" x14ac:dyDescent="0.2">
      <c r="F967" s="10"/>
      <c r="G967" s="10"/>
      <c r="H967" s="10"/>
      <c r="I967" s="10"/>
      <c r="J967" s="10"/>
      <c r="K967" s="10"/>
      <c r="L967" s="10"/>
    </row>
    <row r="968" spans="6:12" ht="15.75" customHeight="1" x14ac:dyDescent="0.2">
      <c r="F968" s="10"/>
      <c r="G968" s="10"/>
      <c r="H968" s="10"/>
      <c r="I968" s="10"/>
      <c r="J968" s="10"/>
      <c r="K968" s="10"/>
      <c r="L968" s="10"/>
    </row>
    <row r="969" spans="6:12" ht="15.75" customHeight="1" x14ac:dyDescent="0.2">
      <c r="F969" s="10"/>
      <c r="G969" s="10"/>
      <c r="H969" s="10"/>
      <c r="I969" s="10"/>
      <c r="J969" s="10"/>
      <c r="K969" s="10"/>
      <c r="L969" s="10"/>
    </row>
    <row r="970" spans="6:12" ht="15.75" customHeight="1" x14ac:dyDescent="0.2">
      <c r="F970" s="10"/>
      <c r="G970" s="10"/>
      <c r="H970" s="10"/>
      <c r="I970" s="10"/>
      <c r="J970" s="10"/>
      <c r="K970" s="10"/>
      <c r="L970" s="10"/>
    </row>
    <row r="971" spans="6:12" ht="15.75" customHeight="1" x14ac:dyDescent="0.2">
      <c r="F971" s="10"/>
      <c r="G971" s="10"/>
      <c r="H971" s="10"/>
      <c r="I971" s="10"/>
      <c r="J971" s="10"/>
      <c r="K971" s="10"/>
      <c r="L971" s="10"/>
    </row>
    <row r="972" spans="6:12" ht="15.75" customHeight="1" x14ac:dyDescent="0.2">
      <c r="F972" s="10"/>
      <c r="G972" s="10"/>
      <c r="H972" s="10"/>
      <c r="I972" s="10"/>
      <c r="J972" s="10"/>
      <c r="K972" s="10"/>
      <c r="L972" s="10"/>
    </row>
    <row r="973" spans="6:12" ht="15.75" customHeight="1" x14ac:dyDescent="0.2">
      <c r="F973" s="10"/>
      <c r="G973" s="10"/>
      <c r="H973" s="10"/>
      <c r="I973" s="10"/>
      <c r="J973" s="10"/>
      <c r="K973" s="10"/>
      <c r="L973" s="10"/>
    </row>
    <row r="974" spans="6:12" ht="15.75" customHeight="1" x14ac:dyDescent="0.2">
      <c r="F974" s="10"/>
      <c r="G974" s="10"/>
      <c r="H974" s="10"/>
      <c r="I974" s="10"/>
      <c r="J974" s="10"/>
      <c r="K974" s="10"/>
      <c r="L974" s="10"/>
    </row>
    <row r="975" spans="6:12" ht="15.75" customHeight="1" x14ac:dyDescent="0.2">
      <c r="F975" s="10"/>
      <c r="G975" s="10"/>
      <c r="H975" s="10"/>
      <c r="I975" s="10"/>
      <c r="J975" s="10"/>
      <c r="K975" s="10"/>
      <c r="L975" s="10"/>
    </row>
    <row r="976" spans="6:12" ht="15.75" customHeight="1" x14ac:dyDescent="0.2">
      <c r="F976" s="10"/>
      <c r="G976" s="10"/>
      <c r="H976" s="10"/>
      <c r="I976" s="10"/>
      <c r="J976" s="10"/>
      <c r="K976" s="10"/>
      <c r="L976" s="10"/>
    </row>
    <row r="977" spans="6:12" ht="15.75" customHeight="1" x14ac:dyDescent="0.2">
      <c r="F977" s="10"/>
      <c r="G977" s="10"/>
      <c r="H977" s="10"/>
      <c r="I977" s="10"/>
      <c r="J977" s="10"/>
      <c r="K977" s="10"/>
      <c r="L977" s="10"/>
    </row>
    <row r="978" spans="6:12" ht="15.75" customHeight="1" x14ac:dyDescent="0.2">
      <c r="F978" s="10"/>
      <c r="G978" s="10"/>
      <c r="H978" s="10"/>
      <c r="I978" s="10"/>
      <c r="J978" s="10"/>
      <c r="K978" s="10"/>
      <c r="L978" s="10"/>
    </row>
    <row r="979" spans="6:12" ht="15.75" customHeight="1" x14ac:dyDescent="0.2">
      <c r="F979" s="10"/>
      <c r="G979" s="10"/>
      <c r="H979" s="10"/>
      <c r="I979" s="10"/>
      <c r="J979" s="10"/>
      <c r="K979" s="10"/>
      <c r="L979" s="10"/>
    </row>
    <row r="980" spans="6:12" ht="15.75" customHeight="1" x14ac:dyDescent="0.2">
      <c r="F980" s="10"/>
      <c r="G980" s="10"/>
      <c r="H980" s="10"/>
      <c r="I980" s="10"/>
      <c r="J980" s="10"/>
      <c r="K980" s="10"/>
      <c r="L980" s="10"/>
    </row>
  </sheetData>
  <sortState xmlns:xlrd2="http://schemas.microsoft.com/office/spreadsheetml/2017/richdata2" ref="A5:AU930">
    <sortCondition descending="1" ref="M5:M930"/>
  </sortState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24.5703125" customWidth="1"/>
    <col min="2" max="2" width="126.140625" customWidth="1"/>
    <col min="3" max="3" width="25.140625" customWidth="1"/>
    <col min="4" max="4" width="11.42578125" customWidth="1"/>
    <col min="5" max="5" width="29.140625" customWidth="1"/>
    <col min="6" max="6" width="11.42578125" customWidth="1"/>
  </cols>
  <sheetData>
    <row r="1" spans="1:3" ht="12.75" customHeight="1" x14ac:dyDescent="0.2">
      <c r="A1" s="6" t="s">
        <v>409</v>
      </c>
      <c r="B1" s="6" t="s">
        <v>410</v>
      </c>
      <c r="C1" s="6" t="s">
        <v>411</v>
      </c>
    </row>
    <row r="2" spans="1:3" ht="12.75" customHeight="1" x14ac:dyDescent="0.2">
      <c r="A2" s="5" t="s">
        <v>412</v>
      </c>
      <c r="B2" s="6" t="s">
        <v>413</v>
      </c>
      <c r="C2" s="6" t="s">
        <v>414</v>
      </c>
    </row>
    <row r="3" spans="1:3" ht="12.75" customHeight="1" x14ac:dyDescent="0.2">
      <c r="A3" s="5" t="s">
        <v>415</v>
      </c>
      <c r="B3" s="6" t="s">
        <v>416</v>
      </c>
      <c r="C3" s="6" t="s">
        <v>414</v>
      </c>
    </row>
    <row r="4" spans="1:3" ht="12.75" customHeight="1" x14ac:dyDescent="0.2">
      <c r="A4" s="5" t="s">
        <v>417</v>
      </c>
      <c r="B4" s="6" t="s">
        <v>418</v>
      </c>
      <c r="C4" s="6" t="s">
        <v>419</v>
      </c>
    </row>
    <row r="5" spans="1:3" ht="12.75" customHeight="1" x14ac:dyDescent="0.2">
      <c r="A5" s="5" t="s">
        <v>12</v>
      </c>
      <c r="B5" s="6" t="s">
        <v>420</v>
      </c>
      <c r="C5" s="6" t="s">
        <v>419</v>
      </c>
    </row>
    <row r="6" spans="1:3" ht="12.75" customHeight="1" x14ac:dyDescent="0.2">
      <c r="A6" s="4" t="s">
        <v>10</v>
      </c>
      <c r="B6" s="6" t="s">
        <v>421</v>
      </c>
      <c r="C6" s="6" t="s">
        <v>422</v>
      </c>
    </row>
    <row r="7" spans="1:3" ht="12.75" customHeight="1" x14ac:dyDescent="0.2">
      <c r="A7" s="5" t="s">
        <v>423</v>
      </c>
      <c r="B7" s="6" t="s">
        <v>424</v>
      </c>
      <c r="C7" s="6" t="s">
        <v>419</v>
      </c>
    </row>
    <row r="8" spans="1:3" ht="12.75" customHeight="1" x14ac:dyDescent="0.2">
      <c r="A8" s="5" t="s">
        <v>13</v>
      </c>
      <c r="B8" s="6" t="s">
        <v>425</v>
      </c>
      <c r="C8" s="6" t="s">
        <v>419</v>
      </c>
    </row>
    <row r="9" spans="1:3" ht="12.75" customHeight="1" x14ac:dyDescent="0.2">
      <c r="A9" s="4" t="s">
        <v>14</v>
      </c>
      <c r="B9" s="6" t="s">
        <v>426</v>
      </c>
      <c r="C9" s="6" t="s">
        <v>422</v>
      </c>
    </row>
    <row r="10" spans="1:3" ht="12.75" customHeight="1" x14ac:dyDescent="0.2">
      <c r="A10" s="5" t="s">
        <v>15</v>
      </c>
      <c r="B10" s="6" t="s">
        <v>427</v>
      </c>
      <c r="C10" s="6" t="s">
        <v>419</v>
      </c>
    </row>
    <row r="11" spans="1:3" ht="12.75" customHeight="1" x14ac:dyDescent="0.2">
      <c r="A11" s="5" t="s">
        <v>16</v>
      </c>
      <c r="B11" s="6" t="s">
        <v>428</v>
      </c>
      <c r="C11" s="6" t="s">
        <v>419</v>
      </c>
    </row>
    <row r="12" spans="1:3" ht="12.75" customHeight="1" x14ac:dyDescent="0.2">
      <c r="A12" s="5" t="s">
        <v>17</v>
      </c>
      <c r="B12" s="6" t="s">
        <v>429</v>
      </c>
      <c r="C12" s="6" t="s">
        <v>419</v>
      </c>
    </row>
    <row r="13" spans="1:3" ht="12.75" customHeight="1" x14ac:dyDescent="0.2">
      <c r="A13" s="5" t="s">
        <v>18</v>
      </c>
      <c r="B13" s="6" t="s">
        <v>430</v>
      </c>
      <c r="C13" s="6" t="s">
        <v>419</v>
      </c>
    </row>
    <row r="14" spans="1:3" ht="12.75" customHeight="1" x14ac:dyDescent="0.2">
      <c r="A14" s="5" t="s">
        <v>19</v>
      </c>
      <c r="B14" s="6" t="s">
        <v>431</v>
      </c>
      <c r="C14" s="6" t="s">
        <v>419</v>
      </c>
    </row>
    <row r="15" spans="1:3" ht="12.75" customHeight="1" x14ac:dyDescent="0.2">
      <c r="A15" s="5" t="s">
        <v>20</v>
      </c>
      <c r="B15" s="6" t="s">
        <v>432</v>
      </c>
      <c r="C15" s="6" t="s">
        <v>419</v>
      </c>
    </row>
    <row r="16" spans="1:3" ht="12.75" customHeight="1" x14ac:dyDescent="0.2">
      <c r="A16" s="4" t="s">
        <v>5</v>
      </c>
      <c r="B16" s="6" t="s">
        <v>433</v>
      </c>
      <c r="C16" s="6" t="s">
        <v>422</v>
      </c>
    </row>
    <row r="17" spans="1:3" ht="12.75" customHeight="1" x14ac:dyDescent="0.2">
      <c r="A17" s="5" t="s">
        <v>21</v>
      </c>
      <c r="B17" s="6" t="s">
        <v>434</v>
      </c>
      <c r="C17" s="6" t="s">
        <v>419</v>
      </c>
    </row>
    <row r="18" spans="1:3" ht="12.75" customHeight="1" x14ac:dyDescent="0.2">
      <c r="A18" s="5" t="s">
        <v>22</v>
      </c>
      <c r="B18" s="6" t="s">
        <v>435</v>
      </c>
      <c r="C18" s="6" t="s">
        <v>419</v>
      </c>
    </row>
    <row r="19" spans="1:3" ht="12.75" customHeight="1" x14ac:dyDescent="0.2">
      <c r="A19" s="5" t="s">
        <v>23</v>
      </c>
      <c r="B19" s="6" t="s">
        <v>436</v>
      </c>
      <c r="C19" s="6" t="s">
        <v>419</v>
      </c>
    </row>
    <row r="20" spans="1:3" ht="12.75" customHeight="1" x14ac:dyDescent="0.2">
      <c r="A20" s="5" t="s">
        <v>24</v>
      </c>
      <c r="B20" s="6" t="s">
        <v>437</v>
      </c>
      <c r="C20" s="6" t="s">
        <v>419</v>
      </c>
    </row>
    <row r="21" spans="1:3" ht="12.75" customHeight="1" x14ac:dyDescent="0.2">
      <c r="A21" s="4" t="s">
        <v>8</v>
      </c>
      <c r="B21" s="6" t="s">
        <v>438</v>
      </c>
      <c r="C21" s="6" t="s">
        <v>422</v>
      </c>
    </row>
    <row r="22" spans="1:3" ht="12.75" customHeight="1" x14ac:dyDescent="0.2">
      <c r="A22" s="4" t="s">
        <v>9</v>
      </c>
      <c r="B22" s="6" t="s">
        <v>439</v>
      </c>
      <c r="C22" s="6" t="s">
        <v>422</v>
      </c>
    </row>
    <row r="23" spans="1:3" ht="12.75" customHeight="1" x14ac:dyDescent="0.2">
      <c r="A23" s="5" t="s">
        <v>25</v>
      </c>
      <c r="B23" s="6" t="s">
        <v>440</v>
      </c>
      <c r="C23" s="6" t="s">
        <v>441</v>
      </c>
    </row>
    <row r="24" spans="1:3" ht="12.75" customHeight="1" x14ac:dyDescent="0.2">
      <c r="A24" s="5" t="s">
        <v>26</v>
      </c>
      <c r="B24" s="6" t="s">
        <v>442</v>
      </c>
      <c r="C24" s="6" t="s">
        <v>419</v>
      </c>
    </row>
    <row r="25" spans="1:3" ht="12.75" customHeight="1" x14ac:dyDescent="0.2">
      <c r="A25" s="5" t="s">
        <v>27</v>
      </c>
      <c r="B25" s="6" t="s">
        <v>443</v>
      </c>
      <c r="C25" s="6" t="s">
        <v>441</v>
      </c>
    </row>
    <row r="26" spans="1:3" ht="12.75" customHeight="1" x14ac:dyDescent="0.2">
      <c r="A26" s="5" t="s">
        <v>28</v>
      </c>
      <c r="B26" s="6" t="s">
        <v>444</v>
      </c>
      <c r="C26" s="6" t="s">
        <v>419</v>
      </c>
    </row>
    <row r="27" spans="1:3" ht="12.75" customHeight="1" x14ac:dyDescent="0.2">
      <c r="A27" s="5" t="s">
        <v>29</v>
      </c>
      <c r="B27" s="6" t="s">
        <v>445</v>
      </c>
      <c r="C27" s="6" t="s">
        <v>419</v>
      </c>
    </row>
    <row r="28" spans="1:3" ht="12.75" customHeight="1" x14ac:dyDescent="0.2">
      <c r="A28" s="5" t="s">
        <v>30</v>
      </c>
      <c r="B28" s="6" t="s">
        <v>446</v>
      </c>
      <c r="C28" s="6" t="s">
        <v>441</v>
      </c>
    </row>
    <row r="29" spans="1:3" ht="12.75" customHeight="1" x14ac:dyDescent="0.2">
      <c r="A29" s="5" t="s">
        <v>31</v>
      </c>
      <c r="B29" s="6" t="s">
        <v>447</v>
      </c>
      <c r="C29" s="6" t="s">
        <v>448</v>
      </c>
    </row>
    <row r="30" spans="1:3" ht="12.75" customHeight="1" x14ac:dyDescent="0.2">
      <c r="A30" s="5" t="s">
        <v>32</v>
      </c>
      <c r="B30" s="6" t="s">
        <v>449</v>
      </c>
      <c r="C30" s="6" t="s">
        <v>448</v>
      </c>
    </row>
    <row r="31" spans="1:3" ht="12.75" customHeight="1" x14ac:dyDescent="0.2">
      <c r="A31" s="5" t="s">
        <v>33</v>
      </c>
      <c r="B31" s="6" t="s">
        <v>450</v>
      </c>
      <c r="C31" s="6" t="s">
        <v>448</v>
      </c>
    </row>
    <row r="32" spans="1:3" ht="12.75" customHeight="1" x14ac:dyDescent="0.2">
      <c r="A32" s="5" t="s">
        <v>34</v>
      </c>
      <c r="B32" s="6" t="s">
        <v>451</v>
      </c>
      <c r="C32" s="6" t="s">
        <v>448</v>
      </c>
    </row>
    <row r="33" spans="1:3" ht="12.75" customHeight="1" x14ac:dyDescent="0.2">
      <c r="A33" s="5" t="s">
        <v>35</v>
      </c>
      <c r="B33" s="6" t="s">
        <v>452</v>
      </c>
      <c r="C33" s="6" t="s">
        <v>448</v>
      </c>
    </row>
    <row r="34" spans="1:3" ht="12.75" customHeight="1" x14ac:dyDescent="0.2">
      <c r="A34" s="5" t="s">
        <v>36</v>
      </c>
      <c r="B34" s="6" t="s">
        <v>453</v>
      </c>
      <c r="C34" s="6" t="s">
        <v>448</v>
      </c>
    </row>
    <row r="35" spans="1:3" ht="12.75" customHeight="1" x14ac:dyDescent="0.2">
      <c r="A35" s="5" t="s">
        <v>37</v>
      </c>
      <c r="B35" s="6" t="s">
        <v>454</v>
      </c>
      <c r="C35" s="6" t="s">
        <v>448</v>
      </c>
    </row>
    <row r="36" spans="1:3" ht="12.75" customHeight="1" x14ac:dyDescent="0.2">
      <c r="A36" s="6" t="s">
        <v>38</v>
      </c>
      <c r="B36" s="6" t="s">
        <v>455</v>
      </c>
      <c r="C36" s="6" t="s">
        <v>448</v>
      </c>
    </row>
    <row r="37" spans="1:3" ht="12.75" customHeight="1" x14ac:dyDescent="0.2">
      <c r="A37" s="5" t="s">
        <v>456</v>
      </c>
      <c r="B37" s="6" t="s">
        <v>457</v>
      </c>
      <c r="C37" s="6" t="s">
        <v>448</v>
      </c>
    </row>
    <row r="38" spans="1:3" ht="12.75" customHeight="1" x14ac:dyDescent="0.2">
      <c r="A38" s="5" t="s">
        <v>6</v>
      </c>
      <c r="B38" s="6" t="s">
        <v>458</v>
      </c>
      <c r="C38" s="6" t="s">
        <v>422</v>
      </c>
    </row>
    <row r="39" spans="1:3" ht="12.75" customHeight="1" x14ac:dyDescent="0.2">
      <c r="A39" s="5" t="s">
        <v>459</v>
      </c>
      <c r="B39" s="6" t="s">
        <v>460</v>
      </c>
      <c r="C39" s="6" t="s">
        <v>422</v>
      </c>
    </row>
    <row r="40" spans="1:3" ht="12.75" customHeight="1" x14ac:dyDescent="0.2">
      <c r="A40" s="5" t="s">
        <v>11</v>
      </c>
      <c r="B40" s="6" t="s">
        <v>461</v>
      </c>
      <c r="C40" s="6" t="s">
        <v>422</v>
      </c>
    </row>
    <row r="41" spans="1:3" ht="12.75" customHeight="1" x14ac:dyDescent="0.2">
      <c r="A41" s="5"/>
      <c r="C41" s="6" t="s">
        <v>422</v>
      </c>
    </row>
    <row r="42" spans="1:3" ht="12.75" customHeight="1" x14ac:dyDescent="0.2">
      <c r="A42" s="5"/>
    </row>
    <row r="43" spans="1:3" ht="12.75" customHeight="1" x14ac:dyDescent="0.2">
      <c r="A43" s="5"/>
    </row>
    <row r="44" spans="1:3" ht="12.75" customHeight="1" x14ac:dyDescent="0.2">
      <c r="A44" s="5"/>
    </row>
    <row r="45" spans="1:3" ht="12.75" customHeight="1" x14ac:dyDescent="0.2">
      <c r="A45" s="5"/>
    </row>
    <row r="46" spans="1:3" ht="12.75" customHeight="1" x14ac:dyDescent="0.2">
      <c r="A46" s="5"/>
    </row>
    <row r="47" spans="1:3" ht="12.75" customHeight="1" x14ac:dyDescent="0.2">
      <c r="A47" s="5"/>
    </row>
    <row r="48" spans="1:3" ht="12.75" customHeight="1" x14ac:dyDescent="0.2">
      <c r="A48" s="5"/>
    </row>
    <row r="49" spans="1:1" ht="12.75" customHeight="1" x14ac:dyDescent="0.2">
      <c r="A49" s="5"/>
    </row>
    <row r="50" spans="1:1" ht="12.75" customHeight="1" x14ac:dyDescent="0.2">
      <c r="A50" s="5"/>
    </row>
    <row r="51" spans="1:1" ht="12.75" customHeight="1" x14ac:dyDescent="0.2">
      <c r="A51" s="5"/>
    </row>
    <row r="52" spans="1:1" ht="12.75" customHeight="1" x14ac:dyDescent="0.2">
      <c r="A52" s="5"/>
    </row>
    <row r="53" spans="1:1" ht="12.75" customHeight="1" x14ac:dyDescent="0.2">
      <c r="A53" s="5"/>
    </row>
    <row r="54" spans="1:1" ht="12.75" customHeight="1" x14ac:dyDescent="0.2">
      <c r="A54" s="5"/>
    </row>
    <row r="55" spans="1:1" ht="12.75" customHeight="1" x14ac:dyDescent="0.2">
      <c r="A55" s="5"/>
    </row>
    <row r="56" spans="1:1" ht="12.75" customHeight="1" x14ac:dyDescent="0.2">
      <c r="A56" s="5"/>
    </row>
    <row r="57" spans="1:1" ht="12.75" customHeight="1" x14ac:dyDescent="0.2">
      <c r="A57" s="5"/>
    </row>
    <row r="58" spans="1:1" ht="12.75" customHeight="1" x14ac:dyDescent="0.2">
      <c r="A58" s="5"/>
    </row>
    <row r="59" spans="1:1" ht="12.75" customHeight="1" x14ac:dyDescent="0.2">
      <c r="A59" s="5"/>
    </row>
    <row r="60" spans="1:1" ht="12.75" customHeight="1" x14ac:dyDescent="0.2">
      <c r="A60" s="5"/>
    </row>
    <row r="61" spans="1:1" ht="12.75" customHeight="1" x14ac:dyDescent="0.2">
      <c r="A61" s="5"/>
    </row>
    <row r="62" spans="1:1" ht="12.75" customHeight="1" x14ac:dyDescent="0.2">
      <c r="A62" s="5"/>
    </row>
    <row r="63" spans="1:1" ht="12.75" customHeight="1" x14ac:dyDescent="0.2">
      <c r="A63" s="5"/>
    </row>
    <row r="64" spans="1:1" ht="12.75" customHeight="1" x14ac:dyDescent="0.2">
      <c r="A64" s="5"/>
    </row>
    <row r="65" spans="1:1" ht="12.75" customHeight="1" x14ac:dyDescent="0.2">
      <c r="A65" s="5"/>
    </row>
    <row r="66" spans="1:1" ht="12.75" customHeight="1" x14ac:dyDescent="0.2">
      <c r="A66" s="5"/>
    </row>
    <row r="67" spans="1:1" ht="12.75" customHeight="1" x14ac:dyDescent="0.2">
      <c r="A67" s="5"/>
    </row>
    <row r="68" spans="1:1" ht="12.75" customHeight="1" x14ac:dyDescent="0.2">
      <c r="A68" s="5"/>
    </row>
    <row r="69" spans="1:1" ht="12.75" customHeight="1" x14ac:dyDescent="0.2">
      <c r="A69" s="5"/>
    </row>
    <row r="70" spans="1:1" ht="12.75" customHeight="1" x14ac:dyDescent="0.2">
      <c r="A70" s="5"/>
    </row>
    <row r="71" spans="1:1" ht="12.75" customHeight="1" x14ac:dyDescent="0.2">
      <c r="A71" s="5"/>
    </row>
    <row r="72" spans="1:1" ht="12.75" customHeight="1" x14ac:dyDescent="0.2">
      <c r="A72" s="5"/>
    </row>
    <row r="73" spans="1:1" ht="12.75" customHeight="1" x14ac:dyDescent="0.2">
      <c r="A73" s="5"/>
    </row>
    <row r="74" spans="1:1" ht="12.75" customHeight="1" x14ac:dyDescent="0.2">
      <c r="A74" s="5"/>
    </row>
    <row r="75" spans="1:1" ht="12.75" customHeight="1" x14ac:dyDescent="0.2">
      <c r="A75" s="5"/>
    </row>
    <row r="76" spans="1:1" ht="12.75" customHeight="1" x14ac:dyDescent="0.2">
      <c r="A76" s="5"/>
    </row>
    <row r="77" spans="1:1" ht="12.75" customHeight="1" x14ac:dyDescent="0.2">
      <c r="A77" s="5"/>
    </row>
    <row r="78" spans="1:1" ht="12.75" customHeight="1" x14ac:dyDescent="0.2">
      <c r="A78" s="5"/>
    </row>
    <row r="79" spans="1:1" ht="12.75" customHeight="1" x14ac:dyDescent="0.2">
      <c r="A79" s="5"/>
    </row>
    <row r="80" spans="1:1" ht="12.75" customHeight="1" x14ac:dyDescent="0.2">
      <c r="A80" s="5"/>
    </row>
    <row r="81" spans="1:1" ht="12.75" customHeight="1" x14ac:dyDescent="0.2">
      <c r="A81" s="5"/>
    </row>
    <row r="82" spans="1:1" ht="12.75" customHeight="1" x14ac:dyDescent="0.2">
      <c r="A82" s="5"/>
    </row>
    <row r="83" spans="1:1" ht="12.75" customHeight="1" x14ac:dyDescent="0.2">
      <c r="A83" s="5"/>
    </row>
    <row r="84" spans="1:1" ht="12.75" customHeight="1" x14ac:dyDescent="0.2">
      <c r="A84" s="5"/>
    </row>
    <row r="85" spans="1:1" ht="12.75" customHeight="1" x14ac:dyDescent="0.2">
      <c r="A85" s="5"/>
    </row>
    <row r="86" spans="1:1" ht="12.75" customHeight="1" x14ac:dyDescent="0.2">
      <c r="A86" s="5"/>
    </row>
    <row r="87" spans="1:1" ht="12.75" customHeight="1" x14ac:dyDescent="0.2">
      <c r="A87" s="5"/>
    </row>
    <row r="88" spans="1:1" ht="12.75" customHeight="1" x14ac:dyDescent="0.2">
      <c r="A88" s="5"/>
    </row>
    <row r="89" spans="1:1" ht="12.75" customHeight="1" x14ac:dyDescent="0.2">
      <c r="A89" s="5"/>
    </row>
    <row r="90" spans="1:1" ht="12.75" customHeight="1" x14ac:dyDescent="0.2">
      <c r="A90" s="5"/>
    </row>
    <row r="91" spans="1:1" ht="12.75" customHeight="1" x14ac:dyDescent="0.2">
      <c r="A91" s="5"/>
    </row>
    <row r="92" spans="1:1" ht="12.75" customHeight="1" x14ac:dyDescent="0.2">
      <c r="A92" s="5"/>
    </row>
    <row r="93" spans="1:1" ht="12.75" customHeight="1" x14ac:dyDescent="0.2">
      <c r="A93" s="5"/>
    </row>
    <row r="94" spans="1:1" ht="12.75" customHeight="1" x14ac:dyDescent="0.2">
      <c r="A94" s="5"/>
    </row>
    <row r="95" spans="1:1" ht="12.75" customHeight="1" x14ac:dyDescent="0.2">
      <c r="A95" s="5"/>
    </row>
    <row r="96" spans="1:1" ht="12.75" customHeight="1" x14ac:dyDescent="0.2">
      <c r="A96" s="5"/>
    </row>
    <row r="97" spans="1:1" ht="12.75" customHeight="1" x14ac:dyDescent="0.2">
      <c r="A97" s="5"/>
    </row>
    <row r="98" spans="1:1" ht="12.75" customHeight="1" x14ac:dyDescent="0.2">
      <c r="A98" s="5"/>
    </row>
    <row r="99" spans="1:1" ht="12.75" customHeight="1" x14ac:dyDescent="0.2">
      <c r="A99" s="5"/>
    </row>
    <row r="100" spans="1:1" ht="12.75" customHeight="1" x14ac:dyDescent="0.2">
      <c r="A100" s="5"/>
    </row>
    <row r="101" spans="1:1" ht="12.75" customHeight="1" x14ac:dyDescent="0.2">
      <c r="A101" s="5"/>
    </row>
    <row r="102" spans="1:1" ht="12.75" customHeight="1" x14ac:dyDescent="0.2">
      <c r="A102" s="5"/>
    </row>
    <row r="103" spans="1:1" ht="12.75" customHeight="1" x14ac:dyDescent="0.2">
      <c r="A103" s="5"/>
    </row>
    <row r="104" spans="1:1" ht="12.75" customHeight="1" x14ac:dyDescent="0.2">
      <c r="A104" s="5"/>
    </row>
    <row r="105" spans="1:1" ht="12.75" customHeight="1" x14ac:dyDescent="0.2">
      <c r="A105" s="5"/>
    </row>
    <row r="106" spans="1:1" ht="12.75" customHeight="1" x14ac:dyDescent="0.2">
      <c r="A106" s="5"/>
    </row>
    <row r="107" spans="1:1" ht="12.75" customHeight="1" x14ac:dyDescent="0.2">
      <c r="A107" s="5"/>
    </row>
    <row r="108" spans="1:1" ht="12.75" customHeight="1" x14ac:dyDescent="0.2">
      <c r="A108" s="5"/>
    </row>
    <row r="109" spans="1:1" ht="12.75" customHeight="1" x14ac:dyDescent="0.2">
      <c r="A109" s="5"/>
    </row>
    <row r="110" spans="1:1" ht="12.75" customHeight="1" x14ac:dyDescent="0.2">
      <c r="A110" s="5"/>
    </row>
    <row r="111" spans="1:1" ht="12.75" customHeight="1" x14ac:dyDescent="0.2">
      <c r="A111" s="5"/>
    </row>
    <row r="112" spans="1:1" ht="12.75" customHeight="1" x14ac:dyDescent="0.2">
      <c r="A112" s="5"/>
    </row>
    <row r="113" spans="1:1" ht="12.75" customHeight="1" x14ac:dyDescent="0.2">
      <c r="A113" s="5"/>
    </row>
    <row r="114" spans="1:1" ht="12.75" customHeight="1" x14ac:dyDescent="0.2">
      <c r="A114" s="5"/>
    </row>
    <row r="115" spans="1:1" ht="12.75" customHeight="1" x14ac:dyDescent="0.2">
      <c r="A115" s="5"/>
    </row>
    <row r="116" spans="1:1" ht="12.75" customHeight="1" x14ac:dyDescent="0.2">
      <c r="A116" s="5"/>
    </row>
    <row r="117" spans="1:1" ht="12.75" customHeight="1" x14ac:dyDescent="0.2">
      <c r="A117" s="5"/>
    </row>
    <row r="118" spans="1:1" ht="12.75" customHeight="1" x14ac:dyDescent="0.2">
      <c r="A118" s="5"/>
    </row>
    <row r="119" spans="1:1" ht="12.75" customHeight="1" x14ac:dyDescent="0.2">
      <c r="A119" s="5"/>
    </row>
    <row r="120" spans="1:1" ht="12.75" customHeight="1" x14ac:dyDescent="0.2">
      <c r="A120" s="5"/>
    </row>
    <row r="121" spans="1:1" ht="12.75" customHeight="1" x14ac:dyDescent="0.2">
      <c r="A121" s="5"/>
    </row>
    <row r="122" spans="1:1" ht="12.75" customHeight="1" x14ac:dyDescent="0.2">
      <c r="A122" s="5"/>
    </row>
    <row r="123" spans="1:1" ht="12.75" customHeight="1" x14ac:dyDescent="0.2">
      <c r="A123" s="5"/>
    </row>
    <row r="124" spans="1:1" ht="12.75" customHeight="1" x14ac:dyDescent="0.2">
      <c r="A124" s="5"/>
    </row>
    <row r="125" spans="1:1" ht="12.75" customHeight="1" x14ac:dyDescent="0.2">
      <c r="A125" s="5"/>
    </row>
    <row r="126" spans="1:1" ht="12.75" customHeight="1" x14ac:dyDescent="0.2">
      <c r="A126" s="5"/>
    </row>
    <row r="127" spans="1:1" ht="12.75" customHeight="1" x14ac:dyDescent="0.2">
      <c r="A127" s="5"/>
    </row>
    <row r="128" spans="1:1" ht="12.75" customHeight="1" x14ac:dyDescent="0.2">
      <c r="A128" s="5"/>
    </row>
    <row r="129" spans="1:1" ht="12.75" customHeight="1" x14ac:dyDescent="0.2">
      <c r="A129" s="5"/>
    </row>
    <row r="130" spans="1:1" ht="12.75" customHeight="1" x14ac:dyDescent="0.2">
      <c r="A130" s="5"/>
    </row>
    <row r="131" spans="1:1" ht="12.75" customHeight="1" x14ac:dyDescent="0.2">
      <c r="A131" s="5"/>
    </row>
    <row r="132" spans="1:1" ht="12.75" customHeight="1" x14ac:dyDescent="0.2">
      <c r="A132" s="5"/>
    </row>
    <row r="133" spans="1:1" ht="12.75" customHeight="1" x14ac:dyDescent="0.2">
      <c r="A133" s="5"/>
    </row>
    <row r="134" spans="1:1" ht="12.75" customHeight="1" x14ac:dyDescent="0.2">
      <c r="A134" s="5"/>
    </row>
    <row r="135" spans="1:1" ht="12.75" customHeight="1" x14ac:dyDescent="0.2">
      <c r="A135" s="5"/>
    </row>
    <row r="136" spans="1:1" ht="12.75" customHeight="1" x14ac:dyDescent="0.2">
      <c r="A136" s="5"/>
    </row>
    <row r="137" spans="1:1" ht="12.75" customHeight="1" x14ac:dyDescent="0.2">
      <c r="A137" s="5"/>
    </row>
    <row r="138" spans="1:1" ht="12.75" customHeight="1" x14ac:dyDescent="0.2">
      <c r="A138" s="5"/>
    </row>
    <row r="139" spans="1:1" ht="12.75" customHeight="1" x14ac:dyDescent="0.2">
      <c r="A139" s="5"/>
    </row>
    <row r="140" spans="1:1" ht="12.75" customHeight="1" x14ac:dyDescent="0.2">
      <c r="A140" s="5"/>
    </row>
    <row r="141" spans="1:1" ht="12.75" customHeight="1" x14ac:dyDescent="0.2">
      <c r="A141" s="5"/>
    </row>
    <row r="142" spans="1:1" ht="12.75" customHeight="1" x14ac:dyDescent="0.2">
      <c r="A142" s="5"/>
    </row>
    <row r="143" spans="1:1" ht="12.75" customHeight="1" x14ac:dyDescent="0.2">
      <c r="A143" s="5"/>
    </row>
    <row r="144" spans="1:1" ht="12.75" customHeight="1" x14ac:dyDescent="0.2">
      <c r="A144" s="5"/>
    </row>
    <row r="145" spans="1:1" ht="12.75" customHeight="1" x14ac:dyDescent="0.2">
      <c r="A145" s="5"/>
    </row>
    <row r="146" spans="1:1" ht="12.75" customHeight="1" x14ac:dyDescent="0.2">
      <c r="A146" s="5"/>
    </row>
    <row r="147" spans="1:1" ht="12.75" customHeight="1" x14ac:dyDescent="0.2">
      <c r="A147" s="5"/>
    </row>
    <row r="148" spans="1:1" ht="12.75" customHeight="1" x14ac:dyDescent="0.2">
      <c r="A148" s="5"/>
    </row>
    <row r="149" spans="1:1" ht="12.75" customHeight="1" x14ac:dyDescent="0.2">
      <c r="A149" s="5"/>
    </row>
    <row r="150" spans="1:1" ht="12.75" customHeight="1" x14ac:dyDescent="0.2">
      <c r="A150" s="5"/>
    </row>
    <row r="151" spans="1:1" ht="12.75" customHeight="1" x14ac:dyDescent="0.2">
      <c r="A151" s="5"/>
    </row>
    <row r="152" spans="1:1" ht="12.75" customHeight="1" x14ac:dyDescent="0.2">
      <c r="A152" s="5"/>
    </row>
    <row r="153" spans="1:1" ht="12.75" customHeight="1" x14ac:dyDescent="0.2">
      <c r="A153" s="5"/>
    </row>
    <row r="154" spans="1:1" ht="12.75" customHeight="1" x14ac:dyDescent="0.2">
      <c r="A154" s="5"/>
    </row>
    <row r="155" spans="1:1" ht="12.75" customHeight="1" x14ac:dyDescent="0.2">
      <c r="A155" s="5"/>
    </row>
    <row r="156" spans="1:1" ht="12.75" customHeight="1" x14ac:dyDescent="0.2">
      <c r="A156" s="5"/>
    </row>
    <row r="157" spans="1:1" ht="12.75" customHeight="1" x14ac:dyDescent="0.2">
      <c r="A157" s="5"/>
    </row>
    <row r="158" spans="1:1" ht="12.75" customHeight="1" x14ac:dyDescent="0.2">
      <c r="A158" s="5"/>
    </row>
    <row r="159" spans="1:1" ht="12.75" customHeight="1" x14ac:dyDescent="0.2">
      <c r="A159" s="5"/>
    </row>
    <row r="160" spans="1:1" ht="12.75" customHeight="1" x14ac:dyDescent="0.2">
      <c r="A160" s="5"/>
    </row>
    <row r="161" spans="1:1" ht="12.75" customHeight="1" x14ac:dyDescent="0.2">
      <c r="A161" s="5"/>
    </row>
    <row r="162" spans="1:1" ht="12.75" customHeight="1" x14ac:dyDescent="0.2">
      <c r="A162" s="5"/>
    </row>
    <row r="163" spans="1:1" ht="12.75" customHeight="1" x14ac:dyDescent="0.2">
      <c r="A163" s="5"/>
    </row>
    <row r="164" spans="1:1" ht="12.75" customHeight="1" x14ac:dyDescent="0.2">
      <c r="A164" s="5"/>
    </row>
    <row r="165" spans="1:1" ht="12.75" customHeight="1" x14ac:dyDescent="0.2">
      <c r="A165" s="5"/>
    </row>
    <row r="166" spans="1:1" ht="12.75" customHeight="1" x14ac:dyDescent="0.2">
      <c r="A166" s="5"/>
    </row>
    <row r="167" spans="1:1" ht="12.75" customHeight="1" x14ac:dyDescent="0.2">
      <c r="A167" s="5"/>
    </row>
    <row r="168" spans="1:1" ht="12.75" customHeight="1" x14ac:dyDescent="0.2">
      <c r="A168" s="5"/>
    </row>
    <row r="169" spans="1:1" ht="12.75" customHeight="1" x14ac:dyDescent="0.2">
      <c r="A169" s="5"/>
    </row>
    <row r="170" spans="1:1" ht="12.75" customHeight="1" x14ac:dyDescent="0.2">
      <c r="A170" s="5"/>
    </row>
    <row r="171" spans="1:1" ht="12.75" customHeight="1" x14ac:dyDescent="0.2">
      <c r="A171" s="5"/>
    </row>
    <row r="172" spans="1:1" ht="12.75" customHeight="1" x14ac:dyDescent="0.2">
      <c r="A172" s="5"/>
    </row>
    <row r="173" spans="1:1" ht="12.75" customHeight="1" x14ac:dyDescent="0.2">
      <c r="A173" s="5"/>
    </row>
    <row r="174" spans="1:1" ht="12.75" customHeight="1" x14ac:dyDescent="0.2">
      <c r="A174" s="5"/>
    </row>
    <row r="175" spans="1:1" ht="12.75" customHeight="1" x14ac:dyDescent="0.2">
      <c r="A175" s="5"/>
    </row>
    <row r="176" spans="1:1" ht="12.75" customHeight="1" x14ac:dyDescent="0.2">
      <c r="A176" s="5"/>
    </row>
    <row r="177" spans="1:1" ht="12.75" customHeight="1" x14ac:dyDescent="0.2">
      <c r="A177" s="5"/>
    </row>
    <row r="178" spans="1:1" ht="12.75" customHeight="1" x14ac:dyDescent="0.2">
      <c r="A178" s="5"/>
    </row>
    <row r="179" spans="1:1" ht="12.75" customHeight="1" x14ac:dyDescent="0.2">
      <c r="A179" s="5"/>
    </row>
    <row r="180" spans="1:1" ht="12.75" customHeight="1" x14ac:dyDescent="0.2">
      <c r="A180" s="5"/>
    </row>
    <row r="181" spans="1:1" ht="12.75" customHeight="1" x14ac:dyDescent="0.2">
      <c r="A181" s="5"/>
    </row>
    <row r="182" spans="1:1" ht="12.75" customHeight="1" x14ac:dyDescent="0.2">
      <c r="A182" s="5"/>
    </row>
    <row r="183" spans="1:1" ht="12.75" customHeight="1" x14ac:dyDescent="0.2">
      <c r="A183" s="5"/>
    </row>
    <row r="184" spans="1:1" ht="12.75" customHeight="1" x14ac:dyDescent="0.2">
      <c r="A184" s="5"/>
    </row>
    <row r="185" spans="1:1" ht="12.75" customHeight="1" x14ac:dyDescent="0.2">
      <c r="A185" s="5"/>
    </row>
    <row r="186" spans="1:1" ht="12.75" customHeight="1" x14ac:dyDescent="0.2">
      <c r="A186" s="5"/>
    </row>
    <row r="187" spans="1:1" ht="12.75" customHeight="1" x14ac:dyDescent="0.2">
      <c r="A187" s="5"/>
    </row>
    <row r="188" spans="1:1" ht="12.75" customHeight="1" x14ac:dyDescent="0.2">
      <c r="A188" s="5"/>
    </row>
    <row r="189" spans="1:1" ht="12.75" customHeight="1" x14ac:dyDescent="0.2">
      <c r="A189" s="5"/>
    </row>
    <row r="190" spans="1:1" ht="12.75" customHeight="1" x14ac:dyDescent="0.2">
      <c r="A190" s="5"/>
    </row>
    <row r="191" spans="1:1" ht="12.75" customHeight="1" x14ac:dyDescent="0.2">
      <c r="A191" s="5"/>
    </row>
    <row r="192" spans="1:1" ht="12.75" customHeight="1" x14ac:dyDescent="0.2">
      <c r="A192" s="5"/>
    </row>
    <row r="193" spans="1:1" ht="12.75" customHeight="1" x14ac:dyDescent="0.2">
      <c r="A193" s="5"/>
    </row>
    <row r="194" spans="1:1" ht="12.75" customHeight="1" x14ac:dyDescent="0.2">
      <c r="A194" s="5"/>
    </row>
    <row r="195" spans="1:1" ht="12.75" customHeight="1" x14ac:dyDescent="0.2">
      <c r="A195" s="5"/>
    </row>
    <row r="196" spans="1:1" ht="12.75" customHeight="1" x14ac:dyDescent="0.2">
      <c r="A196" s="5"/>
    </row>
    <row r="197" spans="1:1" ht="12.75" customHeight="1" x14ac:dyDescent="0.2">
      <c r="A197" s="5"/>
    </row>
    <row r="198" spans="1:1" ht="12.75" customHeight="1" x14ac:dyDescent="0.2">
      <c r="A198" s="5"/>
    </row>
    <row r="199" spans="1:1" ht="12.75" customHeight="1" x14ac:dyDescent="0.2">
      <c r="A199" s="5"/>
    </row>
    <row r="200" spans="1:1" ht="12.75" customHeight="1" x14ac:dyDescent="0.2">
      <c r="A200" s="5"/>
    </row>
    <row r="201" spans="1:1" ht="12.75" customHeight="1" x14ac:dyDescent="0.2">
      <c r="A201" s="5"/>
    </row>
    <row r="202" spans="1:1" ht="12.75" customHeight="1" x14ac:dyDescent="0.2">
      <c r="A202" s="5"/>
    </row>
    <row r="203" spans="1:1" ht="12.75" customHeight="1" x14ac:dyDescent="0.2">
      <c r="A203" s="5"/>
    </row>
    <row r="204" spans="1:1" ht="12.75" customHeight="1" x14ac:dyDescent="0.2">
      <c r="A204" s="5"/>
    </row>
    <row r="205" spans="1:1" ht="12.75" customHeight="1" x14ac:dyDescent="0.2">
      <c r="A205" s="5"/>
    </row>
    <row r="206" spans="1:1" ht="12.75" customHeight="1" x14ac:dyDescent="0.2">
      <c r="A206" s="5"/>
    </row>
    <row r="207" spans="1:1" ht="12.75" customHeight="1" x14ac:dyDescent="0.2">
      <c r="A207" s="5"/>
    </row>
    <row r="208" spans="1:1" ht="12.75" customHeight="1" x14ac:dyDescent="0.2">
      <c r="A208" s="5"/>
    </row>
    <row r="209" spans="1:1" ht="12.75" customHeight="1" x14ac:dyDescent="0.2">
      <c r="A209" s="5"/>
    </row>
    <row r="210" spans="1:1" ht="12.75" customHeight="1" x14ac:dyDescent="0.2">
      <c r="A210" s="5"/>
    </row>
    <row r="211" spans="1:1" ht="12.75" customHeight="1" x14ac:dyDescent="0.2">
      <c r="A211" s="5"/>
    </row>
    <row r="212" spans="1:1" ht="12.75" customHeight="1" x14ac:dyDescent="0.2">
      <c r="A212" s="5"/>
    </row>
    <row r="213" spans="1:1" ht="12.75" customHeight="1" x14ac:dyDescent="0.2">
      <c r="A213" s="5"/>
    </row>
    <row r="214" spans="1:1" ht="12.75" customHeight="1" x14ac:dyDescent="0.2">
      <c r="A214" s="5"/>
    </row>
    <row r="215" spans="1:1" ht="12.75" customHeight="1" x14ac:dyDescent="0.2">
      <c r="A215" s="5"/>
    </row>
    <row r="216" spans="1:1" ht="12.75" customHeight="1" x14ac:dyDescent="0.2">
      <c r="A216" s="5"/>
    </row>
    <row r="217" spans="1:1" ht="12.75" customHeight="1" x14ac:dyDescent="0.2">
      <c r="A217" s="5"/>
    </row>
    <row r="218" spans="1:1" ht="12.75" customHeight="1" x14ac:dyDescent="0.2">
      <c r="A218" s="5"/>
    </row>
    <row r="219" spans="1:1" ht="12.75" customHeight="1" x14ac:dyDescent="0.2">
      <c r="A219" s="5"/>
    </row>
    <row r="220" spans="1:1" ht="12.75" customHeight="1" x14ac:dyDescent="0.2">
      <c r="A220" s="5"/>
    </row>
    <row r="221" spans="1:1" ht="12.75" customHeight="1" x14ac:dyDescent="0.2">
      <c r="A221" s="5"/>
    </row>
    <row r="222" spans="1:1" ht="12.75" customHeight="1" x14ac:dyDescent="0.2">
      <c r="A222" s="5"/>
    </row>
    <row r="223" spans="1:1" ht="12.75" customHeight="1" x14ac:dyDescent="0.2">
      <c r="A223" s="5"/>
    </row>
    <row r="224" spans="1:1" ht="12.75" customHeight="1" x14ac:dyDescent="0.2">
      <c r="A224" s="5"/>
    </row>
    <row r="225" spans="1:1" ht="12.75" customHeight="1" x14ac:dyDescent="0.2">
      <c r="A225" s="5"/>
    </row>
    <row r="226" spans="1:1" ht="12.75" customHeight="1" x14ac:dyDescent="0.2">
      <c r="A226" s="5"/>
    </row>
    <row r="227" spans="1:1" ht="12.75" customHeight="1" x14ac:dyDescent="0.2">
      <c r="A227" s="5"/>
    </row>
    <row r="228" spans="1:1" ht="12.75" customHeight="1" x14ac:dyDescent="0.2">
      <c r="A228" s="5"/>
    </row>
    <row r="229" spans="1:1" ht="12.75" customHeight="1" x14ac:dyDescent="0.2">
      <c r="A229" s="5"/>
    </row>
    <row r="230" spans="1:1" ht="12.75" customHeight="1" x14ac:dyDescent="0.2">
      <c r="A230" s="5"/>
    </row>
    <row r="231" spans="1:1" ht="12.75" customHeight="1" x14ac:dyDescent="0.2">
      <c r="A231" s="5"/>
    </row>
    <row r="232" spans="1:1" ht="12.75" customHeight="1" x14ac:dyDescent="0.2">
      <c r="A232" s="5"/>
    </row>
    <row r="233" spans="1:1" ht="12.75" customHeight="1" x14ac:dyDescent="0.2">
      <c r="A233" s="5"/>
    </row>
    <row r="234" spans="1:1" ht="12.75" customHeight="1" x14ac:dyDescent="0.2">
      <c r="A234" s="5"/>
    </row>
    <row r="235" spans="1:1" ht="12.75" customHeight="1" x14ac:dyDescent="0.2">
      <c r="A235" s="5"/>
    </row>
    <row r="236" spans="1:1" ht="12.75" customHeight="1" x14ac:dyDescent="0.2">
      <c r="A236" s="5"/>
    </row>
    <row r="237" spans="1:1" ht="12.75" customHeight="1" x14ac:dyDescent="0.2">
      <c r="A237" s="5"/>
    </row>
    <row r="238" spans="1:1" ht="12.75" customHeight="1" x14ac:dyDescent="0.2">
      <c r="A238" s="5"/>
    </row>
    <row r="239" spans="1:1" ht="12.75" customHeight="1" x14ac:dyDescent="0.2">
      <c r="A239" s="5"/>
    </row>
    <row r="240" spans="1:1" ht="12.75" customHeight="1" x14ac:dyDescent="0.2"/>
    <row r="241" ht="12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Metrics</vt:lpstr>
      <vt:lpstr>Characters</vt:lpstr>
      <vt:lpstr>Characters!bprime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2024-01-29T18:27:14Z</dcterms:created>
  <dcterms:modified xsi:type="dcterms:W3CDTF">2024-01-29T19:10:34Z</dcterms:modified>
</cp:coreProperties>
</file>