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data\"/>
    </mc:Choice>
  </mc:AlternateContent>
  <xr:revisionPtr revIDLastSave="1150" documentId="13_ncr:1_{7EEB4C27-77F1-4C37-AEAC-0982BE2EA449}" xr6:coauthVersionLast="47" xr6:coauthVersionMax="47" xr10:uidLastSave="{301458CC-6893-45EC-9604-6FAA867961F4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state="hidden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state="hidden" r:id="rId15"/>
    <sheet name="vehicle_id_ranges" sheetId="8" state="hidden" r:id="rId16"/>
    <sheet name="loadingspeed_lookup" sheetId="11" state="hidden" r:id="rId17"/>
    <sheet name="copyright_text" sheetId="6" state="hidden" r:id="rId18"/>
  </sheets>
  <definedNames>
    <definedName name="_xlnm._FilterDatabase" localSheetId="4" hidden="1">roster!$A$1:$O$1115</definedName>
  </definedNames>
  <calcPr calcId="191029"/>
  <pivotCaches>
    <pivotCache cacheId="0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" i="17" l="1" a="1"/>
  <c r="AU3" i="17" a="1"/>
  <c r="AU4" i="17" a="1"/>
  <c r="AU5" i="17" a="1"/>
  <c r="AU6" i="17" a="1"/>
  <c r="AU7" i="17" a="1"/>
  <c r="AU8" i="17" a="1"/>
  <c r="AU9" i="17" a="1"/>
  <c r="AU10" i="17" a="1"/>
  <c r="AU11" i="17" a="1"/>
  <c r="AU12" i="17" a="1"/>
  <c r="AU13" i="17" a="1"/>
  <c r="AU14" i="17" a="1"/>
  <c r="AU15" i="17" a="1"/>
  <c r="AU16" i="17" a="1"/>
  <c r="AU17" i="17" a="1"/>
  <c r="AU18" i="17" a="1"/>
  <c r="AU19" i="17" a="1"/>
  <c r="AU20" i="17" a="1"/>
  <c r="AU21" i="17" a="1"/>
  <c r="AU22" i="17" a="1"/>
  <c r="AU23" i="17" a="1"/>
  <c r="AU24" i="17" a="1"/>
  <c r="AU25" i="17" a="1"/>
  <c r="AU26" i="17" a="1"/>
  <c r="AU27" i="17" a="1"/>
  <c r="AU28" i="17" a="1"/>
  <c r="AU29" i="17" a="1"/>
  <c r="AU30" i="17" a="1"/>
  <c r="AU31" i="17" a="1"/>
  <c r="AU32" i="17" a="1"/>
  <c r="AU33" i="17" a="1"/>
  <c r="AU34" i="17" a="1"/>
  <c r="AU35" i="17" a="1"/>
  <c r="AU36" i="17" a="1"/>
  <c r="AU37" i="17" a="1"/>
  <c r="AU38" i="17" a="1"/>
  <c r="AU39" i="17" a="1"/>
  <c r="AU40" i="17" a="1"/>
  <c r="AU41" i="17" a="1"/>
  <c r="AU42" i="17" a="1"/>
  <c r="AU43" i="17" a="1"/>
  <c r="AU44" i="17" a="1"/>
  <c r="AU45" i="17" a="1"/>
  <c r="AU46" i="17" a="1"/>
  <c r="AU47" i="17" a="1"/>
  <c r="AU48" i="17" a="1"/>
  <c r="AU49" i="17" a="1"/>
  <c r="AU50" i="17" a="1"/>
  <c r="AU51" i="17" a="1"/>
  <c r="AU52" i="17" a="1"/>
  <c r="AU53" i="17" a="1"/>
  <c r="AU54" i="17" a="1"/>
  <c r="AU55" i="17" a="1"/>
  <c r="AU56" i="17" a="1"/>
  <c r="AU57" i="17" a="1"/>
  <c r="AU58" i="17" a="1"/>
  <c r="AU59" i="17" a="1"/>
  <c r="AU60" i="17" a="1"/>
  <c r="AU61" i="17" a="1"/>
  <c r="AU62" i="17" a="1"/>
  <c r="AU63" i="17" a="1"/>
  <c r="AU64" i="17" a="1"/>
  <c r="AU65" i="17" a="1"/>
  <c r="AU66" i="17" a="1"/>
  <c r="AU67" i="17" a="1"/>
  <c r="AU68" i="17" a="1"/>
  <c r="AU69" i="17" a="1"/>
  <c r="AU70" i="17" a="1"/>
  <c r="AU71" i="17" a="1"/>
  <c r="AU72" i="17" a="1"/>
  <c r="AU73" i="17" a="1"/>
  <c r="AU74" i="17" a="1"/>
  <c r="AU75" i="17" a="1"/>
  <c r="AU76" i="17" a="1"/>
  <c r="AU77" i="17" a="1"/>
  <c r="AU78" i="17" a="1"/>
  <c r="AU79" i="17" a="1"/>
  <c r="AU80" i="17" a="1"/>
  <c r="AU81" i="17" a="1"/>
  <c r="AU82" i="17" a="1"/>
  <c r="AU83" i="17" a="1"/>
  <c r="AU84" i="17" a="1"/>
  <c r="AU85" i="17" a="1"/>
  <c r="AU86" i="17" a="1"/>
  <c r="AU87" i="17" a="1"/>
  <c r="AU88" i="17" a="1"/>
  <c r="AU89" i="17" a="1"/>
  <c r="AU90" i="17" a="1"/>
  <c r="AU91" i="17" a="1"/>
  <c r="AU92" i="17" a="1"/>
  <c r="AU93" i="17" a="1"/>
  <c r="AU94" i="17" a="1"/>
  <c r="AU95" i="17" a="1"/>
  <c r="AU96" i="17" a="1"/>
  <c r="AU97" i="17" a="1"/>
  <c r="AU98" i="17" a="1"/>
  <c r="AU99" i="17" a="1"/>
  <c r="AU100" i="17" a="1"/>
  <c r="AU101" i="17" a="1"/>
  <c r="AU102" i="17" a="1"/>
  <c r="AU103" i="17" a="1"/>
  <c r="AU104" i="17" a="1"/>
  <c r="AU105" i="17" a="1"/>
  <c r="AU106" i="17" a="1"/>
  <c r="AU107" i="17" a="1"/>
  <c r="AU108" i="17" a="1"/>
  <c r="AU109" i="17" a="1"/>
  <c r="AU110" i="17" a="1"/>
  <c r="AU111" i="17" a="1"/>
  <c r="AU112" i="17" a="1"/>
  <c r="AU113" i="17" a="1"/>
  <c r="AU114" i="17" a="1"/>
  <c r="AU115" i="17" a="1"/>
  <c r="AU116" i="17" a="1"/>
  <c r="AU117" i="17" a="1"/>
  <c r="AU118" i="17" a="1"/>
  <c r="AU119" i="17" a="1"/>
  <c r="AU120" i="17" a="1"/>
  <c r="AU121" i="17" a="1"/>
  <c r="AU122" i="17" a="1"/>
  <c r="AU123" i="17" a="1"/>
  <c r="AU124" i="17" a="1"/>
  <c r="AU125" i="17" a="1"/>
  <c r="AU126" i="17" a="1"/>
  <c r="AU127" i="17" a="1"/>
  <c r="AU128" i="17" a="1"/>
  <c r="AU129" i="17" a="1"/>
  <c r="AU130" i="17" a="1"/>
  <c r="AU131" i="17" a="1"/>
  <c r="AU132" i="17" a="1"/>
  <c r="AU133" i="17" a="1"/>
  <c r="AU134" i="17" a="1"/>
  <c r="AU135" i="17" a="1"/>
  <c r="AU136" i="17" a="1"/>
  <c r="AU137" i="17" a="1"/>
  <c r="AU138" i="17" a="1"/>
  <c r="AU139" i="17" a="1"/>
  <c r="AU140" i="17" a="1"/>
  <c r="AU141" i="17" a="1"/>
  <c r="AU142" i="17" a="1"/>
  <c r="AU143" i="17" a="1"/>
  <c r="AU144" i="17" a="1"/>
  <c r="AU145" i="17" a="1"/>
  <c r="AU146" i="17" a="1"/>
  <c r="AU147" i="17" a="1"/>
  <c r="AU148" i="17" a="1"/>
  <c r="AU149" i="17" a="1"/>
  <c r="AU150" i="17" a="1"/>
  <c r="AU151" i="17" a="1"/>
  <c r="AU152" i="17" a="1"/>
  <c r="AU153" i="17" a="1"/>
  <c r="AU154" i="17" a="1"/>
  <c r="AU155" i="17" a="1"/>
  <c r="AU156" i="17" a="1"/>
  <c r="AU157" i="17" a="1"/>
  <c r="AU158" i="17" a="1"/>
  <c r="AU159" i="17" a="1"/>
  <c r="AU160" i="17" a="1"/>
  <c r="AU161" i="17" a="1"/>
  <c r="AU162" i="17" a="1"/>
  <c r="AU163" i="17" a="1"/>
  <c r="AU164" i="17" a="1"/>
  <c r="AU165" i="17" a="1"/>
  <c r="AU166" i="17" a="1"/>
  <c r="AU167" i="17" a="1"/>
  <c r="AU168" i="17" a="1"/>
  <c r="AU169" i="17" a="1"/>
  <c r="AU170" i="17" a="1"/>
  <c r="AU171" i="17" a="1"/>
  <c r="AU172" i="17" a="1"/>
  <c r="AU173" i="17" a="1"/>
  <c r="AU174" i="17" a="1"/>
  <c r="AU175" i="17" a="1"/>
  <c r="AU176" i="17" a="1"/>
  <c r="AU177" i="17" a="1"/>
  <c r="AU178" i="17" a="1"/>
  <c r="AU179" i="17" a="1"/>
  <c r="AU180" i="17" a="1"/>
  <c r="AU181" i="17" a="1"/>
  <c r="AU182" i="17" a="1"/>
  <c r="AU183" i="17" a="1"/>
  <c r="AU184" i="17" a="1"/>
  <c r="AU185" i="17" a="1"/>
  <c r="AU186" i="17" a="1"/>
  <c r="AU187" i="17" a="1"/>
  <c r="AU188" i="17" a="1"/>
  <c r="AU189" i="17" a="1"/>
  <c r="AU190" i="17" a="1"/>
  <c r="AU191" i="17" a="1"/>
  <c r="AU192" i="17" a="1"/>
  <c r="AU193" i="17" a="1"/>
  <c r="AU194" i="17" a="1"/>
  <c r="AU195" i="17" a="1"/>
  <c r="AU196" i="17" a="1"/>
  <c r="AU197" i="17" a="1"/>
  <c r="AU198" i="17" a="1"/>
  <c r="AU199" i="17" a="1"/>
  <c r="AU200" i="17" a="1"/>
  <c r="AU201" i="17" a="1"/>
  <c r="AU202" i="17" a="1"/>
  <c r="AU203" i="17" a="1"/>
  <c r="AU204" i="17" a="1"/>
  <c r="AU205" i="17" a="1"/>
  <c r="AU206" i="17" a="1"/>
  <c r="AU207" i="17" a="1"/>
  <c r="AU208" i="17" a="1"/>
  <c r="AU209" i="17" a="1"/>
  <c r="AU210" i="17" a="1"/>
  <c r="AU211" i="17" a="1"/>
  <c r="AU212" i="17" a="1"/>
  <c r="AU213" i="17" a="1"/>
  <c r="AU214" i="17" a="1"/>
  <c r="AU215" i="17" a="1"/>
  <c r="AU216" i="17" a="1"/>
  <c r="AU217" i="17" a="1"/>
  <c r="AU218" i="17" a="1"/>
  <c r="AU219" i="17" a="1"/>
  <c r="AU220" i="17" a="1"/>
  <c r="AU221" i="17" a="1"/>
  <c r="AU222" i="17" a="1"/>
  <c r="AU223" i="17" a="1"/>
  <c r="AU224" i="17" a="1"/>
  <c r="AU225" i="17" a="1"/>
  <c r="AU226" i="17" a="1"/>
  <c r="AU227" i="17" a="1"/>
  <c r="AU228" i="17" a="1"/>
  <c r="AU229" i="17" a="1"/>
  <c r="AU230" i="17" a="1"/>
  <c r="AU231" i="17" a="1"/>
  <c r="AU232" i="17" a="1"/>
  <c r="AU233" i="17" a="1"/>
  <c r="AU234" i="17" a="1"/>
  <c r="AU235" i="17" a="1"/>
  <c r="AU236" i="17" a="1"/>
  <c r="AU237" i="17" a="1"/>
  <c r="AU238" i="17" a="1"/>
  <c r="AU239" i="17" a="1"/>
  <c r="AU240" i="17" a="1"/>
  <c r="AU241" i="17" a="1"/>
  <c r="AU242" i="17" a="1"/>
  <c r="AU243" i="17" a="1"/>
  <c r="AU244" i="17" a="1"/>
  <c r="AU245" i="17" a="1"/>
  <c r="AU246" i="17" a="1"/>
  <c r="AU247" i="17" a="1"/>
  <c r="AU248" i="17" a="1"/>
  <c r="AU249" i="17" a="1"/>
  <c r="AU250" i="17" a="1"/>
  <c r="AU251" i="17" a="1"/>
  <c r="AU252" i="17" a="1"/>
  <c r="AU253" i="17" a="1"/>
  <c r="AU254" i="17" a="1"/>
  <c r="AU255" i="17" a="1"/>
  <c r="AU256" i="17" a="1"/>
  <c r="AU257" i="17" a="1"/>
  <c r="AU258" i="17" a="1"/>
  <c r="AU259" i="17" a="1"/>
  <c r="AU260" i="17" a="1"/>
  <c r="AU261" i="17" a="1"/>
  <c r="AU262" i="17" a="1"/>
  <c r="AU263" i="17" a="1"/>
  <c r="AU264" i="17" a="1"/>
  <c r="AU265" i="17" a="1"/>
  <c r="AU266" i="17" a="1"/>
  <c r="AU267" i="17" a="1"/>
  <c r="AU268" i="17" a="1"/>
  <c r="AU269" i="17" a="1"/>
  <c r="AU270" i="17" a="1"/>
  <c r="AU271" i="17" a="1"/>
  <c r="AU272" i="17" a="1"/>
  <c r="AU273" i="17" a="1"/>
  <c r="AU274" i="17" a="1"/>
  <c r="AU275" i="17" a="1"/>
  <c r="AU276" i="17" a="1"/>
  <c r="AU277" i="17" a="1"/>
  <c r="AU278" i="17" a="1"/>
  <c r="AU279" i="17" a="1"/>
  <c r="AU280" i="17" a="1"/>
  <c r="AU281" i="17" a="1"/>
  <c r="AU282" i="17" a="1"/>
  <c r="AU283" i="17" a="1"/>
  <c r="AU284" i="17" a="1"/>
  <c r="AU285" i="17" a="1"/>
  <c r="AU286" i="17" a="1"/>
  <c r="AU287" i="17" a="1"/>
  <c r="AU288" i="17" a="1"/>
  <c r="AU289" i="17" a="1"/>
  <c r="AU290" i="17" a="1"/>
  <c r="AU291" i="17" a="1"/>
  <c r="AU292" i="17" a="1"/>
  <c r="AU293" i="17" a="1"/>
  <c r="AU294" i="17" a="1"/>
  <c r="AU295" i="17" a="1"/>
  <c r="AU296" i="17" a="1"/>
  <c r="AU297" i="17" a="1"/>
  <c r="AU298" i="17" a="1"/>
  <c r="AU299" i="17" a="1"/>
  <c r="AU300" i="17" a="1"/>
  <c r="AU301" i="17" a="1"/>
  <c r="AU302" i="17" a="1"/>
  <c r="AU303" i="17" a="1"/>
  <c r="AU304" i="17" a="1"/>
  <c r="AU305" i="17" a="1"/>
  <c r="AU306" i="17" a="1"/>
  <c r="AU307" i="17" a="1"/>
  <c r="AU308" i="17" a="1"/>
  <c r="AU309" i="17" a="1"/>
  <c r="AU310" i="17" a="1"/>
  <c r="AU311" i="17" a="1"/>
  <c r="AU312" i="17" a="1"/>
  <c r="AU313" i="17" a="1"/>
  <c r="AU314" i="17" a="1"/>
  <c r="AU315" i="17" a="1"/>
  <c r="AU316" i="17" a="1"/>
  <c r="AU317" i="17" a="1"/>
  <c r="AU318" i="17" a="1"/>
  <c r="AU319" i="17" a="1"/>
  <c r="AU320" i="17" a="1"/>
  <c r="AU321" i="17" a="1"/>
  <c r="AU322" i="17" a="1"/>
  <c r="AU323" i="17" a="1"/>
  <c r="AU324" i="17" a="1"/>
  <c r="AU325" i="17" a="1"/>
  <c r="AU326" i="17" a="1"/>
  <c r="AU327" i="17" a="1"/>
  <c r="AU328" i="17" a="1"/>
  <c r="AU329" i="17" a="1"/>
  <c r="AU330" i="17" a="1"/>
  <c r="AU331" i="17" a="1"/>
  <c r="AU332" i="17" a="1"/>
  <c r="AU333" i="17" a="1"/>
  <c r="AU334" i="17" a="1"/>
  <c r="AU335" i="17" a="1"/>
  <c r="AU336" i="17" a="1"/>
  <c r="AU337" i="17" a="1"/>
  <c r="AU338" i="17" a="1"/>
  <c r="AU339" i="17" a="1"/>
  <c r="AU340" i="17" a="1"/>
  <c r="AU341" i="17" a="1"/>
  <c r="AU342" i="17" a="1"/>
  <c r="AU343" i="17" a="1"/>
  <c r="AU344" i="17" a="1"/>
  <c r="AU345" i="17" a="1"/>
  <c r="AU346" i="17" a="1"/>
  <c r="AU347" i="17" a="1"/>
  <c r="AU348" i="17" a="1"/>
  <c r="AU349" i="17" a="1"/>
  <c r="AU350" i="17" a="1"/>
  <c r="AU351" i="17" a="1"/>
  <c r="AU352" i="17" a="1"/>
  <c r="AU353" i="17" a="1"/>
  <c r="AU354" i="17" a="1"/>
  <c r="AU355" i="17" a="1"/>
  <c r="AU356" i="17" a="1"/>
  <c r="AU357" i="17" a="1"/>
  <c r="AU358" i="17" a="1"/>
  <c r="AU359" i="17" a="1"/>
  <c r="AU360" i="17" a="1"/>
  <c r="AU361" i="17" a="1"/>
  <c r="AU362" i="17" a="1"/>
  <c r="AU363" i="17" a="1"/>
  <c r="AU364" i="17" a="1"/>
  <c r="AU365" i="17" a="1"/>
  <c r="AU366" i="17" a="1"/>
  <c r="AU367" i="17" a="1"/>
  <c r="AU368" i="17" a="1"/>
  <c r="AU369" i="17" a="1"/>
  <c r="AU370" i="17" a="1"/>
  <c r="AU371" i="17" a="1"/>
  <c r="AU372" i="17" a="1"/>
  <c r="AU373" i="17" a="1"/>
  <c r="AU374" i="17" a="1"/>
  <c r="AU375" i="17" a="1"/>
  <c r="AU376" i="17" a="1"/>
  <c r="AU377" i="17" a="1"/>
  <c r="AU378" i="17" a="1"/>
  <c r="AU379" i="17" a="1"/>
  <c r="AU380" i="17" a="1"/>
  <c r="AU381" i="17" a="1"/>
  <c r="AU382" i="17" a="1"/>
  <c r="AU383" i="17" a="1"/>
  <c r="AU384" i="17" a="1"/>
  <c r="AU385" i="17" a="1"/>
  <c r="AU386" i="17" a="1"/>
  <c r="AU387" i="17" a="1"/>
  <c r="AU388" i="17" a="1"/>
  <c r="AU389" i="17" a="1"/>
  <c r="AU390" i="17" a="1"/>
  <c r="AU391" i="17" a="1"/>
  <c r="AU392" i="17" a="1"/>
  <c r="AU393" i="17" a="1"/>
  <c r="AU394" i="17" a="1"/>
  <c r="AU395" i="17" a="1"/>
  <c r="AU396" i="17" a="1"/>
  <c r="AU397" i="17" a="1"/>
  <c r="AU398" i="17" a="1"/>
  <c r="AU399" i="17" a="1"/>
  <c r="AU400" i="17" a="1"/>
  <c r="AU401" i="17" a="1"/>
  <c r="AU402" i="17" a="1"/>
  <c r="AU403" i="17" a="1"/>
  <c r="AU404" i="17" a="1"/>
  <c r="AU405" i="17" a="1"/>
  <c r="AU406" i="17" a="1"/>
  <c r="AU407" i="17" a="1"/>
  <c r="AU408" i="17" a="1"/>
  <c r="AU409" i="17" a="1"/>
  <c r="AU410" i="17" a="1"/>
  <c r="AU411" i="17" a="1"/>
  <c r="AU412" i="17" a="1"/>
  <c r="AU413" i="17" a="1"/>
  <c r="AU414" i="17" a="1"/>
  <c r="AU415" i="17" a="1"/>
  <c r="AU416" i="17" a="1"/>
  <c r="AU417" i="17" a="1"/>
  <c r="AU418" i="17" a="1"/>
  <c r="AU419" i="17" a="1"/>
  <c r="AU420" i="17" a="1"/>
  <c r="AU421" i="17" a="1"/>
  <c r="AU422" i="17" a="1"/>
  <c r="AU423" i="17" a="1"/>
  <c r="AU424" i="17" a="1"/>
  <c r="AU425" i="17" a="1"/>
  <c r="AU426" i="17" a="1"/>
  <c r="AU427" i="17" a="1"/>
  <c r="AU428" i="17" a="1"/>
  <c r="AU429" i="17" a="1"/>
  <c r="AU430" i="17" a="1"/>
  <c r="AU431" i="17" a="1"/>
  <c r="AU432" i="17" a="1"/>
  <c r="AU433" i="17" a="1"/>
  <c r="AU434" i="17" a="1"/>
  <c r="AU435" i="17" a="1"/>
  <c r="AU436" i="17" a="1"/>
  <c r="AU437" i="17" a="1"/>
  <c r="AU438" i="17" a="1"/>
  <c r="AU439" i="17" a="1"/>
  <c r="AU440" i="17" a="1"/>
  <c r="AU441" i="17" a="1"/>
  <c r="AU442" i="17" a="1"/>
  <c r="AU443" i="17" a="1"/>
  <c r="AU444" i="17" a="1"/>
  <c r="AU445" i="17" a="1"/>
  <c r="AU446" i="17" a="1"/>
  <c r="AU447" i="17" a="1"/>
  <c r="AU448" i="17" a="1"/>
  <c r="AU449" i="17" a="1"/>
  <c r="AU450" i="17" a="1"/>
  <c r="AU451" i="17" a="1"/>
  <c r="AU452" i="17" a="1"/>
  <c r="AU453" i="17" a="1"/>
  <c r="AU454" i="17" a="1"/>
  <c r="AU455" i="17" a="1"/>
  <c r="AU456" i="17" a="1"/>
  <c r="AU457" i="17" a="1"/>
  <c r="AU458" i="17" a="1"/>
  <c r="AU459" i="17" a="1"/>
  <c r="AU460" i="17" a="1"/>
  <c r="AU461" i="17" a="1"/>
  <c r="AU462" i="17" a="1"/>
  <c r="AU463" i="17" a="1"/>
  <c r="AU464" i="17" a="1"/>
  <c r="AU465" i="17" a="1"/>
  <c r="AU466" i="17" a="1"/>
  <c r="AU467" i="17" a="1"/>
  <c r="AU468" i="17" a="1"/>
  <c r="AU469" i="17" a="1"/>
  <c r="AU470" i="17" a="1"/>
  <c r="AU471" i="17" a="1"/>
  <c r="AU472" i="17" a="1"/>
  <c r="AU473" i="17" a="1"/>
  <c r="AU474" i="17" a="1"/>
  <c r="AU475" i="17" a="1"/>
  <c r="AU476" i="17" a="1"/>
  <c r="AU477" i="17" a="1"/>
  <c r="AU478" i="17" a="1"/>
  <c r="AU479" i="17" a="1"/>
  <c r="AU480" i="17" a="1"/>
  <c r="AU481" i="17" a="1"/>
  <c r="AU482" i="17" a="1"/>
  <c r="AU483" i="17" a="1"/>
  <c r="AU484" i="17" a="1"/>
  <c r="AU485" i="17" a="1"/>
  <c r="AU486" i="17" a="1"/>
  <c r="AU487" i="17" a="1"/>
  <c r="AU488" i="17" a="1"/>
  <c r="AU489" i="17" a="1"/>
  <c r="AU490" i="17" a="1"/>
  <c r="AU491" i="17" a="1"/>
  <c r="AU492" i="17" a="1"/>
  <c r="AU493" i="17" a="1"/>
  <c r="AU494" i="17" a="1"/>
  <c r="AU495" i="17" a="1"/>
  <c r="AU496" i="17" a="1"/>
  <c r="AU497" i="17" a="1"/>
  <c r="AU498" i="17" a="1"/>
  <c r="AU499" i="17" a="1"/>
  <c r="AU500" i="17" a="1"/>
  <c r="AU501" i="17" a="1"/>
  <c r="AU502" i="17" a="1"/>
  <c r="AU503" i="17" a="1"/>
  <c r="AU504" i="17" a="1"/>
  <c r="AU505" i="17" a="1"/>
  <c r="AU506" i="17" a="1"/>
  <c r="AU507" i="17" a="1"/>
  <c r="AU508" i="17" a="1"/>
  <c r="AU509" i="17" a="1"/>
  <c r="AU510" i="17" a="1"/>
  <c r="AU511" i="17" a="1"/>
  <c r="AU512" i="17" a="1"/>
  <c r="AU513" i="17" a="1"/>
  <c r="AU514" i="17" a="1"/>
  <c r="AU515" i="17" a="1"/>
  <c r="AU516" i="17" a="1"/>
  <c r="AU517" i="17" a="1"/>
  <c r="AU518" i="17" a="1"/>
  <c r="AU519" i="17" a="1"/>
  <c r="AU520" i="17" a="1"/>
  <c r="AU521" i="17" a="1"/>
  <c r="AU522" i="17" a="1"/>
  <c r="AU523" i="17" a="1"/>
  <c r="AU524" i="17" a="1"/>
  <c r="AU525" i="17" a="1"/>
  <c r="AU526" i="17" a="1"/>
  <c r="AU527" i="17" a="1"/>
  <c r="AU528" i="17" a="1"/>
  <c r="AU529" i="17" a="1"/>
  <c r="AU530" i="17" a="1"/>
  <c r="AU531" i="17" a="1"/>
  <c r="AU532" i="17" a="1"/>
  <c r="AU533" i="17" a="1"/>
  <c r="AU534" i="17" a="1"/>
  <c r="AU535" i="17" a="1"/>
  <c r="AU536" i="17" a="1"/>
  <c r="AU537" i="17" a="1"/>
  <c r="AU538" i="17" a="1"/>
  <c r="AU539" i="17" a="1"/>
  <c r="AU540" i="17" a="1"/>
  <c r="AU541" i="17" a="1"/>
  <c r="AU542" i="17" a="1"/>
  <c r="AU543" i="17" a="1"/>
  <c r="AU544" i="17" a="1"/>
  <c r="AU545" i="17" a="1"/>
  <c r="AU546" i="17" a="1"/>
  <c r="AU547" i="17" a="1"/>
  <c r="AU548" i="17" a="1"/>
  <c r="AU549" i="17" a="1"/>
  <c r="AU550" i="17" a="1"/>
  <c r="AU551" i="17" a="1"/>
  <c r="AU552" i="17" a="1"/>
  <c r="AU553" i="17" a="1"/>
  <c r="AU554" i="17" a="1"/>
  <c r="AU555" i="17" a="1"/>
  <c r="AU556" i="17" a="1"/>
  <c r="AU557" i="17" a="1"/>
  <c r="AU558" i="17" a="1"/>
  <c r="AU559" i="17" a="1"/>
  <c r="AU560" i="17" a="1"/>
  <c r="AU561" i="17" a="1"/>
  <c r="AU562" i="17" a="1"/>
  <c r="AU563" i="17" a="1"/>
  <c r="AU564" i="17" a="1"/>
  <c r="AU565" i="17" a="1"/>
  <c r="AU566" i="17" a="1"/>
  <c r="AU567" i="17" a="1"/>
  <c r="AU568" i="17" a="1"/>
  <c r="AU569" i="17" a="1"/>
  <c r="AU570" i="17" a="1"/>
  <c r="AU571" i="17" a="1"/>
  <c r="AU572" i="17" a="1"/>
  <c r="AU573" i="17" a="1"/>
  <c r="AU574" i="17" a="1"/>
  <c r="AU575" i="17" a="1"/>
  <c r="AU576" i="17" a="1"/>
  <c r="AU577" i="17" a="1"/>
  <c r="AU578" i="17" a="1"/>
  <c r="AU579" i="17" a="1"/>
  <c r="AU580" i="17" a="1"/>
  <c r="AU581" i="17" a="1"/>
  <c r="AU582" i="17" a="1"/>
  <c r="AU583" i="17" a="1"/>
  <c r="AU584" i="17" a="1"/>
  <c r="AU585" i="17" a="1"/>
  <c r="AU586" i="17" a="1"/>
  <c r="AU587" i="17" a="1"/>
  <c r="AU588" i="17" a="1"/>
  <c r="AU589" i="17" a="1"/>
  <c r="AU590" i="17" a="1"/>
  <c r="AU591" i="17" a="1"/>
  <c r="AU592" i="17" a="1"/>
  <c r="AU593" i="17" a="1"/>
  <c r="AU594" i="17" a="1"/>
  <c r="AU595" i="17" a="1"/>
  <c r="AU596" i="17" a="1"/>
  <c r="AU597" i="17" a="1"/>
  <c r="AU598" i="17" a="1"/>
  <c r="AU599" i="17" a="1"/>
  <c r="AU600" i="17" a="1"/>
  <c r="AU601" i="17" a="1"/>
  <c r="AU602" i="17" a="1"/>
  <c r="AU603" i="17" a="1"/>
  <c r="AU604" i="17" a="1"/>
  <c r="AU605" i="17" a="1"/>
  <c r="AU606" i="17" a="1"/>
  <c r="AU607" i="17" a="1"/>
  <c r="AU608" i="17" a="1"/>
  <c r="AU609" i="17" a="1"/>
  <c r="AU610" i="17" a="1"/>
  <c r="AU611" i="17" a="1"/>
  <c r="AU612" i="17" a="1"/>
  <c r="AU613" i="17" a="1"/>
  <c r="AU614" i="17" a="1"/>
  <c r="AU615" i="17" a="1"/>
  <c r="AU616" i="17" a="1"/>
  <c r="AU617" i="17" a="1"/>
  <c r="AU618" i="17" a="1"/>
  <c r="AU619" i="17" a="1"/>
  <c r="AU620" i="17" a="1"/>
  <c r="AU621" i="17" a="1"/>
  <c r="AU622" i="17" a="1"/>
  <c r="AU623" i="17" a="1"/>
  <c r="AU624" i="17" a="1"/>
  <c r="AU625" i="17" a="1"/>
  <c r="AU626" i="17" a="1"/>
  <c r="AU627" i="17" a="1"/>
  <c r="AU628" i="17" a="1"/>
  <c r="AU629" i="17" a="1"/>
  <c r="AU630" i="17" a="1"/>
  <c r="AU631" i="17" a="1"/>
  <c r="AU632" i="17" a="1"/>
  <c r="AU633" i="17" a="1"/>
  <c r="AU634" i="17" a="1"/>
  <c r="AU635" i="17" a="1"/>
  <c r="AU636" i="17" a="1"/>
  <c r="AU637" i="17" a="1"/>
  <c r="AU638" i="17" a="1"/>
  <c r="AU639" i="17" a="1"/>
  <c r="AU640" i="17" a="1"/>
  <c r="AU641" i="17" a="1"/>
  <c r="AU642" i="17" a="1"/>
  <c r="AU643" i="17" a="1"/>
  <c r="AU644" i="17" a="1"/>
  <c r="AU645" i="17" a="1"/>
  <c r="AU646" i="17" a="1"/>
  <c r="AU647" i="17" a="1"/>
  <c r="AU648" i="17" a="1"/>
  <c r="AU649" i="17" a="1"/>
  <c r="AU650" i="17" a="1"/>
  <c r="AU651" i="17" a="1"/>
  <c r="AU652" i="17" a="1"/>
  <c r="AU653" i="17" a="1"/>
  <c r="AU654" i="17" a="1"/>
  <c r="AU655" i="17" a="1"/>
  <c r="AU656" i="17" a="1"/>
  <c r="AU657" i="17" a="1"/>
  <c r="AU658" i="17" a="1"/>
  <c r="AU659" i="17" a="1"/>
  <c r="AU660" i="17" a="1"/>
  <c r="AU661" i="17" a="1"/>
  <c r="AU662" i="17" a="1"/>
  <c r="AU663" i="17" a="1"/>
  <c r="AU664" i="17" a="1"/>
  <c r="AU665" i="17" a="1"/>
  <c r="AU666" i="17" a="1"/>
  <c r="AU667" i="17" a="1"/>
  <c r="AU668" i="17" a="1"/>
  <c r="AU669" i="17" a="1"/>
  <c r="AU670" i="17" a="1"/>
  <c r="AU671" i="17" a="1"/>
  <c r="AU672" i="17" a="1"/>
  <c r="AU673" i="17" a="1"/>
  <c r="AU674" i="17" a="1"/>
  <c r="AU675" i="17" a="1"/>
  <c r="AU676" i="17" a="1"/>
  <c r="AU677" i="17" a="1"/>
  <c r="AU678" i="17" a="1"/>
  <c r="AU679" i="17" a="1"/>
  <c r="AU680" i="17" a="1"/>
  <c r="AU681" i="17" a="1"/>
  <c r="AU682" i="17" a="1"/>
  <c r="AU683" i="17" a="1"/>
  <c r="AU684" i="17" a="1"/>
  <c r="AU685" i="17" a="1"/>
  <c r="AU686" i="17" a="1"/>
  <c r="AU687" i="17" a="1"/>
  <c r="AU688" i="17" a="1"/>
  <c r="AU689" i="17" a="1"/>
  <c r="AU690" i="17" a="1"/>
  <c r="AU691" i="17" a="1"/>
  <c r="AU692" i="17" a="1"/>
  <c r="AU693" i="17" a="1"/>
  <c r="AU694" i="17" a="1"/>
  <c r="AU695" i="17" a="1"/>
  <c r="AU696" i="17" a="1"/>
  <c r="AU697" i="17" a="1"/>
  <c r="AU698" i="17" a="1"/>
  <c r="AU699" i="17" a="1"/>
  <c r="AU700" i="17" a="1"/>
  <c r="AU701" i="17" a="1"/>
  <c r="AU702" i="17" a="1"/>
  <c r="AU703" i="17" a="1"/>
  <c r="AU704" i="17" a="1"/>
  <c r="AU705" i="17" a="1"/>
  <c r="AU706" i="17" a="1"/>
  <c r="AU707" i="17" a="1"/>
  <c r="AU708" i="17" a="1"/>
  <c r="AU709" i="17" a="1"/>
  <c r="AU710" i="17" a="1"/>
  <c r="AU711" i="17" a="1"/>
  <c r="AU712" i="17" a="1"/>
  <c r="AU713" i="17" a="1"/>
  <c r="AU714" i="17" a="1"/>
  <c r="AU715" i="17" a="1"/>
  <c r="AU716" i="17" a="1"/>
  <c r="AU717" i="17" a="1"/>
  <c r="AU718" i="17" a="1"/>
  <c r="AU719" i="17" a="1"/>
  <c r="AU720" i="17" a="1"/>
  <c r="AU721" i="17" a="1"/>
  <c r="AU722" i="17" a="1"/>
  <c r="AU723" i="17" a="1"/>
  <c r="AU724" i="17" a="1"/>
  <c r="AU725" i="17" a="1"/>
  <c r="AU726" i="17" a="1"/>
  <c r="AU727" i="17" a="1"/>
  <c r="AU728" i="17" a="1"/>
  <c r="AU729" i="17" a="1"/>
  <c r="AU730" i="17" a="1"/>
  <c r="AU731" i="17" a="1"/>
  <c r="AU732" i="17" a="1"/>
  <c r="AU733" i="17" a="1"/>
  <c r="AU734" i="17" a="1"/>
  <c r="AU735" i="17" a="1"/>
  <c r="AU736" i="17" a="1"/>
  <c r="AU737" i="17" a="1"/>
  <c r="AU738" i="17" a="1"/>
  <c r="AU739" i="17" a="1"/>
  <c r="AU740" i="17" a="1"/>
  <c r="AU741" i="17" a="1"/>
  <c r="AU742" i="17" a="1"/>
  <c r="AU743" i="17" a="1"/>
  <c r="AU744" i="17" a="1"/>
  <c r="AU745" i="17" a="1"/>
  <c r="AU746" i="17" a="1"/>
  <c r="AU747" i="17" a="1"/>
  <c r="AU748" i="17" a="1"/>
  <c r="AU749" i="17" a="1"/>
  <c r="AU750" i="17" a="1"/>
  <c r="AU751" i="17" a="1"/>
  <c r="AU752" i="17" a="1"/>
  <c r="AU753" i="17" a="1"/>
  <c r="AU754" i="17" a="1"/>
  <c r="AU755" i="17" a="1"/>
  <c r="AU756" i="17" a="1"/>
  <c r="AU757" i="17" a="1"/>
  <c r="AU758" i="17" a="1"/>
  <c r="AU759" i="17" a="1"/>
  <c r="AU760" i="17" a="1"/>
  <c r="AU761" i="17" a="1"/>
  <c r="AU762" i="17" a="1"/>
  <c r="AU763" i="17" a="1"/>
  <c r="AU764" i="17" a="1"/>
  <c r="AU765" i="17" a="1"/>
  <c r="AU766" i="17" a="1"/>
  <c r="AU767" i="17" a="1"/>
  <c r="AU768" i="17" a="1"/>
  <c r="AU769" i="17" a="1"/>
  <c r="AU770" i="17" a="1"/>
  <c r="AU771" i="17" a="1"/>
  <c r="AU772" i="17" a="1"/>
  <c r="AU773" i="17" a="1"/>
  <c r="AU774" i="17" a="1"/>
  <c r="AU775" i="17" a="1"/>
  <c r="AU776" i="17" a="1"/>
  <c r="AU777" i="17" a="1"/>
  <c r="AU778" i="17" a="1"/>
  <c r="AU779" i="17" a="1"/>
  <c r="AU780" i="17" a="1"/>
  <c r="AU781" i="17" a="1"/>
  <c r="AU782" i="17" a="1"/>
  <c r="AU783" i="17" a="1"/>
  <c r="AU784" i="17" a="1"/>
  <c r="AU785" i="17" a="1"/>
  <c r="AU786" i="17" a="1"/>
  <c r="AU787" i="17" a="1"/>
  <c r="AU788" i="17" a="1"/>
  <c r="AU789" i="17" a="1"/>
  <c r="AU790" i="17" a="1"/>
  <c r="AU791" i="17" a="1"/>
  <c r="AU792" i="17" a="1"/>
  <c r="AU793" i="17" a="1"/>
  <c r="AU794" i="17" a="1"/>
  <c r="AU795" i="17" a="1"/>
  <c r="AU796" i="17" a="1"/>
  <c r="AU797" i="17" a="1"/>
  <c r="AU798" i="17" a="1"/>
  <c r="AU799" i="17" a="1"/>
  <c r="AU800" i="17" a="1"/>
  <c r="AU801" i="17" a="1"/>
  <c r="AU802" i="17" a="1"/>
  <c r="AU803" i="17" a="1"/>
  <c r="AU804" i="17" a="1"/>
  <c r="AU805" i="17" a="1"/>
  <c r="AU806" i="17" a="1"/>
  <c r="AU807" i="17" a="1"/>
  <c r="AU808" i="17" a="1"/>
  <c r="AU809" i="17" a="1"/>
  <c r="AU810" i="17" a="1"/>
  <c r="AU811" i="17" a="1"/>
  <c r="AU812" i="17" a="1"/>
  <c r="AU813" i="17" a="1"/>
  <c r="AU814" i="17" a="1"/>
  <c r="AU815" i="17" a="1"/>
  <c r="AU816" i="17" a="1"/>
  <c r="AU817" i="17" a="1"/>
  <c r="AU818" i="17" a="1"/>
  <c r="AU819" i="17" a="1"/>
  <c r="AU820" i="17" a="1"/>
  <c r="AU821" i="17" a="1"/>
  <c r="AU822" i="17" a="1"/>
  <c r="AU823" i="17" a="1"/>
  <c r="AU824" i="17" a="1"/>
  <c r="AU825" i="17" a="1"/>
  <c r="AU826" i="17" a="1"/>
  <c r="AU827" i="17" a="1"/>
  <c r="AU828" i="17" a="1"/>
  <c r="AU829" i="17" a="1"/>
  <c r="AU830" i="17" a="1"/>
  <c r="AU831" i="17" a="1"/>
  <c r="AU832" i="17" a="1"/>
  <c r="AU833" i="17" a="1"/>
  <c r="AU834" i="17" a="1"/>
  <c r="AU835" i="17" a="1"/>
  <c r="AU836" i="17" a="1"/>
  <c r="AU837" i="17" a="1"/>
  <c r="AU838" i="17" a="1"/>
  <c r="AU839" i="17" a="1"/>
  <c r="AU840" i="17" a="1"/>
  <c r="AU841" i="17" a="1"/>
  <c r="AU842" i="17" a="1"/>
  <c r="AU843" i="17" a="1"/>
  <c r="AU844" i="17" a="1"/>
  <c r="AU845" i="17" a="1"/>
  <c r="AU846" i="17" a="1"/>
  <c r="AU847" i="17" a="1"/>
  <c r="AU848" i="17" a="1"/>
  <c r="AU849" i="17" a="1"/>
  <c r="AU850" i="17" a="1"/>
  <c r="AU851" i="17" a="1"/>
  <c r="AU852" i="17" a="1"/>
  <c r="AU853" i="17" a="1"/>
  <c r="AU854" i="17" a="1"/>
  <c r="AU855" i="17" a="1"/>
  <c r="AU856" i="17" a="1"/>
  <c r="AU857" i="17" a="1"/>
  <c r="AU858" i="17" a="1"/>
  <c r="AU859" i="17" a="1"/>
  <c r="AU860" i="17" a="1"/>
  <c r="AU861" i="17" a="1"/>
  <c r="AU862" i="17" a="1"/>
  <c r="AU863" i="17" a="1"/>
  <c r="AU864" i="17" a="1"/>
  <c r="AU865" i="17" a="1"/>
  <c r="AU866" i="17" a="1"/>
  <c r="AU867" i="17" a="1"/>
  <c r="AU868" i="17" a="1"/>
  <c r="AU869" i="17" a="1"/>
  <c r="AU870" i="17" a="1"/>
  <c r="AU871" i="17" a="1"/>
  <c r="AU872" i="17" a="1"/>
  <c r="AU873" i="17" a="1"/>
  <c r="AU874" i="17" a="1"/>
  <c r="AU875" i="17" a="1"/>
  <c r="AU876" i="17" a="1"/>
  <c r="AU877" i="17" a="1"/>
  <c r="AU878" i="17" a="1"/>
  <c r="AU879" i="17" a="1"/>
  <c r="AU880" i="17" a="1"/>
  <c r="AU881" i="17" a="1"/>
  <c r="AU882" i="17" a="1"/>
  <c r="AU883" i="17" a="1"/>
  <c r="AU884" i="17" a="1"/>
  <c r="AU885" i="17" a="1"/>
  <c r="AU886" i="17" a="1"/>
  <c r="AU887" i="17" a="1"/>
  <c r="AU888" i="17" a="1"/>
  <c r="AU889" i="17" a="1"/>
  <c r="AU890" i="17" a="1"/>
  <c r="AU891" i="17" a="1"/>
  <c r="AU892" i="17" a="1"/>
  <c r="AU893" i="17" a="1"/>
  <c r="AU894" i="17" a="1"/>
  <c r="AU895" i="17" a="1"/>
  <c r="AU896" i="17" a="1"/>
  <c r="AU897" i="17" a="1"/>
  <c r="AU898" i="17" a="1"/>
  <c r="AU899" i="17" a="1"/>
  <c r="AU900" i="17" a="1"/>
  <c r="AU901" i="17" a="1"/>
  <c r="AU902" i="17" a="1"/>
  <c r="AU903" i="17" a="1"/>
  <c r="AU904" i="17" a="1"/>
  <c r="AU905" i="17" a="1"/>
  <c r="AU906" i="17" a="1"/>
  <c r="AU907" i="17" a="1"/>
  <c r="AU908" i="17" a="1"/>
  <c r="AU909" i="17" a="1"/>
  <c r="AU910" i="17" a="1"/>
  <c r="AU911" i="17" a="1"/>
  <c r="AU912" i="17" a="1"/>
  <c r="AU913" i="17" a="1"/>
  <c r="AU914" i="17" a="1"/>
  <c r="AU915" i="17" a="1"/>
  <c r="AU916" i="17" a="1"/>
  <c r="AU917" i="17" a="1"/>
  <c r="AU918" i="17" a="1"/>
  <c r="AU919" i="17" a="1"/>
  <c r="AU920" i="17" a="1"/>
  <c r="AU921" i="17" a="1"/>
  <c r="AU922" i="17" a="1"/>
  <c r="AU923" i="17" a="1"/>
  <c r="AU924" i="17" a="1"/>
  <c r="AU925" i="17" a="1"/>
  <c r="AU926" i="17" a="1"/>
  <c r="AU927" i="17" a="1"/>
  <c r="AU928" i="17" a="1"/>
  <c r="AU929" i="17" a="1"/>
  <c r="AU930" i="17" a="1"/>
  <c r="AU931" i="17" a="1"/>
  <c r="AU932" i="17" a="1"/>
  <c r="AU933" i="17" a="1"/>
  <c r="AU934" i="17" a="1"/>
  <c r="AU935" i="17" a="1"/>
  <c r="AU936" i="17" a="1"/>
  <c r="AU937" i="17" a="1"/>
  <c r="AU938" i="17" a="1"/>
  <c r="AU939" i="17" a="1"/>
  <c r="AU940" i="17" a="1"/>
  <c r="AU941" i="17" a="1"/>
  <c r="AU942" i="17" a="1"/>
  <c r="AU943" i="17" a="1"/>
  <c r="AU944" i="17" a="1"/>
  <c r="AU945" i="17" a="1"/>
  <c r="AU946" i="17" a="1"/>
  <c r="AU947" i="17" a="1"/>
  <c r="AU948" i="17" a="1"/>
  <c r="AU949" i="17" a="1"/>
  <c r="AU950" i="17" a="1"/>
  <c r="AU951" i="17" a="1"/>
  <c r="AU952" i="17" a="1"/>
  <c r="AU953" i="17" a="1"/>
  <c r="AU954" i="17" a="1"/>
  <c r="AU955" i="17" a="1"/>
  <c r="AU956" i="17" a="1"/>
  <c r="AU957" i="17" a="1"/>
  <c r="AU958" i="17" a="1"/>
  <c r="AU959" i="17" a="1"/>
  <c r="AU960" i="17" a="1"/>
  <c r="AU961" i="17" a="1"/>
  <c r="AU962" i="17" a="1"/>
  <c r="AU963" i="17" a="1"/>
  <c r="AU964" i="17" a="1"/>
  <c r="AU965" i="17" a="1"/>
  <c r="AU966" i="17" a="1"/>
  <c r="AU967" i="17" a="1"/>
  <c r="AU968" i="17" a="1"/>
  <c r="AU969" i="17" a="1"/>
  <c r="AU970" i="17" a="1"/>
  <c r="AU971" i="17" a="1"/>
  <c r="AU972" i="17" a="1"/>
  <c r="AU973" i="17" a="1"/>
  <c r="AU974" i="17" a="1"/>
  <c r="AU975" i="17" a="1"/>
  <c r="AU976" i="17" a="1"/>
  <c r="AU977" i="17" a="1"/>
  <c r="AU978" i="17" a="1"/>
  <c r="AU979" i="17" a="1"/>
  <c r="AU980" i="17" a="1"/>
  <c r="AU981" i="17" a="1"/>
  <c r="AU982" i="17" a="1"/>
  <c r="AU983" i="17" a="1"/>
  <c r="AU984" i="17" a="1"/>
  <c r="AU985" i="17" a="1"/>
  <c r="AU986" i="17" a="1"/>
  <c r="AU987" i="17" a="1"/>
  <c r="AU988" i="17" a="1"/>
  <c r="AU989" i="17" a="1"/>
  <c r="AU990" i="17" a="1"/>
  <c r="AU991" i="17" a="1"/>
  <c r="AU992" i="17" a="1"/>
  <c r="AU993" i="17" a="1"/>
  <c r="AU994" i="17" a="1"/>
  <c r="AU995" i="17" a="1"/>
  <c r="AU996" i="17" a="1"/>
  <c r="AU997" i="17" a="1"/>
  <c r="AU998" i="17" a="1"/>
  <c r="AU999" i="17" a="1"/>
  <c r="AU1000" i="17" a="1"/>
  <c r="AU1001" i="17" a="1"/>
  <c r="AU1002" i="17" a="1"/>
  <c r="AU1003" i="17" a="1"/>
  <c r="AU1004" i="17" a="1"/>
  <c r="AU1005" i="17" a="1"/>
  <c r="AU1006" i="17" a="1"/>
  <c r="AU1007" i="17" a="1"/>
  <c r="AU1008" i="17" a="1"/>
  <c r="AU1009" i="17" a="1"/>
  <c r="AU1010" i="17" a="1"/>
  <c r="AU1011" i="17" a="1"/>
  <c r="AU1012" i="17" a="1"/>
  <c r="AU1013" i="17" a="1"/>
  <c r="AU1014" i="17" a="1"/>
  <c r="AU1015" i="17" a="1"/>
  <c r="AU1016" i="17" a="1"/>
  <c r="AU1017" i="17" a="1"/>
  <c r="AU1018" i="17" a="1"/>
  <c r="AU1019" i="17" a="1"/>
  <c r="AU1020" i="17" a="1"/>
  <c r="AU1021" i="17" a="1"/>
  <c r="AU1022" i="17" a="1"/>
  <c r="AU1023" i="17" a="1"/>
  <c r="AU1024" i="17" a="1"/>
  <c r="AU1025" i="17" a="1"/>
  <c r="AU1026" i="17" a="1"/>
  <c r="AU1027" i="17" a="1"/>
  <c r="AU1028" i="17" a="1"/>
  <c r="AU1029" i="17" a="1"/>
  <c r="AU1030" i="17" a="1"/>
  <c r="AU1031" i="17" a="1"/>
  <c r="AU1032" i="17" a="1"/>
  <c r="AU1033" i="17" a="1"/>
  <c r="AU1034" i="17" a="1"/>
  <c r="AU1035" i="17" a="1"/>
  <c r="AU1036" i="17" a="1"/>
  <c r="AU1037" i="17" a="1"/>
  <c r="AU1038" i="17" a="1"/>
  <c r="AU1039" i="17" a="1"/>
  <c r="AU1040" i="17" a="1"/>
  <c r="AU1041" i="17" a="1"/>
  <c r="AU1042" i="17" a="1"/>
  <c r="AU1043" i="17" a="1"/>
  <c r="AU1044" i="17" a="1"/>
  <c r="AU1045" i="17" a="1"/>
  <c r="AU1046" i="17" a="1"/>
  <c r="AU1047" i="17" a="1"/>
  <c r="AU1048" i="17" a="1"/>
  <c r="AU1049" i="17" a="1"/>
  <c r="AU1050" i="17" a="1"/>
  <c r="AU1051" i="17" a="1"/>
  <c r="B1051" i="1"/>
  <c r="AD1051" i="1"/>
  <c r="AE1051" i="1" a="1"/>
  <c r="AH1051" i="1" s="1"/>
  <c r="AF1051" i="1" a="1"/>
  <c r="AG1051" i="1" a="1"/>
  <c r="D1051" i="17" a="1"/>
  <c r="E1051" i="17"/>
  <c r="G1051" i="17"/>
  <c r="H1051" i="17" a="1"/>
  <c r="M1051" i="17" a="1"/>
  <c r="N1051" i="17" s="1"/>
  <c r="P1051" i="17"/>
  <c r="AA1051" i="17"/>
  <c r="AC1051" i="17" s="1"/>
  <c r="AD1051" i="17" a="1"/>
  <c r="O1051" i="17" s="1" a="1"/>
  <c r="B1051" i="14"/>
  <c r="D1051" i="14" a="1"/>
  <c r="I1051" i="14"/>
  <c r="H1051" i="14" s="1"/>
  <c r="J1051" i="14"/>
  <c r="K1051" i="14"/>
  <c r="M1051" i="14"/>
  <c r="N1051" i="14"/>
  <c r="O1051" i="14"/>
  <c r="P1051" i="14"/>
  <c r="Q1051" i="14"/>
  <c r="R1051" i="14" a="1"/>
  <c r="R2" i="14" a="1"/>
  <c r="R3" i="14" a="1"/>
  <c r="R4" i="14" a="1"/>
  <c r="R5" i="14" a="1"/>
  <c r="R6" i="14" a="1"/>
  <c r="R7" i="14" a="1"/>
  <c r="R8" i="14" a="1"/>
  <c r="R9" i="14" a="1"/>
  <c r="R10" i="14" a="1"/>
  <c r="R11" i="14" a="1"/>
  <c r="R12" i="14" a="1"/>
  <c r="R13" i="14" a="1"/>
  <c r="R14" i="14" a="1"/>
  <c r="R15" i="14" a="1"/>
  <c r="R16" i="14" a="1"/>
  <c r="R17" i="14" a="1"/>
  <c r="R18" i="14" a="1"/>
  <c r="R19" i="14" a="1"/>
  <c r="R20" i="14" a="1"/>
  <c r="R21" i="14" a="1"/>
  <c r="R22" i="14" a="1"/>
  <c r="R23" i="14" a="1"/>
  <c r="R24" i="14" a="1"/>
  <c r="R25" i="14" a="1"/>
  <c r="R26" i="14" a="1"/>
  <c r="R27" i="14" a="1"/>
  <c r="R28" i="14" a="1"/>
  <c r="R29" i="14" a="1"/>
  <c r="R30" i="14" a="1"/>
  <c r="R31" i="14" a="1"/>
  <c r="R32" i="14" a="1"/>
  <c r="R33" i="14" a="1"/>
  <c r="R34" i="14" a="1"/>
  <c r="R35" i="14" a="1"/>
  <c r="R36" i="14" a="1"/>
  <c r="R37" i="14" a="1"/>
  <c r="R38" i="14" a="1"/>
  <c r="R39" i="14" a="1"/>
  <c r="R40" i="14" a="1"/>
  <c r="R41" i="14" a="1"/>
  <c r="R42" i="14" a="1"/>
  <c r="R43" i="14" a="1"/>
  <c r="R44" i="14" a="1"/>
  <c r="R45" i="14" a="1"/>
  <c r="R46" i="14" a="1"/>
  <c r="R47" i="14" a="1"/>
  <c r="R48" i="14" a="1"/>
  <c r="R49" i="14" a="1"/>
  <c r="R50" i="14" a="1"/>
  <c r="R51" i="14" a="1"/>
  <c r="R52" i="14" a="1"/>
  <c r="R53" i="14" a="1"/>
  <c r="R54" i="14" a="1"/>
  <c r="R55" i="14" a="1"/>
  <c r="R56" i="14" a="1"/>
  <c r="R57" i="14" a="1"/>
  <c r="R58" i="14" a="1"/>
  <c r="R59" i="14" a="1"/>
  <c r="R60" i="14" a="1"/>
  <c r="R61" i="14" a="1"/>
  <c r="R62" i="14" a="1"/>
  <c r="R63" i="14" a="1"/>
  <c r="R64" i="14" a="1"/>
  <c r="R65" i="14" a="1"/>
  <c r="R66" i="14" a="1"/>
  <c r="R67" i="14" a="1"/>
  <c r="R68" i="14" a="1"/>
  <c r="R69" i="14" a="1"/>
  <c r="R70" i="14" a="1"/>
  <c r="R71" i="14" a="1"/>
  <c r="R72" i="14" a="1"/>
  <c r="R73" i="14" a="1"/>
  <c r="R74" i="14" a="1"/>
  <c r="R75" i="14" a="1"/>
  <c r="R76" i="14" a="1"/>
  <c r="R77" i="14" a="1"/>
  <c r="R78" i="14" a="1"/>
  <c r="R79" i="14" a="1"/>
  <c r="R80" i="14" a="1"/>
  <c r="R81" i="14" a="1"/>
  <c r="R82" i="14" a="1"/>
  <c r="R83" i="14" a="1"/>
  <c r="R84" i="14" a="1"/>
  <c r="R85" i="14" a="1"/>
  <c r="R86" i="14" a="1"/>
  <c r="R87" i="14" a="1"/>
  <c r="R88" i="14" a="1"/>
  <c r="R89" i="14" a="1"/>
  <c r="R90" i="14" a="1"/>
  <c r="R91" i="14" a="1"/>
  <c r="R92" i="14" a="1"/>
  <c r="R93" i="14" a="1"/>
  <c r="R94" i="14" a="1"/>
  <c r="R95" i="14" a="1"/>
  <c r="R96" i="14" a="1"/>
  <c r="R97" i="14" a="1"/>
  <c r="R98" i="14" a="1"/>
  <c r="R99" i="14" a="1"/>
  <c r="R100" i="14" a="1"/>
  <c r="R101" i="14" a="1"/>
  <c r="R102" i="14" a="1"/>
  <c r="R103" i="14" a="1"/>
  <c r="R104" i="14" a="1"/>
  <c r="R105" i="14" a="1"/>
  <c r="R106" i="14" a="1"/>
  <c r="R107" i="14" a="1"/>
  <c r="R108" i="14" a="1"/>
  <c r="R109" i="14" a="1"/>
  <c r="R110" i="14" a="1"/>
  <c r="R111" i="14" a="1"/>
  <c r="R112" i="14" a="1"/>
  <c r="R113" i="14" a="1"/>
  <c r="R114" i="14" a="1"/>
  <c r="R115" i="14" a="1"/>
  <c r="R116" i="14" a="1"/>
  <c r="R117" i="14" a="1"/>
  <c r="R118" i="14" a="1"/>
  <c r="R119" i="14" a="1"/>
  <c r="R120" i="14" a="1"/>
  <c r="R121" i="14" a="1"/>
  <c r="R122" i="14" a="1"/>
  <c r="R123" i="14" a="1"/>
  <c r="R124" i="14" a="1"/>
  <c r="R125" i="14" a="1"/>
  <c r="R126" i="14" a="1"/>
  <c r="R127" i="14" a="1"/>
  <c r="R128" i="14" a="1"/>
  <c r="R129" i="14" a="1"/>
  <c r="R130" i="14" a="1"/>
  <c r="R131" i="14" a="1"/>
  <c r="R132" i="14" a="1"/>
  <c r="R133" i="14" a="1"/>
  <c r="R134" i="14" a="1"/>
  <c r="R135" i="14" a="1"/>
  <c r="R136" i="14" a="1"/>
  <c r="R137" i="14" a="1"/>
  <c r="R138" i="14" a="1"/>
  <c r="R139" i="14" a="1"/>
  <c r="R140" i="14" a="1"/>
  <c r="R141" i="14" a="1"/>
  <c r="R142" i="14" a="1"/>
  <c r="R143" i="14" a="1"/>
  <c r="R144" i="14" a="1"/>
  <c r="R145" i="14" a="1"/>
  <c r="R146" i="14" a="1"/>
  <c r="R147" i="14" a="1"/>
  <c r="R148" i="14" a="1"/>
  <c r="R149" i="14" a="1"/>
  <c r="R150" i="14" a="1"/>
  <c r="R151" i="14" a="1"/>
  <c r="R152" i="14" a="1"/>
  <c r="R153" i="14" a="1"/>
  <c r="R154" i="14" a="1"/>
  <c r="R155" i="14" a="1"/>
  <c r="R156" i="14" a="1"/>
  <c r="R157" i="14" a="1"/>
  <c r="R158" i="14" a="1"/>
  <c r="R159" i="14" a="1"/>
  <c r="R160" i="14" a="1"/>
  <c r="R161" i="14" a="1"/>
  <c r="R162" i="14" a="1"/>
  <c r="R163" i="14" a="1"/>
  <c r="R164" i="14" a="1"/>
  <c r="R165" i="14" a="1"/>
  <c r="R166" i="14" a="1"/>
  <c r="R167" i="14" a="1"/>
  <c r="R168" i="14" a="1"/>
  <c r="R169" i="14" a="1"/>
  <c r="R170" i="14" a="1"/>
  <c r="R171" i="14" a="1"/>
  <c r="R172" i="14" a="1"/>
  <c r="R173" i="14" a="1"/>
  <c r="R174" i="14" a="1"/>
  <c r="R175" i="14" a="1"/>
  <c r="R176" i="14" a="1"/>
  <c r="R177" i="14" a="1"/>
  <c r="R178" i="14" a="1"/>
  <c r="R179" i="14" a="1"/>
  <c r="R180" i="14" a="1"/>
  <c r="R181" i="14" a="1"/>
  <c r="R182" i="14" a="1"/>
  <c r="R183" i="14" a="1"/>
  <c r="R184" i="14" a="1"/>
  <c r="R185" i="14" a="1"/>
  <c r="R186" i="14" a="1"/>
  <c r="R187" i="14" a="1"/>
  <c r="R188" i="14" a="1"/>
  <c r="R189" i="14" a="1"/>
  <c r="R190" i="14" a="1"/>
  <c r="R191" i="14" a="1"/>
  <c r="R192" i="14" a="1"/>
  <c r="R193" i="14" a="1"/>
  <c r="R194" i="14" a="1"/>
  <c r="R195" i="14" a="1"/>
  <c r="R196" i="14" a="1"/>
  <c r="R197" i="14" a="1"/>
  <c r="R198" i="14" a="1"/>
  <c r="R199" i="14" a="1"/>
  <c r="R200" i="14" a="1"/>
  <c r="R201" i="14" a="1"/>
  <c r="R202" i="14" a="1"/>
  <c r="R203" i="14" a="1"/>
  <c r="R204" i="14" a="1"/>
  <c r="R205" i="14" a="1"/>
  <c r="R206" i="14" a="1"/>
  <c r="R207" i="14" a="1"/>
  <c r="R208" i="14" a="1"/>
  <c r="R209" i="14" a="1"/>
  <c r="R210" i="14" a="1"/>
  <c r="R211" i="14" a="1"/>
  <c r="R212" i="14" a="1"/>
  <c r="R213" i="14" a="1"/>
  <c r="R214" i="14" a="1"/>
  <c r="R215" i="14" a="1"/>
  <c r="R216" i="14" a="1"/>
  <c r="R217" i="14" a="1"/>
  <c r="R218" i="14" a="1"/>
  <c r="R219" i="14" a="1"/>
  <c r="R220" i="14" a="1"/>
  <c r="R221" i="14" a="1"/>
  <c r="R222" i="14" a="1"/>
  <c r="R223" i="14" a="1"/>
  <c r="R224" i="14" a="1"/>
  <c r="R225" i="14" a="1"/>
  <c r="R226" i="14" a="1"/>
  <c r="R227" i="14" a="1"/>
  <c r="R228" i="14" a="1"/>
  <c r="R229" i="14" a="1"/>
  <c r="R230" i="14" a="1"/>
  <c r="R231" i="14" a="1"/>
  <c r="R232" i="14" a="1"/>
  <c r="R233" i="14" a="1"/>
  <c r="R234" i="14" a="1"/>
  <c r="R235" i="14" a="1"/>
  <c r="R236" i="14" a="1"/>
  <c r="R237" i="14" a="1"/>
  <c r="R238" i="14" a="1"/>
  <c r="R239" i="14" a="1"/>
  <c r="R240" i="14" a="1"/>
  <c r="R241" i="14" a="1"/>
  <c r="R242" i="14" a="1"/>
  <c r="R243" i="14" a="1"/>
  <c r="R244" i="14" a="1"/>
  <c r="R245" i="14" a="1"/>
  <c r="R246" i="14" a="1"/>
  <c r="R247" i="14" a="1"/>
  <c r="R248" i="14" a="1"/>
  <c r="R249" i="14" a="1"/>
  <c r="R250" i="14" a="1"/>
  <c r="R251" i="14" a="1"/>
  <c r="R252" i="14" a="1"/>
  <c r="R253" i="14" a="1"/>
  <c r="R254" i="14" a="1"/>
  <c r="R255" i="14" a="1"/>
  <c r="R256" i="14" a="1"/>
  <c r="R257" i="14" a="1"/>
  <c r="R258" i="14" a="1"/>
  <c r="R259" i="14" a="1"/>
  <c r="R260" i="14" a="1"/>
  <c r="R261" i="14" a="1"/>
  <c r="R262" i="14" a="1"/>
  <c r="R263" i="14" a="1"/>
  <c r="R264" i="14" a="1"/>
  <c r="R265" i="14" a="1"/>
  <c r="R266" i="14" a="1"/>
  <c r="R267" i="14" a="1"/>
  <c r="R268" i="14" a="1"/>
  <c r="R269" i="14" a="1"/>
  <c r="R270" i="14" a="1"/>
  <c r="R271" i="14" a="1"/>
  <c r="R272" i="14" a="1"/>
  <c r="R273" i="14" a="1"/>
  <c r="R274" i="14" a="1"/>
  <c r="R275" i="14" a="1"/>
  <c r="R276" i="14" a="1"/>
  <c r="R277" i="14" a="1"/>
  <c r="R278" i="14" a="1"/>
  <c r="R279" i="14" a="1"/>
  <c r="R280" i="14" a="1"/>
  <c r="R281" i="14" a="1"/>
  <c r="R282" i="14" a="1"/>
  <c r="R283" i="14" a="1"/>
  <c r="R284" i="14" a="1"/>
  <c r="R285" i="14" a="1"/>
  <c r="R286" i="14" a="1"/>
  <c r="R287" i="14" a="1"/>
  <c r="R288" i="14" a="1"/>
  <c r="R289" i="14" a="1"/>
  <c r="R290" i="14" a="1"/>
  <c r="R291" i="14" a="1"/>
  <c r="R292" i="14" a="1"/>
  <c r="R293" i="14" a="1"/>
  <c r="R294" i="14" a="1"/>
  <c r="R295" i="14" a="1"/>
  <c r="R296" i="14" a="1"/>
  <c r="R297" i="14" a="1"/>
  <c r="R298" i="14" a="1"/>
  <c r="R299" i="14" a="1"/>
  <c r="R300" i="14" a="1"/>
  <c r="R301" i="14" a="1"/>
  <c r="R302" i="14" a="1"/>
  <c r="R303" i="14" a="1"/>
  <c r="R304" i="14" a="1"/>
  <c r="R305" i="14" a="1"/>
  <c r="R306" i="14" a="1"/>
  <c r="R307" i="14" a="1"/>
  <c r="R308" i="14" a="1"/>
  <c r="R309" i="14" a="1"/>
  <c r="R310" i="14" a="1"/>
  <c r="R311" i="14" a="1"/>
  <c r="R312" i="14" a="1"/>
  <c r="R313" i="14" a="1"/>
  <c r="R314" i="14" a="1"/>
  <c r="R315" i="14" a="1"/>
  <c r="R316" i="14" a="1"/>
  <c r="R317" i="14" a="1"/>
  <c r="R318" i="14" a="1"/>
  <c r="R319" i="14" a="1"/>
  <c r="R320" i="14" a="1"/>
  <c r="R321" i="14" a="1"/>
  <c r="R322" i="14" a="1"/>
  <c r="R323" i="14" a="1"/>
  <c r="R324" i="14" a="1"/>
  <c r="R325" i="14" a="1"/>
  <c r="R326" i="14" a="1"/>
  <c r="R327" i="14" a="1"/>
  <c r="R328" i="14" a="1"/>
  <c r="R329" i="14" a="1"/>
  <c r="R330" i="14" a="1"/>
  <c r="R331" i="14" a="1"/>
  <c r="R332" i="14" a="1"/>
  <c r="R333" i="14" a="1"/>
  <c r="R334" i="14" a="1"/>
  <c r="R335" i="14" a="1"/>
  <c r="R336" i="14" a="1"/>
  <c r="R337" i="14" a="1"/>
  <c r="R338" i="14" a="1"/>
  <c r="R339" i="14" a="1"/>
  <c r="R340" i="14" a="1"/>
  <c r="R341" i="14" a="1"/>
  <c r="R342" i="14" a="1"/>
  <c r="R343" i="14" a="1"/>
  <c r="R344" i="14" a="1"/>
  <c r="R345" i="14" a="1"/>
  <c r="R346" i="14" a="1"/>
  <c r="R347" i="14" a="1"/>
  <c r="R348" i="14" a="1"/>
  <c r="R349" i="14" a="1"/>
  <c r="R350" i="14" a="1"/>
  <c r="R351" i="14" a="1"/>
  <c r="R352" i="14" a="1"/>
  <c r="R353" i="14" a="1"/>
  <c r="R354" i="14" a="1"/>
  <c r="R355" i="14" a="1"/>
  <c r="R356" i="14" a="1"/>
  <c r="R357" i="14" a="1"/>
  <c r="R358" i="14" a="1"/>
  <c r="R359" i="14" a="1"/>
  <c r="R360" i="14" a="1"/>
  <c r="R361" i="14" a="1"/>
  <c r="R362" i="14" a="1"/>
  <c r="R363" i="14" a="1"/>
  <c r="R364" i="14" a="1"/>
  <c r="R365" i="14" a="1"/>
  <c r="R366" i="14" a="1"/>
  <c r="R367" i="14" a="1"/>
  <c r="R368" i="14" a="1"/>
  <c r="R369" i="14" a="1"/>
  <c r="R370" i="14" a="1"/>
  <c r="R371" i="14" a="1"/>
  <c r="R372" i="14" a="1"/>
  <c r="R373" i="14" a="1"/>
  <c r="R374" i="14" a="1"/>
  <c r="R375" i="14" a="1"/>
  <c r="R376" i="14" a="1"/>
  <c r="R377" i="14" a="1"/>
  <c r="R378" i="14" a="1"/>
  <c r="R379" i="14" a="1"/>
  <c r="R380" i="14" a="1"/>
  <c r="R381" i="14" a="1"/>
  <c r="R382" i="14" a="1"/>
  <c r="R383" i="14" a="1"/>
  <c r="R384" i="14" a="1"/>
  <c r="R385" i="14" a="1"/>
  <c r="R386" i="14" a="1"/>
  <c r="R387" i="14" a="1"/>
  <c r="R388" i="14" a="1"/>
  <c r="R389" i="14" a="1"/>
  <c r="R390" i="14" a="1"/>
  <c r="R391" i="14" a="1"/>
  <c r="R392" i="14" a="1"/>
  <c r="R393" i="14" a="1"/>
  <c r="R394" i="14" a="1"/>
  <c r="R395" i="14" a="1"/>
  <c r="R396" i="14" a="1"/>
  <c r="R397" i="14" a="1"/>
  <c r="R398" i="14" a="1"/>
  <c r="R399" i="14" a="1"/>
  <c r="R400" i="14" a="1"/>
  <c r="R401" i="14" a="1"/>
  <c r="R402" i="14" a="1"/>
  <c r="R403" i="14" a="1"/>
  <c r="R404" i="14" a="1"/>
  <c r="R405" i="14" a="1"/>
  <c r="R406" i="14" a="1"/>
  <c r="R407" i="14" a="1"/>
  <c r="R408" i="14" a="1"/>
  <c r="R409" i="14" a="1"/>
  <c r="R410" i="14" a="1"/>
  <c r="R411" i="14" a="1"/>
  <c r="R412" i="14" a="1"/>
  <c r="R413" i="14" a="1"/>
  <c r="R414" i="14" a="1"/>
  <c r="R415" i="14" a="1"/>
  <c r="R416" i="14" a="1"/>
  <c r="R417" i="14" a="1"/>
  <c r="R418" i="14" a="1"/>
  <c r="R419" i="14" a="1"/>
  <c r="R420" i="14" a="1"/>
  <c r="R421" i="14" a="1"/>
  <c r="R422" i="14" a="1"/>
  <c r="R423" i="14" a="1"/>
  <c r="R424" i="14" a="1"/>
  <c r="R425" i="14" a="1"/>
  <c r="R426" i="14" a="1"/>
  <c r="R427" i="14" a="1"/>
  <c r="R428" i="14" a="1"/>
  <c r="R429" i="14" a="1"/>
  <c r="R430" i="14" a="1"/>
  <c r="R431" i="14" a="1"/>
  <c r="R432" i="14" a="1"/>
  <c r="R433" i="14" a="1"/>
  <c r="R434" i="14" a="1"/>
  <c r="R435" i="14" a="1"/>
  <c r="R436" i="14" a="1"/>
  <c r="R437" i="14" a="1"/>
  <c r="R438" i="14" a="1"/>
  <c r="R439" i="14" a="1"/>
  <c r="R440" i="14" a="1"/>
  <c r="R441" i="14" a="1"/>
  <c r="R442" i="14" a="1"/>
  <c r="R443" i="14" a="1"/>
  <c r="R444" i="14" a="1"/>
  <c r="R445" i="14" a="1"/>
  <c r="R446" i="14" a="1"/>
  <c r="R447" i="14" a="1"/>
  <c r="R448" i="14" a="1"/>
  <c r="R449" i="14" a="1"/>
  <c r="R450" i="14" a="1"/>
  <c r="R451" i="14" a="1"/>
  <c r="R452" i="14" a="1"/>
  <c r="R453" i="14" a="1"/>
  <c r="R454" i="14" a="1"/>
  <c r="R455" i="14" a="1"/>
  <c r="R456" i="14" a="1"/>
  <c r="R457" i="14" a="1"/>
  <c r="R458" i="14" a="1"/>
  <c r="R459" i="14" a="1"/>
  <c r="R460" i="14" a="1"/>
  <c r="R461" i="14" a="1"/>
  <c r="R462" i="14" a="1"/>
  <c r="R463" i="14" a="1"/>
  <c r="R464" i="14" a="1"/>
  <c r="R465" i="14" a="1"/>
  <c r="R466" i="14" a="1"/>
  <c r="R467" i="14" a="1"/>
  <c r="R468" i="14" a="1"/>
  <c r="R469" i="14" a="1"/>
  <c r="R470" i="14" a="1"/>
  <c r="R471" i="14" a="1"/>
  <c r="R472" i="14" a="1"/>
  <c r="R473" i="14" a="1"/>
  <c r="R474" i="14" a="1"/>
  <c r="R475" i="14" a="1"/>
  <c r="R476" i="14" a="1"/>
  <c r="R477" i="14" a="1"/>
  <c r="R478" i="14" a="1"/>
  <c r="R479" i="14" a="1"/>
  <c r="R480" i="14" a="1"/>
  <c r="R481" i="14" a="1"/>
  <c r="R482" i="14" a="1"/>
  <c r="R483" i="14" a="1"/>
  <c r="R484" i="14" a="1"/>
  <c r="R485" i="14" a="1"/>
  <c r="R486" i="14" a="1"/>
  <c r="R487" i="14" a="1"/>
  <c r="R488" i="14" a="1"/>
  <c r="R489" i="14" a="1"/>
  <c r="R490" i="14" a="1"/>
  <c r="R491" i="14" a="1"/>
  <c r="R492" i="14" a="1"/>
  <c r="R493" i="14" a="1"/>
  <c r="R494" i="14" a="1"/>
  <c r="R495" i="14" a="1"/>
  <c r="R496" i="14" a="1"/>
  <c r="R497" i="14" a="1"/>
  <c r="R498" i="14" a="1"/>
  <c r="R499" i="14" a="1"/>
  <c r="R500" i="14" a="1"/>
  <c r="R501" i="14" a="1"/>
  <c r="R502" i="14" a="1"/>
  <c r="R503" i="14" a="1"/>
  <c r="R504" i="14" a="1"/>
  <c r="R505" i="14" a="1"/>
  <c r="R506" i="14" a="1"/>
  <c r="R507" i="14" a="1"/>
  <c r="R508" i="14" a="1"/>
  <c r="R509" i="14" a="1"/>
  <c r="R510" i="14" a="1"/>
  <c r="R511" i="14" a="1"/>
  <c r="R512" i="14" a="1"/>
  <c r="R513" i="14" a="1"/>
  <c r="R514" i="14" a="1"/>
  <c r="R515" i="14" a="1"/>
  <c r="R516" i="14" a="1"/>
  <c r="R517" i="14" a="1"/>
  <c r="R518" i="14" a="1"/>
  <c r="R519" i="14" a="1"/>
  <c r="R520" i="14" a="1"/>
  <c r="R521" i="14" a="1"/>
  <c r="R522" i="14" a="1"/>
  <c r="R523" i="14" a="1"/>
  <c r="R524" i="14" a="1"/>
  <c r="R525" i="14" a="1"/>
  <c r="R526" i="14" a="1"/>
  <c r="R527" i="14" a="1"/>
  <c r="R528" i="14" a="1"/>
  <c r="R529" i="14" a="1"/>
  <c r="R530" i="14" a="1"/>
  <c r="R531" i="14" a="1"/>
  <c r="R532" i="14" a="1"/>
  <c r="R533" i="14" a="1"/>
  <c r="R534" i="14" a="1"/>
  <c r="R535" i="14" a="1"/>
  <c r="R536" i="14" a="1"/>
  <c r="R537" i="14" a="1"/>
  <c r="R538" i="14" a="1"/>
  <c r="R539" i="14" a="1"/>
  <c r="R540" i="14" a="1"/>
  <c r="R541" i="14" a="1"/>
  <c r="R542" i="14" a="1"/>
  <c r="R543" i="14" a="1"/>
  <c r="R544" i="14" a="1"/>
  <c r="R545" i="14" a="1"/>
  <c r="R546" i="14" a="1"/>
  <c r="R547" i="14" a="1"/>
  <c r="R548" i="14" a="1"/>
  <c r="R549" i="14" a="1"/>
  <c r="R550" i="14" a="1"/>
  <c r="R551" i="14" a="1"/>
  <c r="R552" i="14" a="1"/>
  <c r="R553" i="14" a="1"/>
  <c r="R554" i="14" a="1"/>
  <c r="R555" i="14" a="1"/>
  <c r="R556" i="14" a="1"/>
  <c r="R557" i="14" a="1"/>
  <c r="R558" i="14" a="1"/>
  <c r="R559" i="14" a="1"/>
  <c r="R560" i="14" a="1"/>
  <c r="R561" i="14" a="1"/>
  <c r="R562" i="14" a="1"/>
  <c r="R563" i="14" a="1"/>
  <c r="R564" i="14" a="1"/>
  <c r="R565" i="14" a="1"/>
  <c r="R566" i="14" a="1"/>
  <c r="R567" i="14" a="1"/>
  <c r="R568" i="14" a="1"/>
  <c r="R569" i="14" a="1"/>
  <c r="R570" i="14" a="1"/>
  <c r="R571" i="14" a="1"/>
  <c r="R572" i="14" a="1"/>
  <c r="R573" i="14" a="1"/>
  <c r="R574" i="14" a="1"/>
  <c r="R575" i="14" a="1"/>
  <c r="R576" i="14" a="1"/>
  <c r="R577" i="14" a="1"/>
  <c r="R578" i="14" a="1"/>
  <c r="R579" i="14" a="1"/>
  <c r="R580" i="14" a="1"/>
  <c r="R581" i="14" a="1"/>
  <c r="R582" i="14" a="1"/>
  <c r="R583" i="14" a="1"/>
  <c r="R584" i="14" a="1"/>
  <c r="R585" i="14" a="1"/>
  <c r="R586" i="14" a="1"/>
  <c r="R587" i="14" a="1"/>
  <c r="R588" i="14" a="1"/>
  <c r="R589" i="14" a="1"/>
  <c r="R590" i="14" a="1"/>
  <c r="R591" i="14" a="1"/>
  <c r="R592" i="14" a="1"/>
  <c r="R593" i="14" a="1"/>
  <c r="R594" i="14" a="1"/>
  <c r="R595" i="14" a="1"/>
  <c r="R596" i="14" a="1"/>
  <c r="R597" i="14" a="1"/>
  <c r="R598" i="14" a="1"/>
  <c r="R599" i="14" a="1"/>
  <c r="R600" i="14" a="1"/>
  <c r="R601" i="14" a="1"/>
  <c r="R602" i="14" a="1"/>
  <c r="R603" i="14" a="1"/>
  <c r="R604" i="14" a="1"/>
  <c r="R605" i="14" a="1"/>
  <c r="R606" i="14" a="1"/>
  <c r="R607" i="14" a="1"/>
  <c r="R608" i="14" a="1"/>
  <c r="R609" i="14" a="1"/>
  <c r="R610" i="14" a="1"/>
  <c r="R611" i="14" a="1"/>
  <c r="R612" i="14" a="1"/>
  <c r="R613" i="14" a="1"/>
  <c r="R614" i="14" a="1"/>
  <c r="R615" i="14" a="1"/>
  <c r="R616" i="14" a="1"/>
  <c r="R617" i="14" a="1"/>
  <c r="R618" i="14" a="1"/>
  <c r="R619" i="14" a="1"/>
  <c r="R620" i="14" a="1"/>
  <c r="R621" i="14" a="1"/>
  <c r="R622" i="14" a="1"/>
  <c r="R623" i="14" a="1"/>
  <c r="R624" i="14" a="1"/>
  <c r="R625" i="14" a="1"/>
  <c r="R626" i="14" a="1"/>
  <c r="R627" i="14" a="1"/>
  <c r="R628" i="14" a="1"/>
  <c r="R629" i="14" a="1"/>
  <c r="R630" i="14" a="1"/>
  <c r="R631" i="14" a="1"/>
  <c r="R632" i="14" a="1"/>
  <c r="R633" i="14" a="1"/>
  <c r="R634" i="14" a="1"/>
  <c r="R635" i="14" a="1"/>
  <c r="R636" i="14" a="1"/>
  <c r="R637" i="14" a="1"/>
  <c r="R638" i="14" a="1"/>
  <c r="R639" i="14" a="1"/>
  <c r="R640" i="14" a="1"/>
  <c r="R641" i="14" a="1"/>
  <c r="R642" i="14" a="1"/>
  <c r="R643" i="14" a="1"/>
  <c r="R644" i="14" a="1"/>
  <c r="R645" i="14" a="1"/>
  <c r="R646" i="14" a="1"/>
  <c r="R647" i="14" a="1"/>
  <c r="R648" i="14" a="1"/>
  <c r="R649" i="14" a="1"/>
  <c r="R650" i="14" a="1"/>
  <c r="R651" i="14" a="1"/>
  <c r="R652" i="14" a="1"/>
  <c r="R653" i="14" a="1"/>
  <c r="R654" i="14" a="1"/>
  <c r="R655" i="14" a="1"/>
  <c r="R656" i="14" a="1"/>
  <c r="R657" i="14" a="1"/>
  <c r="R658" i="14" a="1"/>
  <c r="R659" i="14" a="1"/>
  <c r="R660" i="14" a="1"/>
  <c r="R661" i="14" a="1"/>
  <c r="R662" i="14" a="1"/>
  <c r="R663" i="14" a="1"/>
  <c r="R664" i="14" a="1"/>
  <c r="R665" i="14" a="1"/>
  <c r="R666" i="14" a="1"/>
  <c r="R667" i="14" a="1"/>
  <c r="R668" i="14" a="1"/>
  <c r="R669" i="14" a="1"/>
  <c r="R670" i="14" a="1"/>
  <c r="R671" i="14" a="1"/>
  <c r="R672" i="14" a="1"/>
  <c r="R673" i="14" a="1"/>
  <c r="R674" i="14" a="1"/>
  <c r="R675" i="14" a="1"/>
  <c r="R676" i="14" a="1"/>
  <c r="R677" i="14" a="1"/>
  <c r="R678" i="14" a="1"/>
  <c r="R679" i="14" a="1"/>
  <c r="R680" i="14" a="1"/>
  <c r="R681" i="14" a="1"/>
  <c r="R682" i="14" a="1"/>
  <c r="R683" i="14" a="1"/>
  <c r="R684" i="14" a="1"/>
  <c r="R685" i="14" a="1"/>
  <c r="R686" i="14" a="1"/>
  <c r="R687" i="14" a="1"/>
  <c r="R688" i="14" a="1"/>
  <c r="R689" i="14" a="1"/>
  <c r="R690" i="14" a="1"/>
  <c r="R691" i="14" a="1"/>
  <c r="R692" i="14" a="1"/>
  <c r="R693" i="14" a="1"/>
  <c r="R694" i="14" a="1"/>
  <c r="R695" i="14" a="1"/>
  <c r="R696" i="14" a="1"/>
  <c r="R697" i="14" a="1"/>
  <c r="R698" i="14" a="1"/>
  <c r="R699" i="14" a="1"/>
  <c r="R700" i="14" a="1"/>
  <c r="R701" i="14" a="1"/>
  <c r="R702" i="14" a="1"/>
  <c r="R703" i="14" a="1"/>
  <c r="R704" i="14" a="1"/>
  <c r="R705" i="14" a="1"/>
  <c r="R706" i="14" a="1"/>
  <c r="R707" i="14" a="1"/>
  <c r="R708" i="14" a="1"/>
  <c r="R709" i="14" a="1"/>
  <c r="R710" i="14" a="1"/>
  <c r="R711" i="14" a="1"/>
  <c r="R712" i="14" a="1"/>
  <c r="R713" i="14" a="1"/>
  <c r="R714" i="14" a="1"/>
  <c r="R715" i="14" a="1"/>
  <c r="R716" i="14" a="1"/>
  <c r="R717" i="14" a="1"/>
  <c r="R718" i="14" a="1"/>
  <c r="R719" i="14" a="1"/>
  <c r="R720" i="14" a="1"/>
  <c r="R721" i="14" a="1"/>
  <c r="R722" i="14" a="1"/>
  <c r="R723" i="14" a="1"/>
  <c r="R724" i="14" a="1"/>
  <c r="R725" i="14" a="1"/>
  <c r="R726" i="14" a="1"/>
  <c r="R727" i="14" a="1"/>
  <c r="R728" i="14" a="1"/>
  <c r="R729" i="14" a="1"/>
  <c r="R730" i="14" a="1"/>
  <c r="R731" i="14" a="1"/>
  <c r="R732" i="14" a="1"/>
  <c r="R733" i="14" a="1"/>
  <c r="R734" i="14" a="1"/>
  <c r="R735" i="14" a="1"/>
  <c r="R736" i="14" a="1"/>
  <c r="R737" i="14" a="1"/>
  <c r="R738" i="14" a="1"/>
  <c r="R739" i="14" a="1"/>
  <c r="R740" i="14" a="1"/>
  <c r="R741" i="14" a="1"/>
  <c r="R742" i="14" a="1"/>
  <c r="R743" i="14" a="1"/>
  <c r="R744" i="14" a="1"/>
  <c r="R745" i="14" a="1"/>
  <c r="R746" i="14" a="1"/>
  <c r="R747" i="14" a="1"/>
  <c r="R748" i="14" a="1"/>
  <c r="R749" i="14" a="1"/>
  <c r="R750" i="14" a="1"/>
  <c r="R751" i="14" a="1"/>
  <c r="R752" i="14" a="1"/>
  <c r="R753" i="14" a="1"/>
  <c r="R754" i="14" a="1"/>
  <c r="R755" i="14" a="1"/>
  <c r="R756" i="14" a="1"/>
  <c r="R757" i="14" a="1"/>
  <c r="R758" i="14" a="1"/>
  <c r="R759" i="14" a="1"/>
  <c r="R760" i="14" a="1"/>
  <c r="R761" i="14" a="1"/>
  <c r="R762" i="14" a="1"/>
  <c r="R763" i="14" a="1"/>
  <c r="R764" i="14" a="1"/>
  <c r="R765" i="14" a="1"/>
  <c r="R766" i="14" a="1"/>
  <c r="R767" i="14" a="1"/>
  <c r="R768" i="14" a="1"/>
  <c r="R769" i="14" a="1"/>
  <c r="R770" i="14" a="1"/>
  <c r="R771" i="14" a="1"/>
  <c r="R772" i="14" a="1"/>
  <c r="R773" i="14" a="1"/>
  <c r="R774" i="14" a="1"/>
  <c r="R775" i="14" a="1"/>
  <c r="R776" i="14" a="1"/>
  <c r="R777" i="14" a="1"/>
  <c r="R778" i="14" a="1"/>
  <c r="R779" i="14" a="1"/>
  <c r="R780" i="14" a="1"/>
  <c r="R781" i="14" a="1"/>
  <c r="R782" i="14" a="1"/>
  <c r="R783" i="14" a="1"/>
  <c r="R784" i="14" a="1"/>
  <c r="R785" i="14" a="1"/>
  <c r="R786" i="14" a="1"/>
  <c r="R787" i="14" a="1"/>
  <c r="R788" i="14" a="1"/>
  <c r="R789" i="14" a="1"/>
  <c r="R790" i="14" a="1"/>
  <c r="R791" i="14" a="1"/>
  <c r="R792" i="14" a="1"/>
  <c r="R793" i="14" a="1"/>
  <c r="R794" i="14" a="1"/>
  <c r="R795" i="14" a="1"/>
  <c r="R796" i="14" a="1"/>
  <c r="R797" i="14" a="1"/>
  <c r="R798" i="14" a="1"/>
  <c r="R799" i="14" a="1"/>
  <c r="R800" i="14" a="1"/>
  <c r="R801" i="14" a="1"/>
  <c r="R802" i="14" a="1"/>
  <c r="R803" i="14" a="1"/>
  <c r="R804" i="14" a="1"/>
  <c r="R805" i="14" a="1"/>
  <c r="R806" i="14" a="1"/>
  <c r="R807" i="14" a="1"/>
  <c r="R808" i="14" a="1"/>
  <c r="R809" i="14" a="1"/>
  <c r="R810" i="14" a="1"/>
  <c r="R811" i="14" a="1"/>
  <c r="R812" i="14" a="1"/>
  <c r="R813" i="14" a="1"/>
  <c r="R814" i="14" a="1"/>
  <c r="R815" i="14" a="1"/>
  <c r="R816" i="14" a="1"/>
  <c r="R817" i="14" a="1"/>
  <c r="R818" i="14" a="1"/>
  <c r="R819" i="14" a="1"/>
  <c r="R820" i="14" a="1"/>
  <c r="R821" i="14" a="1"/>
  <c r="R822" i="14" a="1"/>
  <c r="R823" i="14" a="1"/>
  <c r="R824" i="14" a="1"/>
  <c r="R825" i="14" a="1"/>
  <c r="R826" i="14" a="1"/>
  <c r="R827" i="14" a="1"/>
  <c r="R828" i="14" a="1"/>
  <c r="R829" i="14" a="1"/>
  <c r="R830" i="14" a="1"/>
  <c r="R831" i="14" a="1"/>
  <c r="R832" i="14" a="1"/>
  <c r="R833" i="14" a="1"/>
  <c r="R834" i="14" a="1"/>
  <c r="R835" i="14" a="1"/>
  <c r="R836" i="14" a="1"/>
  <c r="R837" i="14" a="1"/>
  <c r="R838" i="14" a="1"/>
  <c r="R839" i="14" a="1"/>
  <c r="R840" i="14" a="1"/>
  <c r="R841" i="14" a="1"/>
  <c r="R842" i="14" a="1"/>
  <c r="R843" i="14" a="1"/>
  <c r="R844" i="14" a="1"/>
  <c r="R845" i="14" a="1"/>
  <c r="R846" i="14" a="1"/>
  <c r="R847" i="14" a="1"/>
  <c r="R848" i="14" a="1"/>
  <c r="R849" i="14" a="1"/>
  <c r="R850" i="14" a="1"/>
  <c r="R851" i="14" a="1"/>
  <c r="R852" i="14" a="1"/>
  <c r="R853" i="14" a="1"/>
  <c r="R854" i="14" a="1"/>
  <c r="R855" i="14" a="1"/>
  <c r="R856" i="14" a="1"/>
  <c r="R857" i="14" a="1"/>
  <c r="R858" i="14" a="1"/>
  <c r="R859" i="14" a="1"/>
  <c r="R860" i="14" a="1"/>
  <c r="R861" i="14" a="1"/>
  <c r="R862" i="14" a="1"/>
  <c r="R863" i="14" a="1"/>
  <c r="R864" i="14" a="1"/>
  <c r="R865" i="14" a="1"/>
  <c r="R866" i="14" a="1"/>
  <c r="R867" i="14" a="1"/>
  <c r="R868" i="14" a="1"/>
  <c r="R869" i="14" a="1"/>
  <c r="R870" i="14" a="1"/>
  <c r="R871" i="14" a="1"/>
  <c r="R872" i="14" a="1"/>
  <c r="R873" i="14" a="1"/>
  <c r="R874" i="14" a="1"/>
  <c r="R875" i="14" a="1"/>
  <c r="R876" i="14" a="1"/>
  <c r="R877" i="14" a="1"/>
  <c r="R878" i="14" a="1"/>
  <c r="R879" i="14" a="1"/>
  <c r="R880" i="14" a="1"/>
  <c r="R881" i="14" a="1"/>
  <c r="R882" i="14" a="1"/>
  <c r="R883" i="14" a="1"/>
  <c r="R884" i="14" a="1"/>
  <c r="R885" i="14" a="1"/>
  <c r="R886" i="14" a="1"/>
  <c r="R887" i="14" a="1"/>
  <c r="R888" i="14" a="1"/>
  <c r="R889" i="14" a="1"/>
  <c r="R890" i="14" a="1"/>
  <c r="R891" i="14" a="1"/>
  <c r="R892" i="14" a="1"/>
  <c r="R893" i="14" a="1"/>
  <c r="R894" i="14" a="1"/>
  <c r="R895" i="14" a="1"/>
  <c r="R896" i="14" a="1"/>
  <c r="R897" i="14" a="1"/>
  <c r="R898" i="14" a="1"/>
  <c r="R899" i="14" a="1"/>
  <c r="R900" i="14" a="1"/>
  <c r="R901" i="14" a="1"/>
  <c r="R902" i="14" a="1"/>
  <c r="R903" i="14" a="1"/>
  <c r="R904" i="14" a="1"/>
  <c r="R905" i="14" a="1"/>
  <c r="R906" i="14" a="1"/>
  <c r="R907" i="14" a="1"/>
  <c r="R908" i="14" a="1"/>
  <c r="R909" i="14" a="1"/>
  <c r="R910" i="14" a="1"/>
  <c r="R911" i="14" a="1"/>
  <c r="R912" i="14" a="1"/>
  <c r="R913" i="14" a="1"/>
  <c r="R914" i="14" a="1"/>
  <c r="R915" i="14" a="1"/>
  <c r="R916" i="14" a="1"/>
  <c r="R917" i="14" a="1"/>
  <c r="R918" i="14" a="1"/>
  <c r="R919" i="14" a="1"/>
  <c r="R920" i="14" a="1"/>
  <c r="R921" i="14" a="1"/>
  <c r="R922" i="14" a="1"/>
  <c r="R923" i="14" a="1"/>
  <c r="R924" i="14" a="1"/>
  <c r="R925" i="14" a="1"/>
  <c r="R926" i="14" a="1"/>
  <c r="R927" i="14" a="1"/>
  <c r="R928" i="14" a="1"/>
  <c r="R929" i="14" a="1"/>
  <c r="R930" i="14" a="1"/>
  <c r="R931" i="14" a="1"/>
  <c r="R932" i="14" a="1"/>
  <c r="R933" i="14" a="1"/>
  <c r="R934" i="14" a="1"/>
  <c r="R935" i="14" a="1"/>
  <c r="R936" i="14" a="1"/>
  <c r="R937" i="14" a="1"/>
  <c r="R938" i="14" a="1"/>
  <c r="R939" i="14" a="1"/>
  <c r="R940" i="14" a="1"/>
  <c r="R941" i="14" a="1"/>
  <c r="R942" i="14" a="1"/>
  <c r="R943" i="14" a="1"/>
  <c r="R944" i="14" a="1"/>
  <c r="R945" i="14" a="1"/>
  <c r="R946" i="14" a="1"/>
  <c r="R947" i="14" a="1"/>
  <c r="R948" i="14" a="1"/>
  <c r="R949" i="14" a="1"/>
  <c r="R950" i="14" a="1"/>
  <c r="R951" i="14" a="1"/>
  <c r="R952" i="14" a="1"/>
  <c r="R953" i="14" a="1"/>
  <c r="R954" i="14" a="1"/>
  <c r="R955" i="14" a="1"/>
  <c r="R956" i="14" a="1"/>
  <c r="R957" i="14" a="1"/>
  <c r="R958" i="14" a="1"/>
  <c r="R959" i="14" a="1"/>
  <c r="R960" i="14" a="1"/>
  <c r="R961" i="14" a="1"/>
  <c r="R962" i="14" a="1"/>
  <c r="R963" i="14" a="1"/>
  <c r="R964" i="14" a="1"/>
  <c r="R965" i="14" a="1"/>
  <c r="R966" i="14" a="1"/>
  <c r="R967" i="14" a="1"/>
  <c r="R968" i="14" a="1"/>
  <c r="R969" i="14" a="1"/>
  <c r="R970" i="14" a="1"/>
  <c r="R971" i="14" a="1"/>
  <c r="R972" i="14" a="1"/>
  <c r="R973" i="14" a="1"/>
  <c r="R974" i="14" a="1"/>
  <c r="R975" i="14" a="1"/>
  <c r="R976" i="14" a="1"/>
  <c r="R977" i="14" a="1"/>
  <c r="R978" i="14" a="1"/>
  <c r="R979" i="14" a="1"/>
  <c r="R980" i="14" a="1"/>
  <c r="R981" i="14" a="1"/>
  <c r="R982" i="14" a="1"/>
  <c r="R983" i="14" a="1"/>
  <c r="R984" i="14" a="1"/>
  <c r="R985" i="14" a="1"/>
  <c r="R986" i="14" a="1"/>
  <c r="R987" i="14" a="1"/>
  <c r="R988" i="14" a="1"/>
  <c r="R989" i="14" a="1"/>
  <c r="R990" i="14" a="1"/>
  <c r="R991" i="14" a="1"/>
  <c r="R992" i="14" a="1"/>
  <c r="R993" i="14" a="1"/>
  <c r="R994" i="14" a="1"/>
  <c r="R995" i="14" a="1"/>
  <c r="R996" i="14" a="1"/>
  <c r="R997" i="14" a="1"/>
  <c r="R998" i="14" a="1"/>
  <c r="R999" i="14" a="1"/>
  <c r="R1000" i="14" a="1"/>
  <c r="R1001" i="14" a="1"/>
  <c r="R1002" i="14" a="1"/>
  <c r="R1003" i="14" a="1"/>
  <c r="R1004" i="14" a="1"/>
  <c r="R1005" i="14" a="1"/>
  <c r="R1006" i="14" a="1"/>
  <c r="R1007" i="14" a="1"/>
  <c r="R1008" i="14" a="1"/>
  <c r="R1009" i="14" a="1"/>
  <c r="R1010" i="14" a="1"/>
  <c r="R1011" i="14" a="1"/>
  <c r="R1012" i="14" a="1"/>
  <c r="R1013" i="14" a="1"/>
  <c r="R1014" i="14" a="1"/>
  <c r="R1015" i="14" a="1"/>
  <c r="R1016" i="14" a="1"/>
  <c r="R1017" i="14" a="1"/>
  <c r="R1018" i="14" a="1"/>
  <c r="R1019" i="14" a="1"/>
  <c r="R1020" i="14" a="1"/>
  <c r="R1021" i="14" a="1"/>
  <c r="R1022" i="14" a="1"/>
  <c r="R1023" i="14" a="1"/>
  <c r="R1024" i="14" a="1"/>
  <c r="R1025" i="14" a="1"/>
  <c r="R1026" i="14" a="1"/>
  <c r="R1027" i="14" a="1"/>
  <c r="R1028" i="14" a="1"/>
  <c r="R1029" i="14" a="1"/>
  <c r="R1030" i="14" a="1"/>
  <c r="R1031" i="14" a="1"/>
  <c r="R1032" i="14" a="1"/>
  <c r="R1033" i="14" a="1"/>
  <c r="R1034" i="14" a="1"/>
  <c r="R1035" i="14" a="1"/>
  <c r="R1036" i="14" a="1"/>
  <c r="R1037" i="14" a="1"/>
  <c r="R1038" i="14" a="1"/>
  <c r="R1039" i="14" a="1"/>
  <c r="R1040" i="14" a="1"/>
  <c r="R1041" i="14" a="1"/>
  <c r="R1042" i="14" a="1"/>
  <c r="R1043" i="14" a="1"/>
  <c r="R1044" i="14" a="1"/>
  <c r="R1045" i="14" a="1"/>
  <c r="R1046" i="14" a="1"/>
  <c r="R1047" i="14" a="1"/>
  <c r="R1048" i="14" a="1"/>
  <c r="R1049" i="14" a="1"/>
  <c r="R1050" i="14" a="1"/>
  <c r="B1050" i="1"/>
  <c r="AD1050" i="1"/>
  <c r="AE1050" i="1" a="1"/>
  <c r="AH1050" i="1" s="1"/>
  <c r="AF1050" i="1" a="1"/>
  <c r="AG1050" i="1" a="1"/>
  <c r="D1050" i="17" a="1"/>
  <c r="E1050" i="17"/>
  <c r="G1050" i="17"/>
  <c r="H1050" i="17" a="1"/>
  <c r="M1050" i="17" a="1"/>
  <c r="N1050" i="17" s="1"/>
  <c r="P1050" i="17"/>
  <c r="AA1050" i="17"/>
  <c r="AC1050" i="17" s="1"/>
  <c r="AD1050" i="17" a="1"/>
  <c r="O1050" i="17" s="1" a="1"/>
  <c r="B1050" i="14"/>
  <c r="D1050" i="14" a="1"/>
  <c r="I1050" i="14"/>
  <c r="H1050" i="14" s="1"/>
  <c r="J1050" i="14"/>
  <c r="K1050" i="14"/>
  <c r="M1050" i="14"/>
  <c r="N1050" i="14"/>
  <c r="O1050" i="14"/>
  <c r="P1050" i="14"/>
  <c r="Q1050" i="14"/>
  <c r="B1049" i="1"/>
  <c r="AD1049" i="1"/>
  <c r="AE1049" i="1" a="1"/>
  <c r="AH1049" i="1" s="1"/>
  <c r="AF1049" i="1" a="1"/>
  <c r="AG1049" i="1" a="1"/>
  <c r="Z1049" i="17"/>
  <c r="D1049" i="17" a="1"/>
  <c r="E1049" i="17"/>
  <c r="G1049" i="17"/>
  <c r="H1049" i="17" a="1"/>
  <c r="M1049" i="17" a="1"/>
  <c r="N1049" i="17" s="1"/>
  <c r="P1049" i="17"/>
  <c r="AA1049" i="17"/>
  <c r="AC1049" i="17" s="1"/>
  <c r="AD1049" i="17" a="1"/>
  <c r="O1049" i="17" s="1" a="1"/>
  <c r="B1049" i="14"/>
  <c r="D1049" i="14" a="1"/>
  <c r="I1049" i="14"/>
  <c r="H1049" i="14" s="1"/>
  <c r="J1049" i="14"/>
  <c r="K1049" i="14"/>
  <c r="M1049" i="14"/>
  <c r="N1049" i="14"/>
  <c r="O1049" i="14"/>
  <c r="P1049" i="14"/>
  <c r="Q1049" i="14"/>
  <c r="T426" i="17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N1046" i="17" s="1"/>
  <c r="M1047" i="17" a="1"/>
  <c r="N1047" i="17" s="1"/>
  <c r="M1048" i="17" a="1"/>
  <c r="N1048" i="17" s="1"/>
  <c r="P1046" i="17"/>
  <c r="P1047" i="17"/>
  <c r="P1048" i="17"/>
  <c r="AA1046" i="17"/>
  <c r="AC1046" i="17" s="1"/>
  <c r="AA1047" i="17"/>
  <c r="AC1047" i="17" s="1"/>
  <c r="AA1048" i="17"/>
  <c r="AC1048" i="17" s="1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D1045" i="14" s="1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C1044" i="17" s="1"/>
  <c r="AA1045" i="17"/>
  <c r="AC1045" i="17" s="1"/>
  <c r="AD1044" i="17" a="1"/>
  <c r="O1044" i="17" s="1" a="1"/>
  <c r="AD1045" i="17" a="1"/>
  <c r="O1045" i="17" s="1" a="1"/>
  <c r="B1045" i="14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AA1043" i="17"/>
  <c r="D1043" i="17" a="1"/>
  <c r="E1043" i="17"/>
  <c r="G1043" i="17"/>
  <c r="H1043" i="17" a="1"/>
  <c r="M1043" i="17" a="1"/>
  <c r="N1043" i="17" s="1"/>
  <c r="P1043" i="17"/>
  <c r="AC1043" i="17"/>
  <c r="AD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 s="1"/>
  <c r="AD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Q1038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7" i="14" s="1" a="1"/>
  <c r="D1008" i="17" a="1"/>
  <c r="D1008" i="14" s="1" a="1"/>
  <c r="D1009" i="17" a="1"/>
  <c r="D1009" i="14" s="1" a="1"/>
  <c r="D1010" i="17" a="1"/>
  <c r="D1011" i="17" a="1"/>
  <c r="D1012" i="17" a="1"/>
  <c r="D1012" i="14" s="1" a="1"/>
  <c r="D1013" i="17" a="1"/>
  <c r="D1014" i="17" a="1"/>
  <c r="D1015" i="17" a="1"/>
  <c r="D1016" i="17" a="1"/>
  <c r="D1016" i="14" s="1" a="1"/>
  <c r="D1017" i="17" a="1"/>
  <c r="D1018" i="17" a="1"/>
  <c r="D1018" i="14" s="1" a="1"/>
  <c r="D1019" i="17" a="1"/>
  <c r="D1019" i="14" s="1" a="1"/>
  <c r="D1020" i="17" a="1"/>
  <c r="D1020" i="14" s="1" a="1"/>
  <c r="D1021" i="17" a="1"/>
  <c r="D1021" i="14" s="1" a="1"/>
  <c r="D1022" i="17" a="1"/>
  <c r="D1022" i="14" s="1" a="1"/>
  <c r="D1023" i="17" a="1"/>
  <c r="D1023" i="14" s="1" a="1"/>
  <c r="D1024" i="17" a="1"/>
  <c r="D1024" i="14" s="1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Q1031" i="14"/>
  <c r="P1031" i="14"/>
  <c r="O1031" i="14"/>
  <c r="N1031" i="14"/>
  <c r="M1031" i="14"/>
  <c r="K1031" i="14"/>
  <c r="J1031" i="14"/>
  <c r="I1031" i="14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Q1024" i="14"/>
  <c r="P1024" i="14"/>
  <c r="O1024" i="14"/>
  <c r="N1024" i="14"/>
  <c r="M1024" i="14"/>
  <c r="K1024" i="14"/>
  <c r="J1024" i="14"/>
  <c r="I1024" i="14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Q1023" i="14"/>
  <c r="P1023" i="14"/>
  <c r="O1023" i="14"/>
  <c r="N1023" i="14"/>
  <c r="M1023" i="14"/>
  <c r="K1023" i="14"/>
  <c r="J1023" i="14"/>
  <c r="I1023" i="14"/>
  <c r="B1023" i="14"/>
  <c r="Q1022" i="14"/>
  <c r="P1022" i="14"/>
  <c r="O1022" i="14"/>
  <c r="N1022" i="14"/>
  <c r="M1022" i="14"/>
  <c r="K1022" i="14"/>
  <c r="J1022" i="14"/>
  <c r="I1022" i="14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I1020" i="14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I1019" i="14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I1018" i="14"/>
  <c r="J1018" i="14"/>
  <c r="K1018" i="14"/>
  <c r="M1018" i="14"/>
  <c r="N1018" i="14"/>
  <c r="O1018" i="14"/>
  <c r="P1018" i="14"/>
  <c r="Q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M1017" i="14"/>
  <c r="N1017" i="14"/>
  <c r="O1017" i="14"/>
  <c r="P1017" i="14"/>
  <c r="Q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Q1012" i="14"/>
  <c r="P1012" i="14"/>
  <c r="O1012" i="14"/>
  <c r="N1012" i="14"/>
  <c r="M1012" i="14"/>
  <c r="K1012" i="14"/>
  <c r="J1012" i="14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M995" i="14"/>
  <c r="N995" i="14"/>
  <c r="O995" i="14"/>
  <c r="P995" i="14"/>
  <c r="Q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H95" i="17" a="1"/>
  <c r="E95" i="17"/>
  <c r="AD94" i="17" a="1"/>
  <c r="O94" i="17" s="1" a="1"/>
  <c r="AA94" i="17"/>
  <c r="AC94" i="17" s="1"/>
  <c r="P94" i="17"/>
  <c r="H94" i="17" a="1"/>
  <c r="E94" i="17"/>
  <c r="AD93" i="17" a="1"/>
  <c r="O93" i="17" s="1" a="1"/>
  <c r="AA93" i="17"/>
  <c r="AC93" i="17" s="1"/>
  <c r="P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AM1051" i="17" l="1"/>
  <c r="AL1051" i="17"/>
  <c r="AN1051" i="17" s="1"/>
  <c r="C1051" i="14" a="1"/>
  <c r="F1058" i="24" a="1"/>
  <c r="E1058" i="24"/>
  <c r="D1058" i="24"/>
  <c r="C1058" i="24"/>
  <c r="B1058" i="24" a="1"/>
  <c r="F1057" i="24" a="1"/>
  <c r="E1057" i="24"/>
  <c r="D1057" i="24"/>
  <c r="C1057" i="24"/>
  <c r="B1057" i="24" a="1"/>
  <c r="F1056" i="24" a="1"/>
  <c r="E1056" i="24"/>
  <c r="D1056" i="24"/>
  <c r="C1056" i="24"/>
  <c r="B1056" i="24" a="1"/>
  <c r="F1055" i="24" a="1"/>
  <c r="E1055" i="24"/>
  <c r="D1055" i="24"/>
  <c r="C1055" i="24"/>
  <c r="B1055" i="24" a="1"/>
  <c r="F1054" i="24" a="1"/>
  <c r="D1054" i="24"/>
  <c r="E1054" i="24"/>
  <c r="C1054" i="24"/>
  <c r="B1054" i="24" a="1"/>
  <c r="F1053" i="24" a="1"/>
  <c r="E1053" i="24"/>
  <c r="D1053" i="24"/>
  <c r="C1053" i="24"/>
  <c r="B1053" i="24" a="1"/>
  <c r="F1052" i="24" a="1"/>
  <c r="E1052" i="24"/>
  <c r="C1052" i="24"/>
  <c r="D1052" i="24"/>
  <c r="B1052" i="24" a="1"/>
  <c r="F1050" i="24" a="1"/>
  <c r="F1051" i="24" a="1"/>
  <c r="E1051" i="24"/>
  <c r="D1051" i="24"/>
  <c r="C1051" i="24"/>
  <c r="B1051" i="24" a="1"/>
  <c r="AM1050" i="17"/>
  <c r="AL1050" i="17"/>
  <c r="AN1050" i="17" s="1"/>
  <c r="E1050" i="24"/>
  <c r="D1050" i="24"/>
  <c r="L1050" i="14" s="1"/>
  <c r="C1050" i="24"/>
  <c r="B1050" i="24" a="1"/>
  <c r="C1050" i="14" a="1"/>
  <c r="E1049" i="24"/>
  <c r="AM1049" i="17"/>
  <c r="AL1049" i="17"/>
  <c r="AN1049" i="17" s="1"/>
  <c r="C1049" i="14" a="1"/>
  <c r="D1049" i="24"/>
  <c r="L1049" i="14" s="1"/>
  <c r="C1049" i="24"/>
  <c r="F1049" i="24" a="1"/>
  <c r="B1049" i="24" a="1"/>
  <c r="E1022" i="24"/>
  <c r="E1043" i="24"/>
  <c r="E649" i="24"/>
  <c r="E650" i="24"/>
  <c r="E651" i="24"/>
  <c r="E652" i="24"/>
  <c r="E653" i="24"/>
  <c r="E654" i="24"/>
  <c r="E1044" i="24"/>
  <c r="H1048" i="14"/>
  <c r="E1048" i="24"/>
  <c r="H1032" i="14"/>
  <c r="H1031" i="14"/>
  <c r="H1029" i="14"/>
  <c r="H912" i="14"/>
  <c r="H917" i="14"/>
  <c r="H918" i="14"/>
  <c r="H919" i="14"/>
  <c r="H920" i="14"/>
  <c r="H934" i="14"/>
  <c r="H935" i="14"/>
  <c r="D1010" i="14" a="1"/>
  <c r="D1029" i="14" a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E1046" i="24" s="1"/>
  <c r="AH1047" i="1"/>
  <c r="E1047" i="24" s="1"/>
  <c r="C1046" i="14" a="1"/>
  <c r="AL1046" i="17"/>
  <c r="AN1046" i="17" s="1"/>
  <c r="AM1046" i="17"/>
  <c r="C1047" i="14" a="1"/>
  <c r="AL1047" i="17"/>
  <c r="AN1047" i="17" s="1"/>
  <c r="AM1047" i="17"/>
  <c r="C1048" i="14" a="1"/>
  <c r="AL1048" i="17"/>
  <c r="AN1048" i="17" s="1"/>
  <c r="AM1048" i="17"/>
  <c r="D1035" i="14" a="1"/>
  <c r="D1030" i="14" a="1"/>
  <c r="D1031" i="14" a="1"/>
  <c r="D1032" i="14" a="1"/>
  <c r="D1033" i="14" a="1"/>
  <c r="D1034" i="14" a="1"/>
  <c r="F1048" i="24" a="1"/>
  <c r="C1048" i="24"/>
  <c r="D1048" i="24"/>
  <c r="L1048" i="14" s="1"/>
  <c r="B1048" i="24" a="1"/>
  <c r="C1047" i="24"/>
  <c r="D1047" i="24"/>
  <c r="L1047" i="14" s="1"/>
  <c r="B1047" i="24" a="1"/>
  <c r="F1047" i="24" a="1"/>
  <c r="D1046" i="24"/>
  <c r="C1046" i="24"/>
  <c r="B1046" i="24" a="1"/>
  <c r="F1046" i="24" a="1"/>
  <c r="H1045" i="14"/>
  <c r="H1044" i="14"/>
  <c r="AM1045" i="17"/>
  <c r="AL1045" i="17"/>
  <c r="AN1045" i="17" s="1"/>
  <c r="AM1044" i="17"/>
  <c r="AL1044" i="17"/>
  <c r="AN1044" i="17" s="1"/>
  <c r="D1038" i="14" a="1"/>
  <c r="D1037" i="14" a="1"/>
  <c r="D1036" i="14" a="1"/>
  <c r="AH1045" i="1"/>
  <c r="E1045" i="24" s="1"/>
  <c r="C1045" i="14" a="1"/>
  <c r="C1044" i="14" a="1"/>
  <c r="F1045" i="24" a="1"/>
  <c r="D1045" i="24"/>
  <c r="L1045" i="14" s="1"/>
  <c r="C1045" i="24"/>
  <c r="B1045" i="24" a="1"/>
  <c r="F1044" i="24" a="1"/>
  <c r="C1044" i="24"/>
  <c r="B1044" i="24" a="1"/>
  <c r="D1044" i="24"/>
  <c r="L1044" i="14" s="1"/>
  <c r="AM1043" i="17"/>
  <c r="AL1043" i="17"/>
  <c r="AN1043" i="17" s="1"/>
  <c r="H1043" i="14"/>
  <c r="C1043" i="14" a="1"/>
  <c r="AH1042" i="1"/>
  <c r="E1042" i="24" s="1"/>
  <c r="AH1041" i="1"/>
  <c r="E1041" i="24" s="1"/>
  <c r="D1043" i="24"/>
  <c r="L1043" i="14" s="1"/>
  <c r="B1043" i="24" a="1"/>
  <c r="F1043" i="24" a="1"/>
  <c r="C1043" i="24"/>
  <c r="AM1042" i="17"/>
  <c r="AL1042" i="17"/>
  <c r="AN1042" i="17" s="1"/>
  <c r="H1042" i="14"/>
  <c r="C1042" i="14" a="1"/>
  <c r="AH1040" i="1"/>
  <c r="E1040" i="24" s="1"/>
  <c r="F1042" i="24" a="1"/>
  <c r="C1042" i="24"/>
  <c r="D1042" i="24"/>
  <c r="B1042" i="24" a="1"/>
  <c r="AM1041" i="17"/>
  <c r="AL1041" i="17"/>
  <c r="AN1041" i="17" s="1"/>
  <c r="H1041" i="14"/>
  <c r="AH1039" i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C1039" i="24"/>
  <c r="D1039" i="24"/>
  <c r="L1039" i="14" s="1"/>
  <c r="B1039" i="24" a="1"/>
  <c r="F1039" i="24" a="1"/>
  <c r="AH355" i="1"/>
  <c r="D1025" i="14" a="1"/>
  <c r="D1026" i="14" a="1"/>
  <c r="D1028" i="14" a="1"/>
  <c r="AH1036" i="1"/>
  <c r="AH1037" i="1"/>
  <c r="AH1038" i="1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D995" i="14" a="1"/>
  <c r="D1002" i="14" a="1"/>
  <c r="D1004" i="14" a="1"/>
  <c r="D1005" i="14" a="1"/>
  <c r="D1011" i="14" a="1"/>
  <c r="C1021" i="14" a="1"/>
  <c r="D1006" i="14" a="1"/>
  <c r="D1038" i="24"/>
  <c r="C1038" i="24"/>
  <c r="B1038" i="24" a="1"/>
  <c r="F1038" i="24" a="1"/>
  <c r="D1017" i="14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D1030" i="24"/>
  <c r="B1030" i="24" a="1"/>
  <c r="C1030" i="24"/>
  <c r="D1001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E997" i="24" s="1"/>
  <c r="H1025" i="14"/>
  <c r="F1025" i="24" a="1"/>
  <c r="D1025" i="24"/>
  <c r="L1025" i="14" s="1"/>
  <c r="C1025" i="24"/>
  <c r="B1025" i="24" a="1"/>
  <c r="E1024" i="24"/>
  <c r="F1024" i="24" a="1"/>
  <c r="D1024" i="24"/>
  <c r="C1024" i="24"/>
  <c r="B1024" i="24" a="1"/>
  <c r="C1024" i="14" a="1"/>
  <c r="C1023" i="14" a="1"/>
  <c r="E1023" i="24"/>
  <c r="C1022" i="14" a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E1020" i="24"/>
  <c r="C1020" i="14" a="1"/>
  <c r="F1019" i="24" a="1"/>
  <c r="D1019" i="24"/>
  <c r="L1019" i="14" s="1"/>
  <c r="C1019" i="24"/>
  <c r="B1019" i="24" a="1"/>
  <c r="C1019" i="14" a="1"/>
  <c r="E1019" i="24"/>
  <c r="AH314" i="1"/>
  <c r="E1018" i="24"/>
  <c r="C1018" i="14" a="1"/>
  <c r="F1018" i="24" a="1"/>
  <c r="D1018" i="24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D1014" i="14" a="1"/>
  <c r="D1015" i="1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D996" i="14" a="1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D944" i="14" a="1"/>
  <c r="D943" i="14" a="1"/>
  <c r="D942" i="14" a="1"/>
  <c r="D941" i="14" a="1"/>
  <c r="D940" i="14" a="1"/>
  <c r="D939" i="14" a="1"/>
  <c r="H1013" i="14"/>
  <c r="AH1013" i="1"/>
  <c r="AH1015" i="1"/>
  <c r="AH1016" i="1"/>
  <c r="E1016" i="24" s="1"/>
  <c r="C1016" i="14" a="1"/>
  <c r="D938" i="14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D988" i="14" a="1"/>
  <c r="AH563" i="1"/>
  <c r="AH531" i="1"/>
  <c r="AH551" i="1"/>
  <c r="D1012" i="24"/>
  <c r="C1012" i="24"/>
  <c r="B1012" i="24" a="1"/>
  <c r="AH404" i="1"/>
  <c r="AH439" i="1"/>
  <c r="AH1012" i="1"/>
  <c r="E1012" i="24" s="1"/>
  <c r="C1012" i="14" a="1"/>
  <c r="D987" i="14" a="1"/>
  <c r="D986" i="14" a="1"/>
  <c r="D985" i="14" a="1"/>
  <c r="D984" i="14" a="1"/>
  <c r="D983" i="14" a="1"/>
  <c r="D982" i="14" a="1"/>
  <c r="D981" i="14" a="1"/>
  <c r="D980" i="14" a="1"/>
  <c r="D979" i="14" a="1"/>
  <c r="D978" i="14" a="1"/>
  <c r="D972" i="14" a="1"/>
  <c r="D971" i="14" a="1"/>
  <c r="D970" i="14" a="1"/>
  <c r="D969" i="14" a="1"/>
  <c r="D968" i="14" a="1"/>
  <c r="D916" i="14" a="1"/>
  <c r="D915" i="14" a="1"/>
  <c r="D914" i="14" a="1"/>
  <c r="D913" i="14" a="1"/>
  <c r="D912" i="14" a="1"/>
  <c r="D911" i="14" a="1"/>
  <c r="AH413" i="1"/>
  <c r="AH1010" i="1"/>
  <c r="D999" i="14" a="1"/>
  <c r="D1000" i="14" a="1"/>
  <c r="D919" i="14" a="1"/>
  <c r="D918" i="14" a="1"/>
  <c r="D917" i="14" a="1"/>
  <c r="AH1011" i="1"/>
  <c r="D990" i="14" a="1"/>
  <c r="D993" i="14" a="1"/>
  <c r="D992" i="14" a="1"/>
  <c r="D991" i="14" a="1"/>
  <c r="D967" i="14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D38" i="14" a="1"/>
  <c r="D37" i="14" a="1"/>
  <c r="D36" i="14" a="1"/>
  <c r="D35" i="14" a="1"/>
  <c r="D34" i="14" a="1"/>
  <c r="D33" i="14" a="1"/>
  <c r="D32" i="14" a="1"/>
  <c r="D31" i="14" a="1"/>
  <c r="D30" i="14" a="1"/>
  <c r="D29" i="14" a="1"/>
  <c r="D28" i="14" a="1"/>
  <c r="D27" i="14" a="1"/>
  <c r="D26" i="14" a="1"/>
  <c r="D25" i="14" a="1"/>
  <c r="H1006" i="14"/>
  <c r="D1006" i="24"/>
  <c r="C1006" i="24"/>
  <c r="B1006" i="24" a="1"/>
  <c r="AH54" i="1"/>
  <c r="D977" i="14" a="1"/>
  <c r="AH1004" i="1"/>
  <c r="AH1003" i="1"/>
  <c r="D1005" i="24"/>
  <c r="C1005" i="24"/>
  <c r="B1005" i="24" a="1"/>
  <c r="D887" i="14" a="1"/>
  <c r="D24" i="14" a="1"/>
  <c r="D23" i="14" a="1"/>
  <c r="D22" i="14" a="1"/>
  <c r="H1004" i="14"/>
  <c r="AH244" i="1"/>
  <c r="AH241" i="1"/>
  <c r="D21" i="14" a="1"/>
  <c r="D20" i="14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D975" i="14" a="1"/>
  <c r="D974" i="14" a="1"/>
  <c r="D870" i="14" a="1"/>
  <c r="D869" i="14" a="1"/>
  <c r="D868" i="14" a="1"/>
  <c r="D867" i="14" a="1"/>
  <c r="D866" i="14" a="1"/>
  <c r="D865" i="14" a="1"/>
  <c r="D792" i="14" a="1"/>
  <c r="E792" i="14" s="1"/>
  <c r="D791" i="14" a="1"/>
  <c r="E791" i="14" s="1"/>
  <c r="E795" i="14" s="1"/>
  <c r="D790" i="14" a="1"/>
  <c r="E790" i="14" s="1"/>
  <c r="D789" i="14" a="1"/>
  <c r="D788" i="14" a="1"/>
  <c r="D787" i="14" a="1"/>
  <c r="D557" i="14" a="1"/>
  <c r="D556" i="14" a="1"/>
  <c r="D487" i="14" a="1"/>
  <c r="D486" i="14" a="1"/>
  <c r="D485" i="14" a="1"/>
  <c r="D484" i="14" a="1"/>
  <c r="D483" i="14" a="1"/>
  <c r="D482" i="14" a="1"/>
  <c r="D481" i="14" a="1"/>
  <c r="D480" i="14" a="1"/>
  <c r="D19" i="14" a="1"/>
  <c r="D18" i="14" a="1"/>
  <c r="D1003" i="24"/>
  <c r="C1003" i="24"/>
  <c r="B1003" i="2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D786" i="14" a="1"/>
  <c r="D785" i="14" a="1"/>
  <c r="D555" i="14" a="1"/>
  <c r="D554" i="14" a="1"/>
  <c r="D1002" i="24"/>
  <c r="C1002" i="24"/>
  <c r="B1002" i="24" a="1"/>
  <c r="AH9" i="1"/>
  <c r="AH141" i="1"/>
  <c r="D713" i="14" a="1"/>
  <c r="D712" i="14" a="1"/>
  <c r="D13" i="14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D910" i="14" a="1"/>
  <c r="D909" i="14" a="1"/>
  <c r="D908" i="14" a="1"/>
  <c r="D907" i="14" a="1"/>
  <c r="D906" i="14" a="1"/>
  <c r="D905" i="14" a="1"/>
  <c r="D904" i="14" a="1"/>
  <c r="D903" i="14" a="1"/>
  <c r="D902" i="14" a="1"/>
  <c r="D901" i="14" a="1"/>
  <c r="D900" i="14" a="1"/>
  <c r="D899" i="14" a="1"/>
  <c r="D898" i="14" a="1"/>
  <c r="D897" i="14" a="1"/>
  <c r="D896" i="14" a="1"/>
  <c r="D895" i="14" a="1"/>
  <c r="D894" i="14" a="1"/>
  <c r="D893" i="14" a="1"/>
  <c r="D892" i="14" a="1"/>
  <c r="E892" i="14" s="1"/>
  <c r="D891" i="14" a="1"/>
  <c r="D890" i="14" a="1"/>
  <c r="D889" i="14" a="1"/>
  <c r="D888" i="14" a="1"/>
  <c r="D947" i="14" a="1"/>
  <c r="AH604" i="1"/>
  <c r="AH423" i="1"/>
  <c r="D998" i="24"/>
  <c r="C998" i="24"/>
  <c r="B998" i="24" a="1"/>
  <c r="D949" i="14" a="1"/>
  <c r="D948" i="14" a="1"/>
  <c r="D553" i="14" a="1"/>
  <c r="D552" i="14" a="1"/>
  <c r="D551" i="14" a="1"/>
  <c r="D258" i="14" a="1"/>
  <c r="D257" i="14" a="1"/>
  <c r="D256" i="14" a="1"/>
  <c r="D255" i="14" a="1"/>
  <c r="D254" i="14" a="1"/>
  <c r="D253" i="14" a="1"/>
  <c r="D252" i="14" a="1"/>
  <c r="D251" i="14" a="1"/>
  <c r="D250" i="14" a="1"/>
  <c r="D249" i="14" a="1"/>
  <c r="D248" i="14" a="1"/>
  <c r="D247" i="14" a="1"/>
  <c r="D784" i="14" a="1"/>
  <c r="D783" i="14" a="1"/>
  <c r="D782" i="14" a="1"/>
  <c r="D781" i="14" a="1"/>
  <c r="D780" i="14" a="1"/>
  <c r="D550" i="14" a="1"/>
  <c r="D549" i="14" a="1"/>
  <c r="D548" i="14" a="1"/>
  <c r="D547" i="14" a="1"/>
  <c r="D490" i="14" a="1"/>
  <c r="D479" i="14" a="1"/>
  <c r="D478" i="14" a="1"/>
  <c r="D477" i="14" a="1"/>
  <c r="D476" i="14" a="1"/>
  <c r="D475" i="14" a="1"/>
  <c r="D246" i="14" a="1"/>
  <c r="D245" i="14" a="1"/>
  <c r="D244" i="14" a="1"/>
  <c r="D243" i="14" a="1"/>
  <c r="D242" i="14" a="1"/>
  <c r="D241" i="14" a="1"/>
  <c r="D12" i="14" a="1"/>
  <c r="D11" i="14" a="1"/>
  <c r="D10" i="14" a="1"/>
  <c r="D9" i="14" a="1"/>
  <c r="AH33" i="1"/>
  <c r="AH582" i="1"/>
  <c r="AH842" i="1"/>
  <c r="AH27" i="1"/>
  <c r="AH624" i="1"/>
  <c r="AH757" i="1"/>
  <c r="AH844" i="1"/>
  <c r="AH615" i="1"/>
  <c r="D711" i="14" a="1"/>
  <c r="D710" i="14" a="1"/>
  <c r="D697" i="14" a="1"/>
  <c r="D696" i="14" a="1"/>
  <c r="D489" i="14" a="1"/>
  <c r="D488" i="14" a="1"/>
  <c r="D240" i="14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E2" i="24" s="1"/>
  <c r="AH873" i="1"/>
  <c r="D779" i="14" a="1"/>
  <c r="D695" i="14" a="1"/>
  <c r="D694" i="14" a="1"/>
  <c r="D693" i="14" a="1"/>
  <c r="D546" i="14" a="1"/>
  <c r="D474" i="14" a="1"/>
  <c r="D473" i="14" a="1"/>
  <c r="D472" i="14" a="1"/>
  <c r="D417" i="14" a="1"/>
  <c r="D416" i="14" a="1"/>
  <c r="D415" i="14" a="1"/>
  <c r="D414" i="14" a="1"/>
  <c r="D413" i="14" a="1"/>
  <c r="D8" i="14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D864" i="14" a="1"/>
  <c r="D863" i="14" a="1"/>
  <c r="D860" i="14" a="1"/>
  <c r="D862" i="14" a="1"/>
  <c r="D861" i="14" a="1"/>
  <c r="D859" i="14" a="1"/>
  <c r="D858" i="14" a="1"/>
  <c r="D857" i="14" a="1"/>
  <c r="D856" i="14" a="1"/>
  <c r="D855" i="14" a="1"/>
  <c r="D854" i="14" a="1"/>
  <c r="D853" i="14" a="1"/>
  <c r="D852" i="14" a="1"/>
  <c r="D851" i="14" a="1"/>
  <c r="D850" i="14" a="1"/>
  <c r="D849" i="14" a="1"/>
  <c r="D848" i="14" a="1"/>
  <c r="D847" i="14" a="1"/>
  <c r="D846" i="14" a="1"/>
  <c r="D845" i="14" a="1"/>
  <c r="D844" i="14" a="1"/>
  <c r="D778" i="14" a="1"/>
  <c r="D777" i="14" a="1"/>
  <c r="D776" i="14" a="1"/>
  <c r="D775" i="14" a="1"/>
  <c r="D471" i="14" a="1"/>
  <c r="D470" i="14" a="1"/>
  <c r="D469" i="14" a="1"/>
  <c r="D468" i="14" a="1"/>
  <c r="D467" i="14" a="1"/>
  <c r="D466" i="14" a="1"/>
  <c r="D465" i="14" a="1"/>
  <c r="D464" i="14" a="1"/>
  <c r="D463" i="14" a="1"/>
  <c r="D412" i="14" a="1"/>
  <c r="D411" i="14" a="1"/>
  <c r="D7" i="14" a="1"/>
  <c r="D6" i="14" a="1"/>
  <c r="D5" i="14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D964" i="14" a="1"/>
  <c r="D963" i="14" a="1"/>
  <c r="E963" i="14" s="1"/>
  <c r="E964" i="14" s="1"/>
  <c r="D962" i="14" a="1"/>
  <c r="D961" i="14" a="1"/>
  <c r="E961" i="14" s="1"/>
  <c r="D960" i="14" a="1"/>
  <c r="D959" i="14" a="1"/>
  <c r="D958" i="14" a="1"/>
  <c r="D953" i="14" a="1"/>
  <c r="D952" i="14" a="1"/>
  <c r="D951" i="14" a="1"/>
  <c r="D950" i="14" a="1"/>
  <c r="E950" i="14" s="1"/>
  <c r="D886" i="14" a="1"/>
  <c r="D885" i="14" a="1"/>
  <c r="D884" i="14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D956" i="14" a="1"/>
  <c r="D955" i="14" a="1"/>
  <c r="D954" i="14" a="1"/>
  <c r="D774" i="14" a="1"/>
  <c r="D773" i="14" a="1"/>
  <c r="D772" i="14" a="1"/>
  <c r="D771" i="14" a="1"/>
  <c r="D770" i="14" a="1"/>
  <c r="D769" i="14" a="1"/>
  <c r="D768" i="14" a="1"/>
  <c r="D767" i="14" a="1"/>
  <c r="D715" i="14" a="1"/>
  <c r="D714" i="14" a="1"/>
  <c r="D692" i="14" a="1"/>
  <c r="D691" i="14" a="1"/>
  <c r="D690" i="14" a="1"/>
  <c r="D689" i="14" a="1"/>
  <c r="D688" i="14" a="1"/>
  <c r="D687" i="14" a="1"/>
  <c r="D686" i="14" a="1"/>
  <c r="D685" i="14" a="1"/>
  <c r="D684" i="14" a="1"/>
  <c r="D683" i="14" a="1"/>
  <c r="D682" i="14" a="1"/>
  <c r="D634" i="14" a="1"/>
  <c r="D633" i="14" a="1"/>
  <c r="D632" i="14" a="1"/>
  <c r="D631" i="14" a="1"/>
  <c r="D630" i="14" a="1"/>
  <c r="D629" i="14" a="1"/>
  <c r="D628" i="14" a="1"/>
  <c r="D627" i="14" a="1"/>
  <c r="D626" i="14" a="1"/>
  <c r="D625" i="14" a="1"/>
  <c r="D624" i="14" a="1"/>
  <c r="D623" i="14" a="1"/>
  <c r="D622" i="14" a="1"/>
  <c r="D621" i="14" a="1"/>
  <c r="D620" i="14" a="1"/>
  <c r="D619" i="14" a="1"/>
  <c r="D618" i="14" a="1"/>
  <c r="D617" i="14" a="1"/>
  <c r="D616" i="14" a="1"/>
  <c r="D545" i="14" a="1"/>
  <c r="D544" i="14" a="1"/>
  <c r="D543" i="14" a="1"/>
  <c r="D462" i="14" a="1"/>
  <c r="D461" i="14" a="1"/>
  <c r="D239" i="14" a="1"/>
  <c r="D238" i="14" a="1"/>
  <c r="D168" i="14" a="1"/>
  <c r="D167" i="14" a="1"/>
  <c r="D166" i="14" a="1"/>
  <c r="D165" i="14" a="1"/>
  <c r="D164" i="14" a="1"/>
  <c r="D163" i="14" a="1"/>
  <c r="D162" i="14" a="1"/>
  <c r="D161" i="14" a="1"/>
  <c r="D160" i="14" a="1"/>
  <c r="D159" i="14" a="1"/>
  <c r="D158" i="14" a="1"/>
  <c r="D157" i="14" a="1"/>
  <c r="D156" i="14" a="1"/>
  <c r="D155" i="14" a="1"/>
  <c r="D154" i="14" a="1"/>
  <c r="D153" i="14" a="1"/>
  <c r="D152" i="14" a="1"/>
  <c r="D151" i="14" a="1"/>
  <c r="D150" i="14" a="1"/>
  <c r="D149" i="14" a="1"/>
  <c r="D148" i="14" a="1"/>
  <c r="D147" i="14" a="1"/>
  <c r="D146" i="14" a="1"/>
  <c r="D145" i="14" a="1"/>
  <c r="D144" i="14" a="1"/>
  <c r="D53" i="14" a="1"/>
  <c r="D52" i="14" a="1"/>
  <c r="D51" i="14" a="1"/>
  <c r="D50" i="14" a="1"/>
  <c r="D49" i="14" a="1"/>
  <c r="D48" i="14" a="1"/>
  <c r="D47" i="14" a="1"/>
  <c r="D46" i="14" a="1"/>
  <c r="D45" i="14" a="1"/>
  <c r="D44" i="14" a="1"/>
  <c r="D43" i="14" a="1"/>
  <c r="D42" i="14" a="1"/>
  <c r="D41" i="14" a="1"/>
  <c r="D40" i="14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D883" i="14" a="1"/>
  <c r="D882" i="14" a="1"/>
  <c r="D881" i="14" a="1"/>
  <c r="D880" i="14" a="1"/>
  <c r="D879" i="14" a="1"/>
  <c r="D878" i="14" a="1"/>
  <c r="D877" i="14" a="1"/>
  <c r="D876" i="14" a="1"/>
  <c r="D875" i="14" a="1"/>
  <c r="D874" i="14" a="1"/>
  <c r="D873" i="14" a="1"/>
  <c r="D872" i="14" a="1"/>
  <c r="D871" i="14" a="1"/>
  <c r="D843" i="14" a="1"/>
  <c r="D842" i="14" a="1"/>
  <c r="D841" i="14" a="1"/>
  <c r="D840" i="14" a="1"/>
  <c r="D839" i="14" a="1"/>
  <c r="D838" i="14" a="1"/>
  <c r="D837" i="14" a="1"/>
  <c r="D836" i="14" a="1"/>
  <c r="D835" i="14" a="1"/>
  <c r="D834" i="14" a="1"/>
  <c r="D833" i="14" a="1"/>
  <c r="D832" i="14" a="1"/>
  <c r="D831" i="14" a="1"/>
  <c r="D830" i="14" a="1"/>
  <c r="D829" i="14" a="1"/>
  <c r="D828" i="14" a="1"/>
  <c r="D827" i="14" a="1"/>
  <c r="D826" i="14" a="1"/>
  <c r="D807" i="14" a="1"/>
  <c r="E807" i="14" s="1"/>
  <c r="D806" i="14" a="1"/>
  <c r="D805" i="14" a="1"/>
  <c r="E805" i="14" s="1"/>
  <c r="D804" i="14" a="1"/>
  <c r="E804" i="14" s="1"/>
  <c r="E815" i="14" s="1"/>
  <c r="D803" i="14" a="1"/>
  <c r="D802" i="14" a="1"/>
  <c r="D801" i="14" a="1"/>
  <c r="D800" i="14" a="1"/>
  <c r="D799" i="14" a="1"/>
  <c r="E799" i="14" s="1"/>
  <c r="D798" i="14" a="1"/>
  <c r="D797" i="14" a="1"/>
  <c r="D796" i="14" a="1"/>
  <c r="D795" i="14" a="1"/>
  <c r="D794" i="14" a="1"/>
  <c r="D793" i="14" a="1"/>
  <c r="E793" i="14" s="1"/>
  <c r="E794" i="14" s="1"/>
  <c r="D766" i="14" a="1"/>
  <c r="D765" i="14" a="1"/>
  <c r="D764" i="14" a="1"/>
  <c r="D763" i="14" a="1"/>
  <c r="D762" i="14" a="1"/>
  <c r="D761" i="14" a="1"/>
  <c r="D760" i="14" a="1"/>
  <c r="D759" i="14" a="1"/>
  <c r="D758" i="14" a="1"/>
  <c r="D757" i="14" a="1"/>
  <c r="D756" i="14" a="1"/>
  <c r="D755" i="14" a="1"/>
  <c r="D754" i="14" a="1"/>
  <c r="D753" i="14" a="1"/>
  <c r="D752" i="14" a="1"/>
  <c r="D751" i="14" a="1"/>
  <c r="D750" i="14" a="1"/>
  <c r="D749" i="14" a="1"/>
  <c r="D748" i="14" a="1"/>
  <c r="D747" i="14" a="1"/>
  <c r="D746" i="14" a="1"/>
  <c r="D745" i="14" a="1"/>
  <c r="D744" i="14" a="1"/>
  <c r="D743" i="14" a="1"/>
  <c r="D742" i="14" a="1"/>
  <c r="D741" i="14" a="1"/>
  <c r="D740" i="14" a="1"/>
  <c r="D739" i="14" a="1"/>
  <c r="D738" i="14" a="1"/>
  <c r="D737" i="14" a="1"/>
  <c r="D736" i="14" a="1"/>
  <c r="D735" i="14" a="1"/>
  <c r="D734" i="14" a="1"/>
  <c r="D733" i="14" a="1"/>
  <c r="D732" i="14" a="1"/>
  <c r="D731" i="14" a="1"/>
  <c r="D730" i="14" a="1"/>
  <c r="D729" i="14" a="1"/>
  <c r="D728" i="14" a="1"/>
  <c r="D727" i="14" a="1"/>
  <c r="D726" i="14" a="1"/>
  <c r="D725" i="14" a="1"/>
  <c r="D724" i="14" a="1"/>
  <c r="D723" i="14" a="1"/>
  <c r="D722" i="14" a="1"/>
  <c r="D721" i="14" a="1"/>
  <c r="D720" i="14" a="1"/>
  <c r="D719" i="14" a="1"/>
  <c r="D718" i="14" a="1"/>
  <c r="D717" i="14" a="1"/>
  <c r="D716" i="14" a="1"/>
  <c r="D681" i="14" a="1"/>
  <c r="D680" i="14" a="1"/>
  <c r="D679" i="14" a="1"/>
  <c r="D678" i="14" a="1"/>
  <c r="D677" i="14" a="1"/>
  <c r="D676" i="14" a="1"/>
  <c r="D675" i="14" a="1"/>
  <c r="D674" i="14" a="1"/>
  <c r="D673" i="14" a="1"/>
  <c r="D672" i="14" a="1"/>
  <c r="D671" i="14" a="1"/>
  <c r="D670" i="14" a="1"/>
  <c r="D669" i="14" a="1"/>
  <c r="D668" i="14" a="1"/>
  <c r="D667" i="14" a="1"/>
  <c r="D666" i="14" a="1"/>
  <c r="D665" i="14" a="1"/>
  <c r="D664" i="14" a="1"/>
  <c r="D663" i="14" a="1"/>
  <c r="D662" i="14" a="1"/>
  <c r="D661" i="14" a="1"/>
  <c r="D660" i="14" a="1"/>
  <c r="D659" i="14" a="1"/>
  <c r="D658" i="14" a="1"/>
  <c r="D657" i="14" a="1"/>
  <c r="D656" i="14" a="1"/>
  <c r="D655" i="14" a="1"/>
  <c r="D648" i="14" a="1"/>
  <c r="D647" i="14" a="1"/>
  <c r="D646" i="14" a="1"/>
  <c r="D645" i="14" a="1"/>
  <c r="D644" i="14" a="1"/>
  <c r="D643" i="14" a="1"/>
  <c r="D642" i="14" a="1"/>
  <c r="D641" i="14" a="1"/>
  <c r="D640" i="14" a="1"/>
  <c r="D639" i="14" a="1"/>
  <c r="D638" i="14" a="1"/>
  <c r="D637" i="14" a="1"/>
  <c r="D636" i="14" a="1"/>
  <c r="D635" i="14" a="1"/>
  <c r="D615" i="14" a="1"/>
  <c r="D614" i="14" a="1"/>
  <c r="D613" i="14" a="1"/>
  <c r="D612" i="14" a="1"/>
  <c r="D611" i="14" a="1"/>
  <c r="D610" i="14" a="1"/>
  <c r="D609" i="14" a="1"/>
  <c r="D608" i="14" a="1"/>
  <c r="D607" i="14" a="1"/>
  <c r="D606" i="14" a="1"/>
  <c r="D605" i="14" a="1"/>
  <c r="D604" i="14" a="1"/>
  <c r="D603" i="14" a="1"/>
  <c r="D602" i="14" a="1"/>
  <c r="D601" i="14" a="1"/>
  <c r="D600" i="14" a="1"/>
  <c r="D599" i="14" a="1"/>
  <c r="D598" i="14" a="1"/>
  <c r="D597" i="14" a="1"/>
  <c r="D596" i="14" a="1"/>
  <c r="D595" i="14" a="1"/>
  <c r="D594" i="14" a="1"/>
  <c r="D593" i="14" a="1"/>
  <c r="D592" i="14" a="1"/>
  <c r="D588" i="14" a="1"/>
  <c r="D587" i="14" a="1"/>
  <c r="D586" i="14" a="1"/>
  <c r="D585" i="14" a="1"/>
  <c r="D584" i="14" a="1"/>
  <c r="D583" i="14" a="1"/>
  <c r="D582" i="14" a="1"/>
  <c r="D581" i="14" a="1"/>
  <c r="D580" i="14" a="1"/>
  <c r="D579" i="14" a="1"/>
  <c r="D578" i="14" a="1"/>
  <c r="D577" i="14" a="1"/>
  <c r="D576" i="14" a="1"/>
  <c r="D575" i="14" a="1"/>
  <c r="D574" i="14" a="1"/>
  <c r="D573" i="14" a="1"/>
  <c r="D572" i="14" a="1"/>
  <c r="E572" i="14" s="1"/>
  <c r="E573" i="14" s="1"/>
  <c r="D571" i="14" a="1"/>
  <c r="D570" i="14" a="1"/>
  <c r="E570" i="14" s="1"/>
  <c r="E571" i="14" s="1"/>
  <c r="E962" i="14" s="1"/>
  <c r="D569" i="14" a="1"/>
  <c r="D568" i="14" a="1"/>
  <c r="E568" i="14" s="1"/>
  <c r="D567" i="14" a="1"/>
  <c r="D566" i="14" a="1"/>
  <c r="D565" i="14" a="1"/>
  <c r="D564" i="14" a="1"/>
  <c r="D563" i="14" a="1"/>
  <c r="D562" i="14" a="1"/>
  <c r="D561" i="14" a="1"/>
  <c r="D560" i="14" a="1"/>
  <c r="D559" i="14" a="1"/>
  <c r="D558" i="14" a="1"/>
  <c r="D542" i="14" a="1"/>
  <c r="D541" i="14" a="1"/>
  <c r="D540" i="14" a="1"/>
  <c r="D539" i="14" a="1"/>
  <c r="D538" i="14" a="1"/>
  <c r="D537" i="14" a="1"/>
  <c r="D536" i="14" a="1"/>
  <c r="D535" i="14" a="1"/>
  <c r="D534" i="14" a="1"/>
  <c r="D533" i="14" a="1"/>
  <c r="D532" i="14" a="1"/>
  <c r="D531" i="14" a="1"/>
  <c r="D530" i="14" a="1"/>
  <c r="D529" i="14" a="1"/>
  <c r="D528" i="14" a="1"/>
  <c r="D527" i="14" a="1"/>
  <c r="D526" i="14" a="1"/>
  <c r="D525" i="14" a="1"/>
  <c r="D524" i="14" a="1"/>
  <c r="D523" i="14" a="1"/>
  <c r="D522" i="14" a="1"/>
  <c r="D521" i="14" a="1"/>
  <c r="D520" i="14" a="1"/>
  <c r="D519" i="14" a="1"/>
  <c r="D518" i="14" a="1"/>
  <c r="D517" i="14" a="1"/>
  <c r="D516" i="14" a="1"/>
  <c r="D515" i="14" a="1"/>
  <c r="D514" i="14" a="1"/>
  <c r="D513" i="14" a="1"/>
  <c r="D512" i="14" a="1"/>
  <c r="D511" i="14" a="1"/>
  <c r="D510" i="14" a="1"/>
  <c r="D509" i="14" a="1"/>
  <c r="D508" i="14" a="1"/>
  <c r="D507" i="14" a="1"/>
  <c r="D506" i="14" a="1"/>
  <c r="D505" i="14" a="1"/>
  <c r="D504" i="14" a="1"/>
  <c r="D503" i="14" a="1"/>
  <c r="D502" i="14" a="1"/>
  <c r="D501" i="14" a="1"/>
  <c r="D500" i="14" a="1"/>
  <c r="D499" i="14" a="1"/>
  <c r="D498" i="14" a="1"/>
  <c r="D497" i="14" a="1"/>
  <c r="D496" i="14" a="1"/>
  <c r="D495" i="14" a="1"/>
  <c r="D494" i="14" a="1"/>
  <c r="D493" i="14" a="1"/>
  <c r="D492" i="14" a="1"/>
  <c r="D491" i="14" a="1"/>
  <c r="D433" i="14" a="1"/>
  <c r="D432" i="14" a="1"/>
  <c r="D431" i="14" a="1"/>
  <c r="D430" i="14" a="1"/>
  <c r="D429" i="14" a="1"/>
  <c r="D428" i="14" a="1"/>
  <c r="D427" i="14" a="1"/>
  <c r="D426" i="14" a="1"/>
  <c r="D425" i="14" a="1"/>
  <c r="D424" i="14" a="1"/>
  <c r="D423" i="14" a="1"/>
  <c r="D422" i="14" a="1"/>
  <c r="D421" i="14" a="1"/>
  <c r="D420" i="14" a="1"/>
  <c r="D419" i="14" a="1"/>
  <c r="D418" i="14" a="1"/>
  <c r="D410" i="14" a="1"/>
  <c r="D409" i="14" a="1"/>
  <c r="D408" i="14" a="1"/>
  <c r="D407" i="14" a="1"/>
  <c r="D406" i="14" a="1"/>
  <c r="D405" i="14" a="1"/>
  <c r="D404" i="14" a="1"/>
  <c r="D403" i="14" a="1"/>
  <c r="D402" i="14" a="1"/>
  <c r="D401" i="14" a="1"/>
  <c r="D400" i="14" a="1"/>
  <c r="D399" i="14" a="1"/>
  <c r="D398" i="14" a="1"/>
  <c r="D397" i="14" a="1"/>
  <c r="D396" i="14" a="1"/>
  <c r="D395" i="14" a="1"/>
  <c r="D394" i="14" a="1"/>
  <c r="D393" i="14" a="1"/>
  <c r="D392" i="14" a="1"/>
  <c r="D391" i="14" a="1"/>
  <c r="D390" i="14" a="1"/>
  <c r="D389" i="14" a="1"/>
  <c r="D388" i="14" a="1"/>
  <c r="D387" i="14" a="1"/>
  <c r="D386" i="14" a="1"/>
  <c r="D385" i="14" a="1"/>
  <c r="D384" i="14" a="1"/>
  <c r="D383" i="14" a="1"/>
  <c r="D382" i="14" a="1"/>
  <c r="D381" i="14" a="1"/>
  <c r="D380" i="14" a="1"/>
  <c r="D379" i="14" a="1"/>
  <c r="D378" i="14" a="1"/>
  <c r="D377" i="14" a="1"/>
  <c r="D376" i="14" a="1"/>
  <c r="D375" i="14" a="1"/>
  <c r="D374" i="14" a="1"/>
  <c r="D373" i="14" a="1"/>
  <c r="D372" i="14" a="1"/>
  <c r="D371" i="14" a="1"/>
  <c r="D370" i="14" a="1"/>
  <c r="D369" i="14" a="1"/>
  <c r="D368" i="14" a="1"/>
  <c r="D367" i="14" a="1"/>
  <c r="D366" i="14" a="1"/>
  <c r="D365" i="14" a="1"/>
  <c r="D364" i="14" a="1"/>
  <c r="D363" i="14" a="1"/>
  <c r="D362" i="14" a="1"/>
  <c r="D361" i="14" a="1"/>
  <c r="D360" i="14" a="1"/>
  <c r="D359" i="14" a="1"/>
  <c r="D358" i="14" a="1"/>
  <c r="D357" i="14" a="1"/>
  <c r="D356" i="14" a="1"/>
  <c r="D355" i="14" a="1"/>
  <c r="D354" i="14" a="1"/>
  <c r="D353" i="14" a="1"/>
  <c r="D352" i="14" a="1"/>
  <c r="D351" i="14" a="1"/>
  <c r="D350" i="14" a="1"/>
  <c r="D349" i="14" a="1"/>
  <c r="D304" i="14" a="1"/>
  <c r="D303" i="14" a="1"/>
  <c r="D302" i="14" a="1"/>
  <c r="D301" i="14" a="1"/>
  <c r="D300" i="14" a="1"/>
  <c r="D299" i="14" a="1"/>
  <c r="D298" i="14" a="1"/>
  <c r="D297" i="14" a="1"/>
  <c r="D296" i="14" a="1"/>
  <c r="D295" i="14" a="1"/>
  <c r="D294" i="14" a="1"/>
  <c r="D293" i="14" a="1"/>
  <c r="D292" i="14" a="1"/>
  <c r="D291" i="14" a="1"/>
  <c r="D290" i="14" a="1"/>
  <c r="D289" i="14" a="1"/>
  <c r="D288" i="14" a="1"/>
  <c r="D287" i="14" a="1"/>
  <c r="D286" i="14" a="1"/>
  <c r="D285" i="14" a="1"/>
  <c r="D284" i="14" a="1"/>
  <c r="D283" i="14" a="1"/>
  <c r="D282" i="14" a="1"/>
  <c r="D281" i="14" a="1"/>
  <c r="D280" i="14" a="1"/>
  <c r="D279" i="14" a="1"/>
  <c r="D278" i="14" a="1"/>
  <c r="D277" i="14" a="1"/>
  <c r="D276" i="14" a="1"/>
  <c r="D275" i="14" a="1"/>
  <c r="D274" i="14" a="1"/>
  <c r="D273" i="14" a="1"/>
  <c r="D272" i="14" a="1"/>
  <c r="D271" i="14" a="1"/>
  <c r="D270" i="14" a="1"/>
  <c r="D269" i="14" a="1"/>
  <c r="D268" i="14" a="1"/>
  <c r="D267" i="14" a="1"/>
  <c r="D266" i="14" a="1"/>
  <c r="D265" i="14" a="1"/>
  <c r="D264" i="14" a="1"/>
  <c r="D263" i="14" a="1"/>
  <c r="D262" i="14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D135" i="14" a="1"/>
  <c r="D134" i="14" a="1"/>
  <c r="D133" i="14" a="1"/>
  <c r="D132" i="14" a="1"/>
  <c r="D131" i="14" a="1"/>
  <c r="D130" i="14" a="1"/>
  <c r="D129" i="14" a="1"/>
  <c r="D128" i="14" a="1"/>
  <c r="D127" i="14" a="1"/>
  <c r="D126" i="14" a="1"/>
  <c r="D125" i="14" a="1"/>
  <c r="D124" i="14" a="1"/>
  <c r="D123" i="14" a="1"/>
  <c r="D122" i="14" a="1"/>
  <c r="D121" i="14" a="1"/>
  <c r="D120" i="14" a="1"/>
  <c r="D17" i="14" a="1"/>
  <c r="D16" i="14" a="1"/>
  <c r="D15" i="14" a="1"/>
  <c r="D14" i="14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B468" i="24" a="1"/>
  <c r="D467" i="24"/>
  <c r="L467" i="14" s="1"/>
  <c r="B467" i="24" a="1"/>
  <c r="C466" i="24"/>
  <c r="D465" i="24"/>
  <c r="L465" i="14" s="1"/>
  <c r="B465" i="24" a="1"/>
  <c r="D464" i="24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D933" i="14" a="1"/>
  <c r="D932" i="14" a="1"/>
  <c r="D931" i="14" a="1"/>
  <c r="D930" i="14" a="1"/>
  <c r="D929" i="14" a="1"/>
  <c r="D928" i="14" a="1"/>
  <c r="D927" i="14" a="1"/>
  <c r="D926" i="14" a="1"/>
  <c r="D925" i="14" a="1"/>
  <c r="D924" i="14" a="1"/>
  <c r="D923" i="14" a="1"/>
  <c r="D922" i="14" a="1"/>
  <c r="D921" i="14" a="1"/>
  <c r="D825" i="14" a="1"/>
  <c r="D824" i="14" a="1"/>
  <c r="D823" i="14" a="1"/>
  <c r="D822" i="14" a="1"/>
  <c r="E822" i="14" s="1"/>
  <c r="D821" i="14" a="1"/>
  <c r="D820" i="14" a="1"/>
  <c r="D819" i="14" a="1"/>
  <c r="D818" i="14" a="1"/>
  <c r="D817" i="14" a="1"/>
  <c r="D816" i="14" a="1"/>
  <c r="D815" i="14" a="1"/>
  <c r="D814" i="14" a="1"/>
  <c r="D813" i="14" a="1"/>
  <c r="D812" i="14" a="1"/>
  <c r="D811" i="14" a="1"/>
  <c r="D810" i="14" a="1"/>
  <c r="D809" i="14" a="1"/>
  <c r="D808" i="14" a="1"/>
  <c r="D709" i="14" a="1"/>
  <c r="D708" i="14" a="1"/>
  <c r="D707" i="14" a="1"/>
  <c r="D706" i="14" a="1"/>
  <c r="D705" i="14" a="1"/>
  <c r="D704" i="14" a="1"/>
  <c r="D703" i="14" a="1"/>
  <c r="D702" i="14" a="1"/>
  <c r="D701" i="14" a="1"/>
  <c r="D700" i="14" a="1"/>
  <c r="D699" i="14" a="1"/>
  <c r="D698" i="14" a="1"/>
  <c r="D591" i="14" a="1"/>
  <c r="D590" i="14" a="1"/>
  <c r="D589" i="14" a="1"/>
  <c r="D460" i="14" a="1"/>
  <c r="D459" i="14" a="1"/>
  <c r="D458" i="14" a="1"/>
  <c r="D457" i="14" a="1"/>
  <c r="D456" i="14" a="1"/>
  <c r="D455" i="14" a="1"/>
  <c r="D454" i="14" a="1"/>
  <c r="D453" i="14" a="1"/>
  <c r="D452" i="14" a="1"/>
  <c r="D451" i="14" a="1"/>
  <c r="D450" i="14" a="1"/>
  <c r="D449" i="14" a="1"/>
  <c r="D448" i="14" a="1"/>
  <c r="D447" i="14" a="1"/>
  <c r="D446" i="14" a="1"/>
  <c r="D445" i="14" a="1"/>
  <c r="D444" i="14" a="1"/>
  <c r="D443" i="14" a="1"/>
  <c r="D442" i="14" a="1"/>
  <c r="D441" i="14" a="1"/>
  <c r="D440" i="14" a="1"/>
  <c r="D439" i="14" a="1"/>
  <c r="D438" i="14" a="1"/>
  <c r="D437" i="14" a="1"/>
  <c r="D436" i="14" a="1"/>
  <c r="D435" i="14" a="1"/>
  <c r="D434" i="14" a="1"/>
  <c r="D348" i="14" a="1"/>
  <c r="D347" i="14" a="1"/>
  <c r="D346" i="14" a="1"/>
  <c r="D345" i="14" a="1"/>
  <c r="D344" i="14" a="1"/>
  <c r="D343" i="14" a="1"/>
  <c r="D342" i="14" a="1"/>
  <c r="D341" i="14" a="1"/>
  <c r="D340" i="14" a="1"/>
  <c r="D339" i="14" a="1"/>
  <c r="D338" i="14" a="1"/>
  <c r="D337" i="14" a="1"/>
  <c r="D336" i="14" a="1"/>
  <c r="D335" i="14" a="1"/>
  <c r="D334" i="14" a="1"/>
  <c r="D333" i="14" a="1"/>
  <c r="D332" i="14" a="1"/>
  <c r="D331" i="14" a="1"/>
  <c r="D330" i="14" a="1"/>
  <c r="D329" i="14" a="1"/>
  <c r="D328" i="14" a="1"/>
  <c r="D327" i="14" a="1"/>
  <c r="D326" i="14" a="1"/>
  <c r="D325" i="14" a="1"/>
  <c r="D324" i="14" a="1"/>
  <c r="D323" i="14" a="1"/>
  <c r="D322" i="14" a="1"/>
  <c r="D321" i="14" a="1"/>
  <c r="D320" i="14" a="1"/>
  <c r="D319" i="14" a="1"/>
  <c r="D318" i="14" a="1"/>
  <c r="D317" i="14" a="1"/>
  <c r="D316" i="14" a="1"/>
  <c r="D315" i="14" a="1"/>
  <c r="D314" i="14" a="1"/>
  <c r="D313" i="14" a="1"/>
  <c r="D312" i="14" a="1"/>
  <c r="D311" i="14" a="1"/>
  <c r="D310" i="14" a="1"/>
  <c r="D309" i="14" a="1"/>
  <c r="D308" i="14" a="1"/>
  <c r="D307" i="14" a="1"/>
  <c r="D306" i="14" a="1"/>
  <c r="D305" i="14" a="1"/>
  <c r="D237" i="14" a="1"/>
  <c r="D236" i="14" a="1"/>
  <c r="D235" i="14" a="1"/>
  <c r="D234" i="14" a="1"/>
  <c r="D233" i="14" a="1"/>
  <c r="D232" i="14" a="1"/>
  <c r="D231" i="14" a="1"/>
  <c r="D230" i="14" a="1"/>
  <c r="D229" i="14" a="1"/>
  <c r="D228" i="14" a="1"/>
  <c r="D227" i="14" a="1"/>
  <c r="D226" i="14" a="1"/>
  <c r="D225" i="14" a="1"/>
  <c r="D224" i="14" a="1"/>
  <c r="D223" i="14" a="1"/>
  <c r="D222" i="14" a="1"/>
  <c r="D221" i="14" a="1"/>
  <c r="D220" i="14" a="1"/>
  <c r="D219" i="14" a="1"/>
  <c r="D218" i="14" a="1"/>
  <c r="D217" i="14" a="1"/>
  <c r="D216" i="14" a="1"/>
  <c r="D215" i="14" a="1"/>
  <c r="D214" i="14" a="1"/>
  <c r="D213" i="14" a="1"/>
  <c r="D212" i="14" a="1"/>
  <c r="D211" i="14" a="1"/>
  <c r="D210" i="14" a="1"/>
  <c r="D209" i="14" a="1"/>
  <c r="D208" i="14" a="1"/>
  <c r="D207" i="14" a="1"/>
  <c r="D206" i="14" a="1"/>
  <c r="D205" i="14" a="1"/>
  <c r="D204" i="14" a="1"/>
  <c r="D203" i="14" a="1"/>
  <c r="D202" i="14" a="1"/>
  <c r="D201" i="14" a="1"/>
  <c r="D200" i="14" a="1"/>
  <c r="D199" i="14" a="1"/>
  <c r="D198" i="14" a="1"/>
  <c r="D197" i="14" a="1"/>
  <c r="D196" i="14" a="1"/>
  <c r="D195" i="14" a="1"/>
  <c r="D194" i="14" a="1"/>
  <c r="D193" i="14" a="1"/>
  <c r="D192" i="14" a="1"/>
  <c r="D191" i="14" a="1"/>
  <c r="D190" i="14" a="1"/>
  <c r="D189" i="14" a="1"/>
  <c r="D188" i="14" a="1"/>
  <c r="D187" i="14" a="1"/>
  <c r="D186" i="14" a="1"/>
  <c r="D185" i="14" a="1"/>
  <c r="D184" i="14" a="1"/>
  <c r="D183" i="14" a="1"/>
  <c r="D182" i="14" a="1"/>
  <c r="D181" i="14" a="1"/>
  <c r="D180" i="14" a="1"/>
  <c r="D179" i="14" a="1"/>
  <c r="D178" i="14" a="1"/>
  <c r="D177" i="14" a="1"/>
  <c r="D176" i="14" a="1"/>
  <c r="D175" i="14" a="1"/>
  <c r="D174" i="14" a="1"/>
  <c r="D173" i="14" a="1"/>
  <c r="D172" i="14" a="1"/>
  <c r="D171" i="14" a="1"/>
  <c r="D170" i="14" a="1"/>
  <c r="D169" i="14" a="1"/>
  <c r="D119" i="14" a="1"/>
  <c r="D118" i="14" a="1"/>
  <c r="D117" i="14" a="1"/>
  <c r="D116" i="14" a="1"/>
  <c r="D115" i="14" a="1"/>
  <c r="D114" i="14" a="1"/>
  <c r="D113" i="14" a="1"/>
  <c r="D112" i="14" a="1"/>
  <c r="D111" i="14" a="1"/>
  <c r="D110" i="14" a="1"/>
  <c r="D109" i="14" a="1"/>
  <c r="D108" i="14" a="1"/>
  <c r="D107" i="14" a="1"/>
  <c r="D106" i="14" a="1"/>
  <c r="D105" i="14" a="1"/>
  <c r="D104" i="14" a="1"/>
  <c r="D103" i="14" a="1"/>
  <c r="D102" i="14" a="1"/>
  <c r="D101" i="14" a="1"/>
  <c r="D100" i="14" a="1"/>
  <c r="D99" i="14" a="1"/>
  <c r="D98" i="14" a="1"/>
  <c r="D97" i="14" a="1"/>
  <c r="D96" i="14" a="1"/>
  <c r="D95" i="14" a="1"/>
  <c r="D94" i="14" a="1"/>
  <c r="D93" i="14" a="1"/>
  <c r="D92" i="14" a="1"/>
  <c r="D91" i="14" a="1"/>
  <c r="D90" i="14" a="1"/>
  <c r="D89" i="14" a="1"/>
  <c r="D88" i="14" a="1"/>
  <c r="D87" i="14" a="1"/>
  <c r="D86" i="14" a="1"/>
  <c r="D85" i="14" a="1"/>
  <c r="D84" i="14" a="1"/>
  <c r="D83" i="14" a="1"/>
  <c r="D82" i="14" a="1"/>
  <c r="D81" i="14" a="1"/>
  <c r="D80" i="14" a="1"/>
  <c r="D79" i="14" a="1"/>
  <c r="D78" i="14" a="1"/>
  <c r="D77" i="14" a="1"/>
  <c r="D76" i="14" a="1"/>
  <c r="D75" i="14" a="1"/>
  <c r="D74" i="14" a="1"/>
  <c r="D73" i="14" a="1"/>
  <c r="D72" i="14" a="1"/>
  <c r="D71" i="14" a="1"/>
  <c r="D70" i="14" a="1"/>
  <c r="D69" i="14" a="1"/>
  <c r="D68" i="14" a="1"/>
  <c r="D67" i="14" a="1"/>
  <c r="D66" i="14" a="1"/>
  <c r="D65" i="14" a="1"/>
  <c r="D64" i="14" a="1"/>
  <c r="D63" i="14" a="1"/>
  <c r="D62" i="14" a="1"/>
  <c r="D61" i="14" a="1"/>
  <c r="D60" i="14" a="1"/>
  <c r="D59" i="14" a="1"/>
  <c r="D58" i="14" a="1"/>
  <c r="D57" i="14" a="1"/>
  <c r="D56" i="14" a="1"/>
  <c r="D55" i="14" a="1"/>
  <c r="D54" i="14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E1018" i="14" l="1"/>
  <c r="L1018" i="14"/>
  <c r="L1051" i="14"/>
  <c r="G1058" i="24"/>
  <c r="H1058" i="24"/>
  <c r="I1058" i="24"/>
  <c r="J1058" i="24"/>
  <c r="K1058" i="24"/>
  <c r="L1058" i="24"/>
  <c r="M1058" i="24"/>
  <c r="N1058" i="24"/>
  <c r="O1058" i="24"/>
  <c r="E1030" i="24"/>
  <c r="C1030" i="14" a="1"/>
  <c r="G1057" i="24"/>
  <c r="H1057" i="24"/>
  <c r="I1057" i="24"/>
  <c r="J1057" i="24"/>
  <c r="K1057" i="24"/>
  <c r="L1057" i="24"/>
  <c r="M1057" i="24"/>
  <c r="N1057" i="24"/>
  <c r="O1057" i="24"/>
  <c r="L1032" i="1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L625" i="1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L468" i="14"/>
  <c r="E894" i="14"/>
  <c r="H1050" i="24"/>
  <c r="J1050" i="24"/>
  <c r="L1050" i="24"/>
  <c r="O1050" i="24"/>
  <c r="G1050" i="24"/>
  <c r="I1050" i="24"/>
  <c r="K1050" i="24"/>
  <c r="M1050" i="24"/>
  <c r="N1050" i="24"/>
  <c r="G1051" i="24"/>
  <c r="H1051" i="24"/>
  <c r="I1051" i="24"/>
  <c r="J1051" i="24"/>
  <c r="K1051" i="24"/>
  <c r="L1051" i="24"/>
  <c r="M1051" i="24"/>
  <c r="N1051" i="24"/>
  <c r="O1051" i="24"/>
  <c r="L464" i="14"/>
  <c r="E803" i="14"/>
  <c r="L1046" i="14"/>
  <c r="E1029" i="14"/>
  <c r="C1029" i="14" a="1"/>
  <c r="E797" i="14"/>
  <c r="E798" i="14" s="1"/>
  <c r="E808" i="14"/>
  <c r="E806" i="14"/>
  <c r="E823" i="14"/>
  <c r="E574" i="14"/>
  <c r="E575" i="14" s="1"/>
  <c r="E796" i="14"/>
  <c r="E816" i="14"/>
  <c r="E817" i="14" s="1"/>
  <c r="E992" i="14"/>
  <c r="E1002" i="14" s="1"/>
  <c r="E583" i="24"/>
  <c r="E624" i="24"/>
  <c r="E1017" i="24"/>
  <c r="E423" i="24"/>
  <c r="E424" i="24"/>
  <c r="N1049" i="24"/>
  <c r="G1049" i="24"/>
  <c r="I1049" i="24"/>
  <c r="K1049" i="24"/>
  <c r="J1049" i="24"/>
  <c r="L1049" i="24"/>
  <c r="M1049" i="24"/>
  <c r="O1049" i="24"/>
  <c r="H1049" i="24"/>
  <c r="E842" i="24"/>
  <c r="E427" i="24"/>
  <c r="E873" i="24"/>
  <c r="E1015" i="24"/>
  <c r="E1013" i="24"/>
  <c r="E54" i="24"/>
  <c r="AL1010" i="17"/>
  <c r="AN1010" i="17" s="1"/>
  <c r="AM1010" i="17"/>
  <c r="E1029" i="24"/>
  <c r="AL1029" i="17"/>
  <c r="AN1029" i="17" s="1"/>
  <c r="AM1029" i="17"/>
  <c r="E1005" i="24"/>
  <c r="E632" i="24"/>
  <c r="E627" i="24"/>
  <c r="E622" i="24"/>
  <c r="E619" i="24"/>
  <c r="E631" i="24"/>
  <c r="E618" i="24"/>
  <c r="E634" i="24"/>
  <c r="E630" i="24"/>
  <c r="E625" i="24"/>
  <c r="E629" i="24"/>
  <c r="E849" i="24"/>
  <c r="E767" i="24"/>
  <c r="E616" i="24"/>
  <c r="E570" i="24"/>
  <c r="E504" i="24"/>
  <c r="E498" i="24"/>
  <c r="E497" i="24"/>
  <c r="E490" i="24"/>
  <c r="E10" i="24"/>
  <c r="E473" i="24"/>
  <c r="E140" i="24"/>
  <c r="E139" i="24"/>
  <c r="E138" i="24"/>
  <c r="E137" i="24"/>
  <c r="E129" i="24"/>
  <c r="E122" i="24"/>
  <c r="E17" i="24"/>
  <c r="E16" i="24"/>
  <c r="E1036" i="24"/>
  <c r="E791" i="24"/>
  <c r="E910" i="24"/>
  <c r="E488" i="24"/>
  <c r="E414" i="24"/>
  <c r="E6" i="24"/>
  <c r="E485" i="24"/>
  <c r="E487" i="24"/>
  <c r="E484" i="24"/>
  <c r="E477" i="24"/>
  <c r="E895" i="24"/>
  <c r="E894" i="24"/>
  <c r="E892" i="24"/>
  <c r="E888" i="24"/>
  <c r="E12" i="24"/>
  <c r="E167" i="24"/>
  <c r="E802" i="24"/>
  <c r="E801" i="24"/>
  <c r="E800" i="24"/>
  <c r="E799" i="24"/>
  <c r="E759" i="24"/>
  <c r="E756" i="24"/>
  <c r="E569" i="24"/>
  <c r="E568" i="24"/>
  <c r="E503" i="24"/>
  <c r="E502" i="24"/>
  <c r="E496" i="24"/>
  <c r="E260" i="24"/>
  <c r="E259" i="24"/>
  <c r="E143" i="24"/>
  <c r="E142" i="24"/>
  <c r="E134" i="24"/>
  <c r="E132" i="24"/>
  <c r="E130" i="24"/>
  <c r="E125" i="24"/>
  <c r="E95" i="24"/>
  <c r="E315" i="24"/>
  <c r="E206" i="24"/>
  <c r="E211" i="24"/>
  <c r="E96" i="24"/>
  <c r="E229" i="24"/>
  <c r="E339" i="24"/>
  <c r="E336" i="24"/>
  <c r="E316" i="24"/>
  <c r="E232" i="24"/>
  <c r="E218" i="24"/>
  <c r="E203" i="24"/>
  <c r="E77" i="24"/>
  <c r="E219" i="24"/>
  <c r="E89" i="24"/>
  <c r="E220" i="24"/>
  <c r="E170" i="24"/>
  <c r="E118" i="24"/>
  <c r="E117" i="24"/>
  <c r="E112" i="24"/>
  <c r="E111" i="24"/>
  <c r="E110" i="24"/>
  <c r="E107" i="24"/>
  <c r="E103" i="24"/>
  <c r="E1003" i="24"/>
  <c r="E939" i="24"/>
  <c r="E792" i="24"/>
  <c r="E937" i="24"/>
  <c r="E936" i="24"/>
  <c r="E987" i="24"/>
  <c r="E983" i="24"/>
  <c r="E918" i="24"/>
  <c r="E33" i="24"/>
  <c r="E27" i="24"/>
  <c r="E911" i="24"/>
  <c r="E252" i="24"/>
  <c r="E249" i="24"/>
  <c r="E248" i="24"/>
  <c r="E247" i="24"/>
  <c r="E165" i="24"/>
  <c r="E156" i="24"/>
  <c r="E149" i="24"/>
  <c r="E147" i="24"/>
  <c r="E146" i="24"/>
  <c r="E145" i="24"/>
  <c r="E144" i="24"/>
  <c r="E47" i="24"/>
  <c r="E41" i="24"/>
  <c r="E4" i="24"/>
  <c r="E798" i="24"/>
  <c r="E797" i="24"/>
  <c r="E796" i="24"/>
  <c r="E795" i="24"/>
  <c r="E766" i="24"/>
  <c r="E765" i="24"/>
  <c r="E758" i="24"/>
  <c r="E757" i="24"/>
  <c r="E563" i="24"/>
  <c r="E539" i="24"/>
  <c r="E538" i="24"/>
  <c r="E425" i="24"/>
  <c r="E295" i="24"/>
  <c r="E294" i="24"/>
  <c r="E290" i="24"/>
  <c r="E289" i="24"/>
  <c r="E286" i="24"/>
  <c r="E285" i="24"/>
  <c r="E283" i="24"/>
  <c r="E282" i="24"/>
  <c r="E276" i="24"/>
  <c r="E275" i="24"/>
  <c r="E274" i="24"/>
  <c r="E272" i="24"/>
  <c r="E271" i="24"/>
  <c r="E270" i="24"/>
  <c r="E269" i="24"/>
  <c r="E268" i="24"/>
  <c r="E267" i="24"/>
  <c r="E266" i="24"/>
  <c r="E261" i="24"/>
  <c r="E141" i="24"/>
  <c r="E314" i="24"/>
  <c r="E326" i="24"/>
  <c r="E235" i="24"/>
  <c r="E435" i="24"/>
  <c r="E320" i="24"/>
  <c r="E590" i="24"/>
  <c r="E457" i="24"/>
  <c r="E448" i="24"/>
  <c r="E591" i="24"/>
  <c r="E931" i="24"/>
  <c r="E929" i="24"/>
  <c r="E813" i="24"/>
  <c r="E932" i="24"/>
  <c r="E930" i="24"/>
  <c r="E589" i="24"/>
  <c r="E224" i="24"/>
  <c r="E922" i="24"/>
  <c r="E823" i="24"/>
  <c r="E822" i="24"/>
  <c r="E821" i="24"/>
  <c r="E441" i="24"/>
  <c r="E200" i="24"/>
  <c r="E198" i="24"/>
  <c r="E196" i="24"/>
  <c r="E1010" i="24"/>
  <c r="C1010" i="14" a="1"/>
  <c r="AL1038" i="17"/>
  <c r="AN1038" i="17" s="1"/>
  <c r="E1038" i="24"/>
  <c r="C1037" i="14" a="1"/>
  <c r="E1037" i="24"/>
  <c r="C1002" i="14" a="1"/>
  <c r="E1002" i="24"/>
  <c r="C1004" i="14" a="1"/>
  <c r="E1004" i="24"/>
  <c r="C1011" i="14" a="1"/>
  <c r="E1011" i="24"/>
  <c r="AL1035" i="17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E1031" i="24"/>
  <c r="C1031" i="14" a="1"/>
  <c r="E1032" i="24"/>
  <c r="C1032" i="14" a="1"/>
  <c r="E1035" i="24"/>
  <c r="C1035" i="14" a="1"/>
  <c r="AM1038" i="17"/>
  <c r="C1038" i="14" a="1"/>
  <c r="AM1037" i="17"/>
  <c r="AL1037" i="17"/>
  <c r="AN1037" i="17" s="1"/>
  <c r="C1033" i="14" a="1"/>
  <c r="E1033" i="24"/>
  <c r="C994" i="14" a="1"/>
  <c r="E994" i="24"/>
  <c r="E1034" i="24"/>
  <c r="C1034" i="14" a="1"/>
  <c r="AL1026" i="17"/>
  <c r="AN1026" i="17" s="1"/>
  <c r="AM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E1028" i="24"/>
  <c r="C1026" i="14" a="1"/>
  <c r="E1026" i="24"/>
  <c r="H1043" i="24"/>
  <c r="J1043" i="24"/>
  <c r="K1043" i="24"/>
  <c r="L1043" i="24"/>
  <c r="N1043" i="24"/>
  <c r="O1043" i="24"/>
  <c r="G1043" i="24"/>
  <c r="I1043" i="24"/>
  <c r="M1043" i="24"/>
  <c r="AL1028" i="17"/>
  <c r="AN1028" i="17" s="1"/>
  <c r="AM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E1027" i="24"/>
  <c r="C1027" i="14" a="1"/>
  <c r="AL1027" i="17"/>
  <c r="AN1027" i="17" s="1"/>
  <c r="AM1027" i="17"/>
  <c r="L1035" i="14"/>
  <c r="L1042" i="14"/>
  <c r="AM1025" i="17"/>
  <c r="AL1025" i="17"/>
  <c r="AN1025" i="17" s="1"/>
  <c r="C1025" i="14" a="1"/>
  <c r="E1025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E944" i="24"/>
  <c r="E943" i="24"/>
  <c r="C942" i="14" a="1"/>
  <c r="C941" i="14" a="1"/>
  <c r="C940" i="14" a="1"/>
  <c r="C939" i="14" a="1"/>
  <c r="E989" i="24"/>
  <c r="E988" i="24"/>
  <c r="E986" i="24"/>
  <c r="E985" i="24"/>
  <c r="E984" i="24"/>
  <c r="E982" i="24"/>
  <c r="E981" i="24"/>
  <c r="E980" i="24"/>
  <c r="E979" i="24"/>
  <c r="E978" i="24"/>
  <c r="E970" i="24"/>
  <c r="E969" i="24"/>
  <c r="E968" i="24"/>
  <c r="E916" i="24"/>
  <c r="E915" i="24"/>
  <c r="E914" i="24"/>
  <c r="E913" i="24"/>
  <c r="E912" i="24"/>
  <c r="E999" i="24"/>
  <c r="E1000" i="24"/>
  <c r="E917" i="24"/>
  <c r="E990" i="24"/>
  <c r="E993" i="24"/>
  <c r="E992" i="24"/>
  <c r="E991" i="24"/>
  <c r="E967" i="24"/>
  <c r="E39" i="24"/>
  <c r="E38" i="24"/>
  <c r="E37" i="24"/>
  <c r="E36" i="24"/>
  <c r="E35" i="24"/>
  <c r="E34" i="24"/>
  <c r="E32" i="24"/>
  <c r="E31" i="24"/>
  <c r="E30" i="24"/>
  <c r="E29" i="24"/>
  <c r="E28" i="24"/>
  <c r="E26" i="24"/>
  <c r="E25" i="24"/>
  <c r="E977" i="24"/>
  <c r="E24" i="24"/>
  <c r="E23" i="24"/>
  <c r="E22" i="24"/>
  <c r="E21" i="24"/>
  <c r="E20" i="24"/>
  <c r="E976" i="24"/>
  <c r="E869" i="24"/>
  <c r="E868" i="24"/>
  <c r="E790" i="24"/>
  <c r="E789" i="24"/>
  <c r="E788" i="24"/>
  <c r="E787" i="24"/>
  <c r="E557" i="24"/>
  <c r="E556" i="24"/>
  <c r="E486" i="24"/>
  <c r="E483" i="24"/>
  <c r="E482" i="24"/>
  <c r="E481" i="24"/>
  <c r="E480" i="24"/>
  <c r="E19" i="24"/>
  <c r="E18" i="24"/>
  <c r="E966" i="24"/>
  <c r="E786" i="24"/>
  <c r="E785" i="24"/>
  <c r="E555" i="24"/>
  <c r="E554" i="24"/>
  <c r="E713" i="24"/>
  <c r="E712" i="24"/>
  <c r="E13" i="24"/>
  <c r="E908" i="24"/>
  <c r="E903" i="24"/>
  <c r="E901" i="24"/>
  <c r="E889" i="24"/>
  <c r="E553" i="24"/>
  <c r="E552" i="24"/>
  <c r="E258" i="24"/>
  <c r="E257" i="24"/>
  <c r="E256" i="24"/>
  <c r="E255" i="24"/>
  <c r="E254" i="24"/>
  <c r="E253" i="24"/>
  <c r="E251" i="24"/>
  <c r="E250" i="24"/>
  <c r="E784" i="24"/>
  <c r="E782" i="24"/>
  <c r="E781" i="24"/>
  <c r="E780" i="24"/>
  <c r="E550" i="24"/>
  <c r="E549" i="24"/>
  <c r="E548" i="24"/>
  <c r="E547" i="24"/>
  <c r="E479" i="24"/>
  <c r="E478" i="24"/>
  <c r="E476" i="24"/>
  <c r="E475" i="24"/>
  <c r="E246" i="24"/>
  <c r="E245" i="24"/>
  <c r="E243" i="24"/>
  <c r="E242" i="24"/>
  <c r="E11" i="24"/>
  <c r="E711" i="24"/>
  <c r="E710" i="24"/>
  <c r="E697" i="24"/>
  <c r="E696" i="24"/>
  <c r="E489" i="24"/>
  <c r="E240" i="24"/>
  <c r="E779" i="24"/>
  <c r="E695" i="24"/>
  <c r="E694" i="24"/>
  <c r="E693" i="24"/>
  <c r="E546" i="24"/>
  <c r="E474" i="24"/>
  <c r="E472" i="24"/>
  <c r="E417" i="24"/>
  <c r="E416" i="24"/>
  <c r="E415" i="24"/>
  <c r="E8" i="24"/>
  <c r="E863" i="24"/>
  <c r="E859" i="24"/>
  <c r="E858" i="24"/>
  <c r="E857" i="24"/>
  <c r="E856" i="24"/>
  <c r="E855" i="24"/>
  <c r="E854" i="24"/>
  <c r="E853" i="24"/>
  <c r="E852" i="24"/>
  <c r="E851" i="24"/>
  <c r="E850" i="24"/>
  <c r="E848" i="24"/>
  <c r="E847" i="24"/>
  <c r="E846" i="24"/>
  <c r="E845" i="24"/>
  <c r="E778" i="24"/>
  <c r="E777" i="24"/>
  <c r="E776" i="24"/>
  <c r="E775" i="24"/>
  <c r="E471" i="24"/>
  <c r="E470" i="24"/>
  <c r="E469" i="24"/>
  <c r="E468" i="24"/>
  <c r="E467" i="24"/>
  <c r="E466" i="24"/>
  <c r="E465" i="24"/>
  <c r="E464" i="24"/>
  <c r="E463" i="24"/>
  <c r="E412" i="24"/>
  <c r="E411" i="24"/>
  <c r="E7" i="24"/>
  <c r="E5" i="24"/>
  <c r="E950" i="24"/>
  <c r="E774" i="24"/>
  <c r="E773" i="24"/>
  <c r="E772" i="24"/>
  <c r="E771" i="24"/>
  <c r="E770" i="24"/>
  <c r="E769" i="24"/>
  <c r="E768" i="24"/>
  <c r="E715" i="24"/>
  <c r="E714" i="24"/>
  <c r="E692" i="24"/>
  <c r="E691" i="24"/>
  <c r="E690" i="24"/>
  <c r="E689" i="24"/>
  <c r="E688" i="24"/>
  <c r="E687" i="24"/>
  <c r="E686" i="24"/>
  <c r="E685" i="24"/>
  <c r="E684" i="24"/>
  <c r="E683" i="24"/>
  <c r="E682" i="24"/>
  <c r="E621" i="24"/>
  <c r="E620" i="24"/>
  <c r="E545" i="24"/>
  <c r="E544" i="24"/>
  <c r="E543" i="24"/>
  <c r="E462" i="24"/>
  <c r="E461" i="24"/>
  <c r="E239" i="24"/>
  <c r="E238" i="24"/>
  <c r="E168" i="24"/>
  <c r="E166" i="24"/>
  <c r="E164" i="24"/>
  <c r="E163" i="24"/>
  <c r="E162" i="24"/>
  <c r="E161" i="24"/>
  <c r="E160" i="24"/>
  <c r="E159" i="24"/>
  <c r="E158" i="24"/>
  <c r="E157" i="24"/>
  <c r="E155" i="24"/>
  <c r="E154" i="24"/>
  <c r="E153" i="24"/>
  <c r="E152" i="24"/>
  <c r="E151" i="24"/>
  <c r="E150" i="24"/>
  <c r="E148" i="24"/>
  <c r="E53" i="24"/>
  <c r="E52" i="24"/>
  <c r="E51" i="24"/>
  <c r="E50" i="24"/>
  <c r="E49" i="24"/>
  <c r="E48" i="24"/>
  <c r="E46" i="24"/>
  <c r="E45" i="24"/>
  <c r="E44" i="24"/>
  <c r="E43" i="24"/>
  <c r="E42" i="24"/>
  <c r="E40" i="24"/>
  <c r="E876" i="24"/>
  <c r="E843" i="24"/>
  <c r="E841" i="24"/>
  <c r="E840" i="24"/>
  <c r="E839" i="24"/>
  <c r="E838" i="24"/>
  <c r="E837" i="24"/>
  <c r="E836" i="24"/>
  <c r="E835" i="24"/>
  <c r="E834" i="24"/>
  <c r="E833" i="24"/>
  <c r="E832" i="24"/>
  <c r="E827" i="24"/>
  <c r="E826" i="24"/>
  <c r="E807" i="24"/>
  <c r="E806" i="24"/>
  <c r="E805" i="24"/>
  <c r="E804" i="24"/>
  <c r="E803" i="24"/>
  <c r="E794" i="24"/>
  <c r="E793" i="24"/>
  <c r="E764" i="24"/>
  <c r="E763" i="24"/>
  <c r="E762" i="24"/>
  <c r="E761" i="24"/>
  <c r="E760" i="24"/>
  <c r="E755" i="24"/>
  <c r="E754" i="24"/>
  <c r="E753" i="24"/>
  <c r="E752" i="24"/>
  <c r="E751" i="24"/>
  <c r="E750" i="24"/>
  <c r="E749" i="24"/>
  <c r="E748" i="24"/>
  <c r="E747" i="24"/>
  <c r="E746" i="24"/>
  <c r="E745" i="24"/>
  <c r="E744" i="24"/>
  <c r="E743" i="24"/>
  <c r="E742" i="24"/>
  <c r="E741" i="24"/>
  <c r="E740" i="24"/>
  <c r="E739" i="24"/>
  <c r="E738" i="24"/>
  <c r="E737" i="24"/>
  <c r="E736" i="24"/>
  <c r="E735" i="24"/>
  <c r="E734" i="24"/>
  <c r="E733" i="24"/>
  <c r="E732" i="24"/>
  <c r="E731" i="24"/>
  <c r="E730" i="24"/>
  <c r="E729" i="24"/>
  <c r="E727" i="24"/>
  <c r="E726" i="24"/>
  <c r="E725" i="24"/>
  <c r="E724" i="24"/>
  <c r="E723" i="24"/>
  <c r="E722" i="24"/>
  <c r="E721" i="24"/>
  <c r="E720" i="24"/>
  <c r="E719" i="24"/>
  <c r="E718" i="24"/>
  <c r="E717" i="24"/>
  <c r="E716" i="24"/>
  <c r="E681" i="24"/>
  <c r="E680" i="24"/>
  <c r="E679" i="24"/>
  <c r="E678" i="24"/>
  <c r="E677" i="24"/>
  <c r="E676" i="24"/>
  <c r="E675" i="24"/>
  <c r="E674" i="24"/>
  <c r="E673" i="24"/>
  <c r="E672" i="24"/>
  <c r="E671" i="24"/>
  <c r="E670" i="24"/>
  <c r="E669" i="24"/>
  <c r="E668" i="24"/>
  <c r="E667" i="24"/>
  <c r="E666" i="24"/>
  <c r="E665" i="24"/>
  <c r="E664" i="24"/>
  <c r="E663" i="24"/>
  <c r="E662" i="24"/>
  <c r="E661" i="24"/>
  <c r="E660" i="24"/>
  <c r="E659" i="24"/>
  <c r="E658" i="24"/>
  <c r="E657" i="24"/>
  <c r="E656" i="24"/>
  <c r="E655" i="24"/>
  <c r="E567" i="24"/>
  <c r="E566" i="24"/>
  <c r="E565" i="24"/>
  <c r="E564" i="24"/>
  <c r="E562" i="24"/>
  <c r="E561" i="24"/>
  <c r="E560" i="24"/>
  <c r="E559" i="24"/>
  <c r="E558" i="24"/>
  <c r="E542" i="24"/>
  <c r="E541" i="24"/>
  <c r="E540" i="24"/>
  <c r="E537" i="24"/>
  <c r="E536" i="24"/>
  <c r="E535" i="24"/>
  <c r="E534" i="24"/>
  <c r="E533" i="24"/>
  <c r="E532" i="24"/>
  <c r="E530" i="24"/>
  <c r="E529" i="24"/>
  <c r="E528" i="24"/>
  <c r="E527" i="24"/>
  <c r="E526" i="24"/>
  <c r="E525" i="24"/>
  <c r="E524" i="24"/>
  <c r="E523" i="24"/>
  <c r="E522" i="24"/>
  <c r="E521" i="24"/>
  <c r="E520" i="24"/>
  <c r="E519" i="24"/>
  <c r="E518" i="24"/>
  <c r="E517" i="24"/>
  <c r="E516" i="24"/>
  <c r="E515" i="24"/>
  <c r="E514" i="24"/>
  <c r="E513" i="24"/>
  <c r="E512" i="24"/>
  <c r="E511" i="24"/>
  <c r="E510" i="24"/>
  <c r="E509" i="24"/>
  <c r="E508" i="24"/>
  <c r="E507" i="24"/>
  <c r="E506" i="24"/>
  <c r="E505" i="24"/>
  <c r="E501" i="24"/>
  <c r="E500" i="24"/>
  <c r="E499" i="24"/>
  <c r="E495" i="24"/>
  <c r="E494" i="24"/>
  <c r="E493" i="24"/>
  <c r="E492" i="24"/>
  <c r="E491" i="24"/>
  <c r="E433" i="24"/>
  <c r="E432" i="24"/>
  <c r="E431" i="24"/>
  <c r="E430" i="24"/>
  <c r="E429" i="24"/>
  <c r="E428" i="24"/>
  <c r="E426" i="24"/>
  <c r="E422" i="24"/>
  <c r="E421" i="24"/>
  <c r="E420" i="24"/>
  <c r="E419" i="24"/>
  <c r="E418" i="24"/>
  <c r="E410" i="24"/>
  <c r="E409" i="24"/>
  <c r="E408" i="24"/>
  <c r="E407" i="24"/>
  <c r="E406" i="24"/>
  <c r="E405" i="24"/>
  <c r="E403" i="24"/>
  <c r="E402" i="24"/>
  <c r="E401" i="24"/>
  <c r="E400" i="24"/>
  <c r="E399" i="24"/>
  <c r="E398" i="24"/>
  <c r="E397" i="24"/>
  <c r="E396" i="24"/>
  <c r="E395" i="24"/>
  <c r="E394" i="24"/>
  <c r="E393" i="24"/>
  <c r="E392" i="24"/>
  <c r="E391" i="24"/>
  <c r="E390" i="24"/>
  <c r="E389" i="24"/>
  <c r="E388" i="24"/>
  <c r="E384" i="24"/>
  <c r="E380" i="24"/>
  <c r="E379" i="24"/>
  <c r="E378" i="24"/>
  <c r="E377" i="24"/>
  <c r="E376" i="24"/>
  <c r="E375" i="24"/>
  <c r="E374" i="24"/>
  <c r="E373" i="24"/>
  <c r="E372" i="24"/>
  <c r="E370" i="24"/>
  <c r="E368" i="24"/>
  <c r="E367" i="24"/>
  <c r="E366" i="24"/>
  <c r="E365" i="24"/>
  <c r="E363" i="24"/>
  <c r="E360" i="24"/>
  <c r="E359" i="24"/>
  <c r="E357" i="24"/>
  <c r="E356" i="24"/>
  <c r="E355" i="24"/>
  <c r="E353" i="24"/>
  <c r="E352" i="24"/>
  <c r="E351" i="24"/>
  <c r="E350" i="24"/>
  <c r="E349" i="24"/>
  <c r="E304" i="24"/>
  <c r="E303" i="24"/>
  <c r="E302" i="24"/>
  <c r="E301" i="24"/>
  <c r="E300" i="24"/>
  <c r="E299" i="24"/>
  <c r="E298" i="24"/>
  <c r="E297" i="24"/>
  <c r="E296" i="24"/>
  <c r="E293" i="24"/>
  <c r="E292" i="24"/>
  <c r="E291" i="24"/>
  <c r="E288" i="24"/>
  <c r="E287" i="24"/>
  <c r="E284" i="24"/>
  <c r="E281" i="24"/>
  <c r="E280" i="24"/>
  <c r="E279" i="24"/>
  <c r="E278" i="24"/>
  <c r="E277" i="24"/>
  <c r="E273" i="24"/>
  <c r="E265" i="24"/>
  <c r="E264" i="24"/>
  <c r="E263" i="24"/>
  <c r="E262" i="24"/>
  <c r="E136" i="24"/>
  <c r="E135" i="24"/>
  <c r="E133" i="24"/>
  <c r="E131" i="24"/>
  <c r="E128" i="24"/>
  <c r="E127" i="24"/>
  <c r="E126" i="24"/>
  <c r="E124" i="24"/>
  <c r="E123" i="24"/>
  <c r="E121" i="24"/>
  <c r="E120" i="24"/>
  <c r="E15" i="24"/>
  <c r="E14" i="24"/>
  <c r="E934" i="24"/>
  <c r="E933" i="24"/>
  <c r="E926" i="24"/>
  <c r="E923" i="24"/>
  <c r="E825" i="24"/>
  <c r="E824" i="24"/>
  <c r="E820" i="24"/>
  <c r="E819" i="24"/>
  <c r="E818" i="24"/>
  <c r="E817" i="24"/>
  <c r="E816" i="24"/>
  <c r="E815" i="24"/>
  <c r="E814" i="24"/>
  <c r="E812" i="24"/>
  <c r="E811" i="24"/>
  <c r="E810" i="24"/>
  <c r="E809" i="24"/>
  <c r="E808" i="24"/>
  <c r="E709" i="24"/>
  <c r="E708" i="24"/>
  <c r="E707" i="24"/>
  <c r="E706" i="24"/>
  <c r="E705" i="24"/>
  <c r="E704" i="24"/>
  <c r="E703" i="24"/>
  <c r="E702" i="24"/>
  <c r="E701" i="24"/>
  <c r="E700" i="24"/>
  <c r="E699" i="24"/>
  <c r="E698" i="24"/>
  <c r="E460" i="24"/>
  <c r="E459" i="24"/>
  <c r="E458" i="24"/>
  <c r="E456" i="24"/>
  <c r="E455" i="24"/>
  <c r="E454" i="24"/>
  <c r="E453" i="24"/>
  <c r="E452" i="24"/>
  <c r="E451" i="24"/>
  <c r="E450" i="24"/>
  <c r="E449" i="24"/>
  <c r="E447" i="24"/>
  <c r="E446" i="24"/>
  <c r="E445" i="24"/>
  <c r="E444" i="24"/>
  <c r="E443" i="24"/>
  <c r="E442" i="24"/>
  <c r="E440" i="24"/>
  <c r="E438" i="24"/>
  <c r="E437" i="24"/>
  <c r="E436" i="24"/>
  <c r="E434" i="24"/>
  <c r="E348" i="24"/>
  <c r="E347" i="24"/>
  <c r="E346" i="24"/>
  <c r="E345" i="24"/>
  <c r="E344" i="24"/>
  <c r="E343" i="24"/>
  <c r="E342" i="24"/>
  <c r="E341" i="24"/>
  <c r="E340" i="24"/>
  <c r="E338" i="24"/>
  <c r="E337" i="24"/>
  <c r="E335" i="24"/>
  <c r="E334" i="24"/>
  <c r="E333" i="24"/>
  <c r="E332" i="24"/>
  <c r="E331" i="24"/>
  <c r="E330" i="24"/>
  <c r="E329" i="24"/>
  <c r="E328" i="24"/>
  <c r="E327" i="24"/>
  <c r="E325" i="24"/>
  <c r="E324" i="24"/>
  <c r="E323" i="24"/>
  <c r="E322" i="24"/>
  <c r="E321" i="24"/>
  <c r="E319" i="24"/>
  <c r="E318" i="24"/>
  <c r="E317" i="24"/>
  <c r="E313" i="24"/>
  <c r="E312" i="24"/>
  <c r="E311" i="24"/>
  <c r="E310" i="24"/>
  <c r="E309" i="24"/>
  <c r="E308" i="24"/>
  <c r="E307" i="24"/>
  <c r="E306" i="24"/>
  <c r="E305" i="24"/>
  <c r="E237" i="24"/>
  <c r="E236" i="24"/>
  <c r="E234" i="24"/>
  <c r="E233" i="24"/>
  <c r="E231" i="24"/>
  <c r="E230" i="24"/>
  <c r="E228" i="24"/>
  <c r="E227" i="24"/>
  <c r="E226" i="24"/>
  <c r="E225" i="24"/>
  <c r="E223" i="24"/>
  <c r="E222" i="24"/>
  <c r="E221" i="24"/>
  <c r="E217" i="24"/>
  <c r="E216" i="24"/>
  <c r="E215" i="24"/>
  <c r="E214" i="24"/>
  <c r="E213" i="24"/>
  <c r="E212" i="24"/>
  <c r="E210" i="24"/>
  <c r="E209" i="24"/>
  <c r="E208" i="24"/>
  <c r="E207" i="24"/>
  <c r="E205" i="24"/>
  <c r="E204" i="24"/>
  <c r="E202" i="24"/>
  <c r="E201" i="24"/>
  <c r="E199" i="24"/>
  <c r="E197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69" i="24"/>
  <c r="E119" i="24"/>
  <c r="E116" i="24"/>
  <c r="E115" i="24"/>
  <c r="E114" i="24"/>
  <c r="E113" i="24"/>
  <c r="E109" i="24"/>
  <c r="E108" i="24"/>
  <c r="E106" i="24"/>
  <c r="E105" i="24"/>
  <c r="E104" i="24"/>
  <c r="E102" i="24"/>
  <c r="E101" i="24"/>
  <c r="E100" i="24"/>
  <c r="E99" i="24"/>
  <c r="E98" i="24"/>
  <c r="E97" i="24"/>
  <c r="E94" i="24"/>
  <c r="E93" i="24"/>
  <c r="E92" i="24"/>
  <c r="E91" i="24"/>
  <c r="E90" i="24"/>
  <c r="E88" i="24"/>
  <c r="E87" i="24"/>
  <c r="E86" i="24"/>
  <c r="E85" i="24"/>
  <c r="E84" i="24"/>
  <c r="E83" i="24"/>
  <c r="E82" i="24"/>
  <c r="E81" i="24"/>
  <c r="E80" i="24"/>
  <c r="E79" i="24"/>
  <c r="E78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L282" i="14"/>
  <c r="L1036" i="14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L754" i="14"/>
  <c r="L1030" i="14"/>
  <c r="C997" i="14" a="1"/>
  <c r="L1023" i="14"/>
  <c r="L1022" i="14"/>
  <c r="L742" i="14"/>
  <c r="L1024" i="14"/>
  <c r="L1021" i="14"/>
  <c r="H1021" i="24"/>
  <c r="L1021" i="24"/>
  <c r="G1021" i="24"/>
  <c r="I1021" i="24"/>
  <c r="J1021" i="24"/>
  <c r="K1021" i="24"/>
  <c r="M1021" i="24"/>
  <c r="N1021" i="24"/>
  <c r="O1021" i="24"/>
  <c r="E728" i="24"/>
  <c r="E1021" i="24"/>
  <c r="L728" i="14"/>
  <c r="L740" i="14"/>
  <c r="H1020" i="24"/>
  <c r="I1020" i="24"/>
  <c r="K1020" i="24"/>
  <c r="L1020" i="24"/>
  <c r="N1020" i="24"/>
  <c r="O1020" i="24"/>
  <c r="G1020" i="24"/>
  <c r="J1020" i="24"/>
  <c r="M1020" i="24"/>
  <c r="N1019" i="24"/>
  <c r="O1019" i="24"/>
  <c r="L1019" i="24"/>
  <c r="I1019" i="24"/>
  <c r="G1019" i="24"/>
  <c r="J1019" i="24"/>
  <c r="K1019" i="24"/>
  <c r="M1019" i="24"/>
  <c r="H1019" i="24"/>
  <c r="E354" i="24"/>
  <c r="G1018" i="24"/>
  <c r="J1018" i="24"/>
  <c r="K1018" i="24"/>
  <c r="M1018" i="24"/>
  <c r="O1018" i="24"/>
  <c r="H1018" i="24"/>
  <c r="I1018" i="24"/>
  <c r="L1018" i="24"/>
  <c r="N1018" i="24"/>
  <c r="E364" i="24"/>
  <c r="E601" i="24"/>
  <c r="E599" i="24"/>
  <c r="E602" i="24"/>
  <c r="E531" i="24"/>
  <c r="E361" i="24"/>
  <c r="E358" i="24"/>
  <c r="E829" i="24"/>
  <c r="E828" i="24"/>
  <c r="E362" i="24"/>
  <c r="C1013" i="14" a="1"/>
  <c r="E1014" i="24"/>
  <c r="C1014" i="14" a="1"/>
  <c r="C1015" i="14" a="1"/>
  <c r="E844" i="24"/>
  <c r="E996" i="24"/>
  <c r="C996" i="14" a="1"/>
  <c r="E413" i="24"/>
  <c r="E439" i="24"/>
  <c r="E371" i="24"/>
  <c r="E369" i="24"/>
  <c r="E404" i="24"/>
  <c r="E383" i="24"/>
  <c r="E382" i="24"/>
  <c r="E381" i="24"/>
  <c r="E244" i="24"/>
  <c r="E241" i="24"/>
  <c r="E9" i="24"/>
  <c r="E606" i="24"/>
  <c r="E605" i="24"/>
  <c r="E603" i="24"/>
  <c r="E600" i="24"/>
  <c r="E598" i="24"/>
  <c r="E597" i="24"/>
  <c r="E596" i="24"/>
  <c r="E593" i="24"/>
  <c r="E592" i="24"/>
  <c r="E588" i="24"/>
  <c r="E587" i="24"/>
  <c r="E586" i="24"/>
  <c r="E585" i="24"/>
  <c r="E584" i="24"/>
  <c r="E582" i="24"/>
  <c r="E581" i="24"/>
  <c r="E580" i="24"/>
  <c r="E579" i="24"/>
  <c r="E578" i="24"/>
  <c r="E577" i="24"/>
  <c r="E576" i="24"/>
  <c r="E575" i="24"/>
  <c r="E574" i="24"/>
  <c r="E573" i="24"/>
  <c r="E572" i="24"/>
  <c r="E571" i="24"/>
  <c r="E385" i="24"/>
  <c r="E551" i="24"/>
  <c r="E617" i="24"/>
  <c r="E831" i="24"/>
  <c r="E830" i="24"/>
  <c r="E615" i="24"/>
  <c r="E612" i="24"/>
  <c r="E611" i="24"/>
  <c r="E610" i="24"/>
  <c r="E609" i="24"/>
  <c r="E608" i="24"/>
  <c r="E607" i="24"/>
  <c r="E604" i="24"/>
  <c r="E595" i="24"/>
  <c r="E594" i="24"/>
  <c r="E387" i="24"/>
  <c r="E386" i="24"/>
  <c r="E648" i="24"/>
  <c r="E647" i="24"/>
  <c r="E646" i="24"/>
  <c r="E645" i="24"/>
  <c r="E644" i="24"/>
  <c r="E643" i="24"/>
  <c r="E642" i="24"/>
  <c r="E641" i="24"/>
  <c r="E640" i="24"/>
  <c r="E639" i="24"/>
  <c r="E638" i="24"/>
  <c r="E637" i="24"/>
  <c r="E636" i="24"/>
  <c r="E635" i="24"/>
  <c r="E614" i="24"/>
  <c r="E613" i="24"/>
  <c r="E633" i="24"/>
  <c r="E628" i="24"/>
  <c r="E626" i="24"/>
  <c r="E623" i="24"/>
  <c r="E942" i="24"/>
  <c r="E941" i="24"/>
  <c r="E940" i="24"/>
  <c r="E938" i="24"/>
  <c r="C938" i="14" a="1"/>
  <c r="C937" i="14" a="1"/>
  <c r="C936" i="14" a="1"/>
  <c r="E783" i="24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C822" i="14" a="1"/>
  <c r="C821" i="14" a="1"/>
  <c r="C820" i="14" a="1"/>
  <c r="C819" i="14" a="1"/>
  <c r="C818" i="14" a="1"/>
  <c r="C817" i="14" a="1"/>
  <c r="C816" i="14" a="1"/>
  <c r="C815" i="14" a="1"/>
  <c r="C814" i="14" a="1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C54" i="14" a="1"/>
  <c r="E1039" i="14" l="1"/>
  <c r="E1051" i="14" s="1"/>
  <c r="E828" i="14"/>
  <c r="E814" i="14"/>
  <c r="E897" i="14"/>
  <c r="E800" i="14"/>
  <c r="E801" i="14" s="1"/>
  <c r="E809" i="14"/>
  <c r="E810" i="14" s="1"/>
  <c r="E910" i="14"/>
  <c r="E911" i="14" s="1"/>
  <c r="E576" i="14"/>
  <c r="E827" i="14"/>
  <c r="E834" i="14" s="1"/>
  <c r="E818" i="14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52" i="14" l="1"/>
  <c r="E867" i="14" s="1"/>
  <c r="E829" i="14"/>
  <c r="E898" i="14"/>
  <c r="E819" i="14"/>
  <c r="E820" i="14" s="1"/>
  <c r="E821" i="14" s="1"/>
  <c r="E811" i="14"/>
  <c r="E812" i="14" s="1"/>
  <c r="E912" i="14"/>
  <c r="E577" i="14"/>
  <c r="E578" i="14" s="1"/>
  <c r="E579" i="14" s="1"/>
  <c r="E580" i="14" s="1"/>
  <c r="E581" i="14" s="1"/>
  <c r="E582" i="14" s="1"/>
  <c r="E583" i="14" s="1"/>
  <c r="E584" i="14" s="1"/>
  <c r="E585" i="14" s="1"/>
  <c r="E586" i="14" s="1"/>
  <c r="E813" i="14" s="1"/>
  <c r="E835" i="14"/>
  <c r="E836" i="14" s="1"/>
  <c r="E802" i="14"/>
  <c r="E830" i="14" l="1"/>
  <c r="E831" i="14" s="1"/>
  <c r="E895" i="14" s="1"/>
  <c r="E899" i="14"/>
  <c r="E868" i="14"/>
  <c r="E913" i="14"/>
  <c r="E914" i="14" s="1"/>
  <c r="E832" i="14"/>
  <c r="E837" i="14"/>
  <c r="E838" i="14" s="1"/>
  <c r="E824" i="14"/>
  <c r="E825" i="14" s="1"/>
  <c r="E826" i="14" s="1"/>
  <c r="E896" i="14" l="1"/>
  <c r="E901" i="14"/>
  <c r="E904" i="14" s="1"/>
  <c r="E905" i="14" s="1"/>
  <c r="E980" i="14" s="1"/>
  <c r="E875" i="14"/>
  <c r="E915" i="14"/>
  <c r="E833" i="14"/>
  <c r="E938" i="14" s="1"/>
  <c r="E839" i="14"/>
  <c r="E840" i="14" s="1"/>
  <c r="E841" i="14" s="1"/>
  <c r="E842" i="14" s="1"/>
  <c r="E843" i="14" s="1"/>
  <c r="E844" i="14" s="1"/>
  <c r="E845" i="14" s="1"/>
  <c r="E900" i="14" l="1"/>
  <c r="E888" i="14"/>
  <c r="E889" i="14" s="1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6" i="14"/>
  <c r="E847" i="14" s="1"/>
  <c r="E848" i="14" s="1"/>
  <c r="E849" i="14" s="1"/>
  <c r="E902" i="14" l="1"/>
  <c r="E891" i="14"/>
  <c r="E934" i="14" s="1"/>
  <c r="E941" i="14" s="1"/>
  <c r="E850" i="14"/>
  <c r="E903" i="14" l="1"/>
  <c r="E943" i="14"/>
  <c r="E944" i="14" s="1"/>
  <c r="E945" i="14" s="1"/>
  <c r="E851" i="14"/>
  <c r="E853" i="14" s="1"/>
  <c r="E906" i="14" l="1"/>
  <c r="E854" i="14"/>
  <c r="E907" i="14" l="1"/>
  <c r="E908" i="14" s="1"/>
  <c r="E855" i="14"/>
  <c r="E909" i="14" l="1"/>
  <c r="E856" i="14"/>
  <c r="E935" i="14" l="1"/>
  <c r="E857" i="14"/>
  <c r="E936" i="14" l="1"/>
  <c r="E858" i="14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s="1"/>
  <c r="E942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37" i="14" l="1"/>
  <c r="E940" i="14" s="1"/>
  <c r="E969" i="14"/>
  <c r="E970" i="14" s="1"/>
  <c r="E971" i="14" s="1"/>
  <c r="E972" i="14" s="1"/>
  <c r="E973" i="14" s="1"/>
  <c r="E981" i="14"/>
  <c r="E982" i="14" s="1"/>
  <c r="E983" i="14" s="1"/>
  <c r="E984" i="14" s="1"/>
  <c r="E974" i="14" l="1"/>
  <c r="E975" i="14" l="1"/>
  <c r="E976" i="14" s="1"/>
  <c r="E977" i="14" s="1"/>
  <c r="E978" i="14" s="1"/>
  <c r="E988" i="14"/>
  <c r="E989" i="14" s="1"/>
  <c r="E979" i="14" l="1"/>
  <c r="E985" i="14"/>
  <c r="E991" i="14" s="1"/>
  <c r="E986" i="14" l="1"/>
  <c r="E993" i="14" l="1"/>
  <c r="E994" i="14" s="1"/>
  <c r="E995" i="14" s="1"/>
  <c r="E987" i="14"/>
  <c r="E996" i="14" l="1"/>
  <c r="E1003" i="14" s="1"/>
  <c r="E1004" i="14" s="1"/>
  <c r="E1005" i="14" s="1"/>
  <c r="E1006" i="14" s="1"/>
  <c r="E1007" i="14" s="1"/>
  <c r="E1008" i="14" s="1"/>
  <c r="E990" i="14"/>
  <c r="E997" i="14" l="1"/>
  <c r="E998" i="14" l="1"/>
  <c r="E999" i="14" l="1"/>
  <c r="E1000" i="14" l="1"/>
  <c r="E1001" i="14" l="1"/>
  <c r="E1009" i="14"/>
  <c r="E1010" i="14" s="1"/>
  <c r="E1011" i="14" s="1"/>
  <c r="E1012" i="14" s="1"/>
  <c r="E1013" i="14" s="1"/>
  <c r="E1014" i="14" l="1"/>
  <c r="E1015" i="14" s="1"/>
  <c r="E1016" i="14" s="1"/>
  <c r="E1017" i="14" l="1"/>
  <c r="E1019" i="14" s="1"/>
  <c r="E1020" i="14" s="1"/>
  <c r="E1021" i="14" s="1"/>
  <c r="E1022" i="14" s="1"/>
  <c r="E1023" i="14" s="1"/>
  <c r="E1024" i="14" s="1"/>
  <c r="E1025" i="14" s="1"/>
  <c r="E1026" i="14" l="1"/>
  <c r="E1027" i="14" l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40" i="14" s="1"/>
  <c r="E1041" i="14" s="1"/>
  <c r="E1042" i="14" s="1"/>
  <c r="E1043" i="14" s="1"/>
  <c r="E1044" i="14" s="1"/>
  <c r="E1045" i="14" l="1"/>
  <c r="E1046" i="14" l="1"/>
  <c r="E1047" i="14" l="1"/>
  <c r="E1048" i="14" s="1"/>
  <c r="E1049" i="14" l="1"/>
  <c r="E1050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CB6A00DD-1DCC-4DEE-9C56-EBB06921E9C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these are neither Hargita nor Arpad, these are predecessors to Hargita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AR1" authorId="0" shapeId="0" xr:uid="{897B7C74-D7CA-4180-BD29-AB15A68497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Excluding 'base' state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Q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T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7AD9AF92-37A2-42C9-A22C-5683F696DA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<sst xmlns="http://schemas.openxmlformats.org/spreadsheetml/2006/main" count="18125" uniqueCount="3705">
  <si>
    <t>VEHIDCODE</t>
  </si>
  <si>
    <t>CARGODEF</t>
  </si>
  <si>
    <t>DUAL_HEADED</t>
  </si>
  <si>
    <t>ENGINE_CLASS</t>
  </si>
  <si>
    <t>HEAD_CAPACITY</t>
  </si>
  <si>
    <t>INTRODUCTION_YEAR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</si>
  <si>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</si>
  <si>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</si>
  <si>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</si>
  <si>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</si>
  <si>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</si>
  <si>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</si>
  <si>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</si>
  <si>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</si>
  <si>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</si>
  <si>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</si>
  <si>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</si>
  <si>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</si>
  <si>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</si>
  <si>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</si>
  <si>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</si>
  <si>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</si>
  <si>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</si>
  <si>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</si>
  <si>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</si>
  <si>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</si>
  <si>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</si>
  <si>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</si>
  <si>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</si>
  <si>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</si>
  <si>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</si>
  <si>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</si>
  <si>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</si>
  <si>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</si>
  <si>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</si>
  <si>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</si>
  <si>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</si>
  <si>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</si>
  <si>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</si>
  <si>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</si>
  <si>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</si>
  <si>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</si>
  <si>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</si>
  <si>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</si>
  <si>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</si>
  <si>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</si>
  <si>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</si>
  <si>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</si>
  <si>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</si>
  <si>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</si>
  <si>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</si>
  <si>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</si>
  <si>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</si>
  <si>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</si>
  <si>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</si>
  <si>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</si>
  <si>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</si>
  <si>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</si>
  <si>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</si>
  <si>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</si>
  <si>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</si>
  <si>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</si>
  <si>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</si>
  <si>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</si>
  <si>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</si>
  <si>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</si>
  <si>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</si>
  <si>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</si>
  <si>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</si>
  <si>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</si>
  <si>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</si>
  <si>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</si>
  <si>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</si>
  <si>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</si>
  <si>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</si>
  <si>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</si>
  <si>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</si>
  <si>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</si>
  <si>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</si>
  <si>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</si>
  <si>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</si>
  <si>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</si>
  <si>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</si>
  <si>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</si>
  <si>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</si>
  <si>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</si>
  <si>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</si>
  <si>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</si>
  <si>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</si>
  <si>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</si>
  <si>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</si>
  <si>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</si>
  <si>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</si>
  <si>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</si>
  <si>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</si>
  <si>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</si>
  <si>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</si>
  <si>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</si>
  <si>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</si>
  <si>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</si>
  <si>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</si>
  <si>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</si>
  <si>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</si>
  <si>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</si>
  <si>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</si>
  <si>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</si>
  <si>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</si>
  <si>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</si>
  <si>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</si>
  <si>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</si>
  <si>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</si>
  <si>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</si>
  <si>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</si>
  <si>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</si>
  <si>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</si>
  <si>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</si>
  <si>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</si>
  <si>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</si>
  <si>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</si>
  <si>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</si>
  <si>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</si>
  <si>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</si>
  <si>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</si>
  <si>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</si>
  <si>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</si>
  <si>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</si>
  <si>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</si>
  <si>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</si>
  <si>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</si>
  <si>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</si>
  <si>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</si>
  <si>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</si>
  <si>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</si>
  <si>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</si>
  <si>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</si>
  <si>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</si>
  <si>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</si>
  <si>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</si>
  <si>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</si>
  <si>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</si>
  <si>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</si>
  <si>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</si>
  <si>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</si>
  <si>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</si>
  <si>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</si>
  <si>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</si>
  <si>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</si>
  <si>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</si>
  <si>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</si>
  <si>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</si>
  <si>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</si>
  <si>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</si>
  <si>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</si>
  <si>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</si>
  <si>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</si>
  <si>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</si>
  <si>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</si>
  <si>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</si>
  <si>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</si>
  <si>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</si>
  <si>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</si>
  <si>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</si>
  <si>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</si>
  <si>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</si>
  <si>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</si>
  <si>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</si>
  <si>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</si>
  <si>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</si>
  <si>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</si>
  <si>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</si>
  <si>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</si>
  <si>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</si>
  <si>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</si>
  <si>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</si>
  <si>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</si>
  <si>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</si>
  <si>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</si>
  <si>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</si>
  <si>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</si>
  <si>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</si>
  <si>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</si>
  <si>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</si>
  <si>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</si>
  <si>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</si>
  <si>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</si>
  <si>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</si>
  <si>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</si>
  <si>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</si>
  <si>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</si>
  <si>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</si>
  <si>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</si>
  <si>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</si>
  <si>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</si>
  <si>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</si>
  <si>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</si>
  <si>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</si>
  <si>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</si>
  <si>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</si>
  <si>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</si>
  <si>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</si>
  <si>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</si>
  <si>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</si>
  <si>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</si>
  <si>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</si>
  <si>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</si>
  <si>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</si>
  <si>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</si>
  <si>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</si>
  <si>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</si>
  <si>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</si>
  <si>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</si>
  <si>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</si>
  <si>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</si>
  <si>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</si>
  <si>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</si>
  <si>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</si>
  <si>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</si>
  <si>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</si>
  <si>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</si>
  <si>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</si>
  <si>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</si>
  <si>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</si>
  <si>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</si>
  <si>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</si>
  <si>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</si>
  <si>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</si>
  <si>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</si>
  <si>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</si>
  <si>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</si>
  <si>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</si>
  <si>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</si>
  <si>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</si>
  <si>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</si>
  <si>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</si>
  <si>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</si>
  <si>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</si>
  <si>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</si>
  <si>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</si>
  <si>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</si>
  <si>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</si>
  <si>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</si>
  <si>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</si>
  <si>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</si>
  <si>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</si>
  <si>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</si>
  <si>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</si>
  <si>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</si>
  <si>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</si>
  <si>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</si>
  <si>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</si>
  <si>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</si>
  <si>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</si>
  <si>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</si>
  <si>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</si>
  <si>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</si>
  <si>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</si>
  <si>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</si>
  <si>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</si>
  <si>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</si>
  <si>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</si>
  <si>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</si>
  <si>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</si>
  <si>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</si>
  <si>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</si>
  <si>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</si>
  <si>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</si>
  <si>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</si>
  <si>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</si>
  <si>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</si>
  <si>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</si>
  <si>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</si>
  <si>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</si>
  <si>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</si>
  <si>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</si>
  <si>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</si>
  <si>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</si>
  <si>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</si>
  <si>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</si>
  <si>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</si>
  <si>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</si>
  <si>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</si>
  <si>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</si>
  <si>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</si>
  <si>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</si>
  <si>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</si>
  <si>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</si>
  <si>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</si>
  <si>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</si>
  <si>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</si>
  <si>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</si>
  <si>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</si>
  <si>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</si>
  <si>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</si>
  <si>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</si>
  <si>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</si>
  <si>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</si>
  <si>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</si>
  <si>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</si>
  <si>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</si>
  <si>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</si>
  <si>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</si>
  <si>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</si>
  <si>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</si>
  <si>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</si>
  <si>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</si>
  <si>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</si>
  <si>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</si>
  <si>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</si>
  <si>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</si>
  <si>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</si>
  <si>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</si>
  <si>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</si>
  <si>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</si>
  <si>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</si>
  <si>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</si>
  <si>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</si>
  <si>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</si>
  <si>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</si>
  <si>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</si>
  <si>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</si>
  <si>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</si>
  <si>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</si>
  <si>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</si>
  <si>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</si>
  <si>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</si>
  <si>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</si>
  <si>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</si>
  <si>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</si>
  <si>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</si>
  <si>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</si>
  <si>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</si>
  <si>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</si>
  <si>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</si>
  <si>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</si>
  <si>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</si>
  <si>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</si>
  <si>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</si>
  <si>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</si>
  <si>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</si>
  <si>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</si>
  <si>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</si>
  <si>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</si>
  <si>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</si>
  <si>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</si>
  <si>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</si>
  <si>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</si>
  <si>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</si>
  <si>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</si>
  <si>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</si>
  <si>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</si>
  <si>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</si>
  <si>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</si>
  <si>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</si>
  <si>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</si>
  <si>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</si>
  <si>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</si>
  <si>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</si>
  <si>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</si>
  <si>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</si>
  <si>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</si>
  <si>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</si>
  <si>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</si>
  <si>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</si>
  <si>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</si>
  <si>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</si>
  <si>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</si>
  <si>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</si>
  <si>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</si>
  <si>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</si>
  <si>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</si>
  <si>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</si>
  <si>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</si>
  <si>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</si>
  <si>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</si>
  <si>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</si>
  <si>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</si>
  <si>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</si>
  <si>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</si>
  <si>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</si>
  <si>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</si>
  <si>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</si>
  <si>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</si>
  <si>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</si>
  <si>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</si>
  <si>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</si>
  <si>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</si>
  <si>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</si>
  <si>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</si>
  <si>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</si>
  <si>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</si>
  <si>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</si>
  <si>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</si>
  <si>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</si>
  <si>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</si>
  <si>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</si>
  <si>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</si>
  <si>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</si>
  <si>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</si>
  <si>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</si>
  <si>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</si>
  <si>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</si>
  <si>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</si>
  <si>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</si>
  <si>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</si>
  <si>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</si>
  <si>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</si>
  <si>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</si>
  <si>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</si>
  <si>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</si>
  <si>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</si>
  <si>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</si>
  <si>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</si>
  <si>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</si>
  <si>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</si>
  <si>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</si>
  <si>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</si>
  <si>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</si>
  <si>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</si>
  <si>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</si>
  <si>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</si>
  <si>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</si>
  <si>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</si>
  <si>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</si>
  <si>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</si>
  <si>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</si>
  <si>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</si>
  <si>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</si>
  <si>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</si>
  <si>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</si>
  <si>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</si>
  <si>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</si>
  <si>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</si>
  <si>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</si>
  <si>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</si>
  <si>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</si>
  <si>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</si>
  <si>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</si>
  <si>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</si>
  <si>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</si>
  <si>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</si>
  <si>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</si>
  <si>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</si>
  <si>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</si>
  <si>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</si>
  <si>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</si>
  <si>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</si>
  <si>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</si>
  <si>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</si>
  <si>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</si>
  <si>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</si>
  <si>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</si>
  <si>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</si>
  <si>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</si>
  <si>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</si>
  <si>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</si>
  <si>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</si>
  <si>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</si>
  <si>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</si>
  <si>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</si>
  <si>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</si>
  <si>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</si>
  <si>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</si>
  <si>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</si>
  <si>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</si>
  <si>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</si>
  <si>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</si>
  <si>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</si>
  <si>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</si>
  <si>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</si>
  <si>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</si>
  <si>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</si>
  <si>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</si>
  <si>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</si>
  <si>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</si>
  <si>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</si>
  <si>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</si>
  <si>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</si>
  <si>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</si>
  <si>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</si>
  <si>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</si>
  <si>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</si>
  <si>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</si>
  <si>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</si>
  <si>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</si>
  <si>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</si>
  <si>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</si>
  <si>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</si>
  <si>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</si>
  <si>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</si>
  <si>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</si>
  <si>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</si>
  <si>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</si>
  <si>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</si>
  <si>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</si>
  <si>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</si>
  <si>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</si>
  <si>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</si>
  <si>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</si>
  <si>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</si>
  <si>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</si>
  <si>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</si>
  <si>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</si>
  <si>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</si>
  <si>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</si>
  <si>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</si>
  <si>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</si>
  <si>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</si>
  <si>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</si>
  <si>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</si>
  <si>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</si>
  <si>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</si>
  <si>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</si>
  <si>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</si>
  <si>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</si>
  <si>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</si>
  <si>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</si>
  <si>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</si>
  <si>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</si>
  <si>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</si>
  <si>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</si>
  <si>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</si>
  <si>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</si>
  <si>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PANTOGRAPH_POSITION</t>
  </si>
  <si>
    <t>NA</t>
  </si>
  <si>
    <t>ENDS</t>
  </si>
  <si>
    <t>MIDDLE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</si>
  <si>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</si>
  <si>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</si>
  <si>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</si>
  <si>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</si>
  <si>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</si>
  <si>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</si>
  <si>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</si>
  <si>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</si>
  <si>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</si>
  <si>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</si>
  <si>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</si>
  <si>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</si>
  <si>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</si>
  <si>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</si>
  <si>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</si>
  <si>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</si>
  <si>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</si>
  <si>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</si>
  <si>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</si>
  <si>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</si>
  <si>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</si>
  <si>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</si>
  <si>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</si>
  <si>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</si>
  <si>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</si>
  <si>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</si>
  <si>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</si>
  <si>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</si>
  <si>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</si>
  <si>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</si>
  <si>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</si>
  <si>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</si>
  <si>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</si>
  <si>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</si>
  <si>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</si>
  <si>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</si>
  <si>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</si>
  <si>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</si>
  <si>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</si>
  <si>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</si>
  <si>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</si>
  <si>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</si>
  <si>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</si>
  <si>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</si>
  <si>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</si>
  <si>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</si>
  <si>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</si>
  <si>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</si>
  <si>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</si>
  <si>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</si>
  <si>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</si>
  <si>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</si>
  <si>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</si>
  <si>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</si>
  <si>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</si>
  <si>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</si>
  <si>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</si>
  <si>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</si>
  <si>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</si>
  <si>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</si>
  <si>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</si>
  <si>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</si>
  <si>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</si>
  <si>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</si>
  <si>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</si>
  <si>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</si>
  <si>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</si>
  <si>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</si>
  <si>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</si>
  <si>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</si>
  <si>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</si>
  <si>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</si>
  <si>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</si>
  <si>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</si>
  <si>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</si>
  <si>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</si>
  <si>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</si>
  <si>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</si>
  <si>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</si>
  <si>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</si>
  <si>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</si>
  <si>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</si>
  <si>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</si>
  <si>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</si>
  <si>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</si>
  <si>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</si>
  <si>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</si>
  <si>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</si>
  <si>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</si>
  <si>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</si>
  <si>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</si>
  <si>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</si>
  <si>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</si>
  <si>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</si>
  <si>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</si>
  <si>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</si>
  <si>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</si>
  <si>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</si>
  <si>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</si>
  <si>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</si>
  <si>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</si>
  <si>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</si>
  <si>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</si>
  <si>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</si>
  <si>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</si>
  <si>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</si>
  <si>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</si>
  <si>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</si>
  <si>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</si>
  <si>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</si>
  <si>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</si>
  <si>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</si>
  <si>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</si>
  <si>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</si>
  <si>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</si>
  <si>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</si>
  <si>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</si>
  <si>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</si>
  <si>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</si>
  <si>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</si>
  <si>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</si>
  <si>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</si>
  <si>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</si>
  <si>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</si>
  <si>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</si>
  <si>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</si>
  <si>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</si>
  <si>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</si>
  <si>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</si>
  <si>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</si>
  <si>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</si>
  <si>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</si>
  <si>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</si>
  <si>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</si>
  <si>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</si>
  <si>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</si>
  <si>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</si>
  <si>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</si>
  <si>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</si>
  <si>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</si>
  <si>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</si>
  <si>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</si>
  <si>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</si>
  <si>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</si>
  <si>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</si>
  <si>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</si>
  <si>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</si>
  <si>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</si>
  <si>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</si>
  <si>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</si>
  <si>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</si>
  <si>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</si>
  <si>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</si>
  <si>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</si>
  <si>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</si>
  <si>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</si>
  <si>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</si>
  <si>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</si>
  <si>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</si>
  <si>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</si>
  <si>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</si>
  <si>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</si>
  <si>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</si>
  <si>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</si>
  <si>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</si>
  <si>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</si>
  <si>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</si>
  <si>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</si>
  <si>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</si>
  <si>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</si>
  <si>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</si>
  <si>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</si>
  <si>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</si>
  <si>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</si>
  <si>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</si>
  <si>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</si>
  <si>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</si>
  <si>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</si>
  <si>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</si>
  <si>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</si>
  <si>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</si>
  <si>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</si>
  <si>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</si>
  <si>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</si>
  <si>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</si>
  <si>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</si>
  <si>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</si>
  <si>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</si>
  <si>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</si>
  <si>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</si>
  <si>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</si>
  <si>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</si>
  <si>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</si>
  <si>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</si>
  <si>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</si>
  <si>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</si>
  <si>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</si>
  <si>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</si>
  <si>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</si>
  <si>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</si>
  <si>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</si>
  <si>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</si>
  <si>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</si>
  <si>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</si>
  <si>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</si>
  <si>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</si>
  <si>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</si>
  <si>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</si>
  <si>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</si>
  <si>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</si>
  <si>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</si>
  <si>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</si>
  <si>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</si>
  <si>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</si>
  <si>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</si>
  <si>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</si>
  <si>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</si>
  <si>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</si>
  <si>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</si>
  <si>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</si>
  <si>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</si>
  <si>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</si>
  <si>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</si>
  <si>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</si>
  <si>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</si>
  <si>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</si>
  <si>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</si>
  <si>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</si>
  <si>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</si>
  <si>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</si>
  <si>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</si>
  <si>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</si>
  <si>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</si>
  <si>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</si>
  <si>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</si>
  <si>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</si>
  <si>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</si>
  <si>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</si>
  <si>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</si>
  <si>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</si>
  <si>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</si>
  <si>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</si>
  <si>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</si>
  <si>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</si>
  <si>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</si>
  <si>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</si>
  <si>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</si>
  <si>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</si>
  <si>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</si>
  <si>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</si>
  <si>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</si>
  <si>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</si>
  <si>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</si>
  <si>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</si>
  <si>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</si>
  <si>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</si>
  <si>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</si>
  <si>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</si>
  <si>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</si>
  <si>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</si>
  <si>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</si>
  <si>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</si>
  <si>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</si>
  <si>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</si>
  <si>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</si>
  <si>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</si>
  <si>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</si>
  <si>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</si>
  <si>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</si>
  <si>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</si>
  <si>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</si>
  <si>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</si>
  <si>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</si>
  <si>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</si>
  <si>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</si>
  <si>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</si>
  <si>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</si>
  <si>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</si>
  <si>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</si>
  <si>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</si>
  <si>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</si>
  <si>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</si>
  <si>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</si>
  <si>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</si>
  <si>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</si>
  <si>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</si>
  <si>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</si>
  <si>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</si>
  <si>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</si>
  <si>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</si>
  <si>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</si>
  <si>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</si>
  <si>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</si>
  <si>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</si>
  <si>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</si>
  <si>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</si>
  <si>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</si>
  <si>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</si>
  <si>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</si>
  <si>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</si>
  <si>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</si>
  <si>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</si>
  <si>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</si>
  <si>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</si>
  <si>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</si>
  <si>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</si>
  <si>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</si>
  <si>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</si>
  <si>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</si>
  <si>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</si>
  <si>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</si>
  <si>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</si>
  <si>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</si>
  <si>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</si>
  <si>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</si>
  <si>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</si>
  <si>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</si>
  <si>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</si>
  <si>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</si>
  <si>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</si>
  <si>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</si>
  <si>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</si>
  <si>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</si>
  <si>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</si>
  <si>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</si>
  <si>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</si>
  <si>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</si>
  <si>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</si>
  <si>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</si>
  <si>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</si>
  <si>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</si>
  <si>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</si>
  <si>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</si>
  <si>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</si>
  <si>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</si>
  <si>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</si>
  <si>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</si>
  <si>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</si>
  <si>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</si>
  <si>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</si>
  <si>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</si>
  <si>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</si>
  <si>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</si>
  <si>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</si>
  <si>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</si>
  <si>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</si>
  <si>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</si>
  <si>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</si>
  <si>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</si>
  <si>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</si>
  <si>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</si>
  <si>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</si>
  <si>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</si>
  <si>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</si>
  <si>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</si>
  <si>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</si>
  <si>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</si>
  <si>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</si>
  <si>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</si>
  <si>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</si>
  <si>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</si>
  <si>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</si>
  <si>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</si>
  <si>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</si>
  <si>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</si>
  <si>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</si>
  <si>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</si>
  <si>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</si>
  <si>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</si>
  <si>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</si>
  <si>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</si>
  <si>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</si>
  <si>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</si>
  <si>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</si>
  <si>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</si>
  <si>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</si>
  <si>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</si>
  <si>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</si>
  <si>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</si>
  <si>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</si>
  <si>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</si>
  <si>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</si>
  <si>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</si>
  <si>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</si>
  <si>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</si>
  <si>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</si>
  <si>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</si>
  <si>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</si>
  <si>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</si>
  <si>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</si>
  <si>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</si>
  <si>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</si>
  <si>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</si>
  <si>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</si>
  <si>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</si>
  <si>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</si>
  <si>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</si>
  <si>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</si>
  <si>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</si>
  <si>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</si>
  <si>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</si>
  <si>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</si>
  <si>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</si>
  <si>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</si>
  <si>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</si>
  <si>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</si>
  <si>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</si>
  <si>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</si>
  <si>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</si>
  <si>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</si>
  <si>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</si>
  <si>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</si>
  <si>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</si>
  <si>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</si>
  <si>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</si>
  <si>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</si>
  <si>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</si>
  <si>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</si>
  <si>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</si>
  <si>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</si>
  <si>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</si>
  <si>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</si>
  <si>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</si>
  <si>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</si>
  <si>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</si>
  <si>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</si>
  <si>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</si>
  <si>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</si>
  <si>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</si>
  <si>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</si>
  <si>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</si>
  <si>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</si>
  <si>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</si>
  <si>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</si>
  <si>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</si>
  <si>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</si>
  <si>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</si>
  <si>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</si>
  <si>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</si>
  <si>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</si>
  <si>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</si>
  <si>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</si>
  <si>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</si>
  <si>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</si>
  <si>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</si>
  <si>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</si>
  <si>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</si>
  <si>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</si>
  <si>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</si>
  <si>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</si>
  <si>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</si>
  <si>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</si>
  <si>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</si>
  <si>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</si>
  <si>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</si>
  <si>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</si>
  <si>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</si>
  <si>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</si>
  <si>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</si>
  <si>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</si>
  <si>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</si>
  <si>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</si>
  <si>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</si>
  <si>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</si>
  <si>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</si>
  <si>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</si>
  <si>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</si>
  <si>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</si>
  <si>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</si>
  <si>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</si>
  <si>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</si>
  <si>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</si>
  <si>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</si>
  <si>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</si>
  <si>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</si>
  <si>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</si>
  <si>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</si>
  <si>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</si>
  <si>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</si>
  <si>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</si>
  <si>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</si>
  <si>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</si>
  <si>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</si>
  <si>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</si>
  <si>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</si>
  <si>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</si>
  <si>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</si>
  <si>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</si>
  <si>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</si>
  <si>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</si>
  <si>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</si>
  <si>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</si>
  <si>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</si>
  <si>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</si>
  <si>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</si>
  <si>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</si>
  <si>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</si>
  <si>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</si>
  <si>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</si>
  <si>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</si>
  <si>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</si>
  <si>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</si>
  <si>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</si>
  <si>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</si>
  <si>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</si>
  <si>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</si>
  <si>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</si>
  <si>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</si>
  <si>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</si>
  <si>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</si>
  <si>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</si>
  <si>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</si>
  <si>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</si>
  <si>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</si>
  <si>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</si>
  <si>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</si>
  <si>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</si>
  <si>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</si>
  <si>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</si>
  <si>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</si>
  <si>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</si>
  <si>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</si>
  <si>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</si>
  <si>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</si>
  <si>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</si>
  <si>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</si>
  <si>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</si>
  <si>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</si>
  <si>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</si>
  <si>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</si>
  <si>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</si>
  <si>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</si>
  <si>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</si>
  <si>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</si>
  <si>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</si>
  <si>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</si>
  <si>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</si>
  <si>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</si>
  <si>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</si>
  <si>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</si>
  <si>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</si>
  <si>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</si>
  <si>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</si>
  <si>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</si>
  <si>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</si>
  <si>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</si>
  <si>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</si>
  <si>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</si>
  <si>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</si>
  <si>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</si>
  <si>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</si>
  <si>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</si>
  <si>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</si>
  <si>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</si>
  <si>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</si>
  <si>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</si>
  <si>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</si>
  <si>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</si>
  <si>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</si>
  <si>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</si>
  <si>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</si>
  <si>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</si>
  <si>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</si>
  <si>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</si>
  <si>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</si>
  <si>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</si>
  <si>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</si>
  <si>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</si>
  <si>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</si>
  <si>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</si>
  <si>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</si>
  <si>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</si>
  <si>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</si>
  <si>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</si>
  <si>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</si>
  <si>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</si>
  <si>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</si>
  <si>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</si>
  <si>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</si>
  <si>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</si>
  <si>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</si>
  <si>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</si>
  <si>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</si>
  <si>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</si>
  <si>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</si>
  <si>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</si>
  <si>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</si>
  <si>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</si>
  <si>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</si>
  <si>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</si>
  <si>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</si>
  <si>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</si>
  <si>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</si>
  <si>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</si>
  <si>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</si>
  <si>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</si>
  <si>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</si>
  <si>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</si>
  <si>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</si>
  <si>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</si>
  <si>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</si>
  <si>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</si>
  <si>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</si>
  <si>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</si>
  <si>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</si>
  <si>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</si>
  <si>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</si>
  <si>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</si>
  <si>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</si>
  <si>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</si>
  <si>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</si>
  <si>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</si>
  <si>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</si>
  <si>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</si>
  <si>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</si>
  <si>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</si>
  <si>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</si>
  <si>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</si>
  <si>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</si>
  <si>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</si>
  <si>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</si>
  <si>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</si>
  <si>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</si>
  <si>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</si>
  <si>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</si>
  <si>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</si>
  <si>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</si>
  <si>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</si>
  <si>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</si>
  <si>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</si>
  <si>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</si>
  <si>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</si>
  <si>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</si>
  <si>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</si>
  <si>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</si>
  <si>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</si>
  <si>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</si>
  <si>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</si>
  <si>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</si>
  <si>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</si>
  <si>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</si>
  <si>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</si>
  <si>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</si>
  <si>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</si>
  <si>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</si>
  <si>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</si>
  <si>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</si>
  <si>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</si>
  <si>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</si>
  <si>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</si>
  <si>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</si>
  <si>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</si>
  <si>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</si>
  <si>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</si>
  <si>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</si>
  <si>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</si>
  <si>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</si>
  <si>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</si>
  <si>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</si>
  <si>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</si>
  <si>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</si>
  <si>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</si>
  <si>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</si>
  <si>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</si>
  <si>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</si>
  <si>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</si>
  <si>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</si>
  <si>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</si>
  <si>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</si>
  <si>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</si>
  <si>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</si>
  <si>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</si>
  <si>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</si>
  <si>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</si>
  <si>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</si>
  <si>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</si>
  <si>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</si>
  <si>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</si>
  <si>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</si>
  <si>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</si>
  <si>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</si>
  <si>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</si>
  <si>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</si>
  <si>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</si>
  <si>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</si>
  <si>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</si>
  <si>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</si>
  <si>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</si>
  <si>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</si>
  <si>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</si>
  <si>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</si>
  <si>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</si>
  <si>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</si>
  <si>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</si>
  <si>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</si>
  <si>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</si>
  <si>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</si>
  <si>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</si>
  <si>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</si>
  <si>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</si>
  <si>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</si>
  <si>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</si>
  <si>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</si>
  <si>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</si>
  <si>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</si>
  <si>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</si>
  <si>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</si>
  <si>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</si>
  <si>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</si>
  <si>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</si>
  <si>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</si>
  <si>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</si>
  <si>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</si>
  <si>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</si>
  <si>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</si>
  <si>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</si>
  <si>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</si>
  <si>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</si>
  <si>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</si>
  <si>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</si>
  <si>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</si>
  <si>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</si>
  <si>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</si>
  <si>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</si>
  <si>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</si>
  <si>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</si>
  <si>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</si>
  <si>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</si>
  <si>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</si>
  <si>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</si>
  <si>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</si>
  <si>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</si>
  <si>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</si>
  <si>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</si>
  <si>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</si>
  <si>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</si>
  <si>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</si>
  <si>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</si>
  <si>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</si>
  <si>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</si>
  <si>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</si>
  <si>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</si>
  <si>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</si>
  <si>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</si>
  <si>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</si>
  <si>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</si>
  <si>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</si>
  <si>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</si>
  <si>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</si>
  <si>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</si>
  <si>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</si>
  <si>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</si>
  <si>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</si>
  <si>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</si>
  <si>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</si>
  <si>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</si>
  <si>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</si>
  <si>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</si>
  <si>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</si>
  <si>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</si>
  <si>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</si>
  <si>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</si>
  <si>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</si>
  <si>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</si>
  <si>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</si>
  <si>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</si>
  <si>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</si>
  <si>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</si>
  <si>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</si>
  <si>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</si>
  <si>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</si>
  <si>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</si>
  <si>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</si>
  <si>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</si>
  <si>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</si>
  <si>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</si>
  <si>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</si>
  <si>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</si>
  <si>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</si>
  <si>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</si>
  <si>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</si>
  <si>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</si>
  <si>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</si>
  <si>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</si>
  <si>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</si>
  <si>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</si>
  <si>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</si>
  <si>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</si>
  <si>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</si>
  <si>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</si>
  <si>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</si>
  <si>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</si>
  <si>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</si>
  <si>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</si>
  <si>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</si>
  <si>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</si>
  <si>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</si>
  <si>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</si>
  <si>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</si>
  <si>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</si>
  <si>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</si>
  <si>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</si>
  <si>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</si>
  <si>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</si>
  <si>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</si>
  <si>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</si>
  <si>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</si>
  <si>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</si>
  <si>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</si>
  <si>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</si>
  <si>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</si>
  <si>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</si>
  <si>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</si>
  <si>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</si>
  <si>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</si>
  <si>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</si>
  <si>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</si>
  <si>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</si>
  <si>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</si>
  <si>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</si>
  <si>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</si>
  <si>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</si>
  <si>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</si>
  <si>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</si>
  <si>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</si>
  <si>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</si>
  <si>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</si>
  <si>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</si>
  <si>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</si>
  <si>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</si>
  <si>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</si>
  <si>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</si>
  <si>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</si>
  <si>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</si>
  <si>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</si>
  <si>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</si>
  <si>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</si>
  <si>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</si>
  <si>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</si>
  <si>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</si>
  <si>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</si>
  <si>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</si>
  <si>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</si>
  <si>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</si>
  <si>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</si>
  <si>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</si>
  <si>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</si>
  <si>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</si>
  <si>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</si>
  <si>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</si>
  <si>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</si>
  <si>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</si>
  <si>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</si>
  <si>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</si>
  <si>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</si>
  <si>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</si>
  <si>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</si>
  <si>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</si>
  <si>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</si>
  <si>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</si>
  <si>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</si>
  <si>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</si>
  <si>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</si>
  <si>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</si>
  <si>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</si>
  <si>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</si>
  <si>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</si>
  <si>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</si>
  <si>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</si>
  <si>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</si>
  <si>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</si>
  <si>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</si>
  <si>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</si>
  <si>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</si>
  <si>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</si>
  <si>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</si>
  <si>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</si>
  <si>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</si>
  <si>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</si>
  <si>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</si>
  <si>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</si>
  <si>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</si>
  <si>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</si>
  <si>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</si>
  <si>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</si>
  <si>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</si>
  <si>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</si>
  <si>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</si>
  <si>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</si>
  <si>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</si>
  <si>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</si>
  <si>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</si>
  <si>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</si>
  <si>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</si>
  <si>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</si>
  <si>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</si>
  <si>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</si>
  <si>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</si>
  <si>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</si>
  <si>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</si>
  <si>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</si>
  <si>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</si>
  <si>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</si>
  <si>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</si>
  <si>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</si>
  <si>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</si>
  <si>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</si>
  <si>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</si>
  <si>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</si>
  <si>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</si>
  <si>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</si>
  <si>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</si>
  <si>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</si>
  <si>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</si>
  <si>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</si>
  <si>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</si>
  <si>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</si>
  <si>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</si>
  <si>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</si>
  <si>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</si>
  <si>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</si>
  <si>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</si>
  <si>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</si>
  <si>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</si>
  <si>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</si>
  <si>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</si>
  <si>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</si>
  <si>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</si>
  <si>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</si>
  <si>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</si>
  <si>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</si>
  <si>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</si>
  <si>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</si>
  <si>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</si>
  <si>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</si>
  <si>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</si>
  <si>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</si>
  <si>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</si>
  <si>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</si>
  <si>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</si>
  <si>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</si>
  <si>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</si>
  <si>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</si>
  <si>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</si>
  <si>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</si>
  <si>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</si>
  <si>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</si>
  <si>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</si>
  <si>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</si>
  <si>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</si>
  <si>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</si>
  <si>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</si>
  <si>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</si>
  <si>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</si>
  <si>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</si>
  <si>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</si>
  <si>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</si>
  <si>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</si>
  <si>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</si>
  <si>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</si>
  <si>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</si>
  <si>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</si>
  <si>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</si>
  <si>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</si>
  <si>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</si>
  <si>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</si>
  <si>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</si>
  <si>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</si>
  <si>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</si>
  <si>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</si>
  <si>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</si>
  <si>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</si>
  <si>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</si>
  <si>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</si>
  <si>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</si>
  <si>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</si>
  <si>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</si>
  <si>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</si>
  <si>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</si>
  <si>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</si>
  <si>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</si>
  <si>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</si>
  <si>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</si>
  <si>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</si>
  <si>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</si>
  <si>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</si>
  <si>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</si>
  <si>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</si>
  <si>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</si>
  <si>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</si>
  <si>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</si>
  <si>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</si>
  <si>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</si>
  <si>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</si>
  <si>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</si>
  <si>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</si>
  <si>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</si>
  <si>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</si>
  <si>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</si>
  <si>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</si>
  <si>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</si>
  <si>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</si>
  <si>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</si>
  <si>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</si>
  <si>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</si>
  <si>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</si>
  <si>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</si>
  <si>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</si>
  <si>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</si>
  <si>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</si>
  <si>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</si>
  <si>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</si>
  <si>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</si>
  <si>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</si>
  <si>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</si>
  <si>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</si>
  <si>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</si>
  <si>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</si>
  <si>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</si>
  <si>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</si>
  <si>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</si>
  <si>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</si>
  <si>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</si>
  <si>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</si>
  <si>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</si>
  <si>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</si>
  <si>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</si>
  <si>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</si>
  <si>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</si>
  <si>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</si>
  <si>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</si>
  <si>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</si>
  <si>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</si>
  <si>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</si>
  <si>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</si>
  <si>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</si>
  <si>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</si>
  <si>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</si>
  <si>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</si>
  <si>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</si>
  <si>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</si>
  <si>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</si>
  <si>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</si>
  <si>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</si>
  <si>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</si>
  <si>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</si>
  <si>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</si>
  <si>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</si>
  <si>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</si>
  <si>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</si>
  <si>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</si>
  <si>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</si>
  <si>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</si>
  <si>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</si>
  <si>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</si>
  <si>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</si>
  <si>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</si>
  <si>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</si>
  <si>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</si>
  <si>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</si>
  <si>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</si>
  <si>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</si>
  <si>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</si>
  <si>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</si>
  <si>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</si>
  <si>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</si>
  <si>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</si>
  <si>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</si>
  <si>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</si>
  <si>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</si>
  <si>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</si>
  <si>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</si>
  <si>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</si>
  <si>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</si>
  <si>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</si>
  <si>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</si>
  <si>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</si>
  <si>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</si>
  <si>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</si>
  <si>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</si>
  <si>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</si>
  <si>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</si>
  <si>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</si>
  <si>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</si>
  <si>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</si>
  <si>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</si>
  <si>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</si>
  <si>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</si>
  <si>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</si>
  <si>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</si>
  <si>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</si>
  <si>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</si>
  <si>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</si>
  <si>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</si>
  <si>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</si>
  <si>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</si>
  <si>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</si>
  <si>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</si>
  <si>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</si>
  <si>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</si>
  <si>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</si>
  <si>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</si>
  <si>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</si>
  <si>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</si>
  <si>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</si>
  <si>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</si>
  <si>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</si>
  <si>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</si>
  <si>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</si>
  <si>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</si>
  <si>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</si>
  <si>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</si>
  <si>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</si>
  <si>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</si>
  <si>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</si>
  <si>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</si>
  <si>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</si>
  <si>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</si>
  <si>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</si>
  <si>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</si>
  <si>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</si>
  <si>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Count of VEHIDCODE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</si>
  <si>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</si>
  <si>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</si>
  <si>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</si>
  <si>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</si>
  <si>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</si>
  <si>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</si>
  <si>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</si>
  <si>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</si>
  <si>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</si>
  <si>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</si>
  <si>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</si>
  <si>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</si>
  <si>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</si>
  <si>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</si>
  <si>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</si>
  <si>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</si>
  <si>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</si>
  <si>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</si>
  <si>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</si>
  <si>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</si>
  <si>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</si>
  <si>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</si>
  <si>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</si>
  <si>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</si>
  <si>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</si>
  <si>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</si>
  <si>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</si>
  <si>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</si>
  <si>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</si>
  <si>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</si>
  <si>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</si>
  <si>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</si>
  <si>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</si>
  <si>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</si>
  <si>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</si>
  <si>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</si>
  <si>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</si>
  <si>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</si>
  <si>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</si>
  <si>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</si>
  <si>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</si>
  <si>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</si>
  <si>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</si>
  <si>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</si>
  <si>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</si>
  <si>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</si>
  <si>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</si>
  <si>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</si>
  <si>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</si>
  <si>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</si>
  <si>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</si>
  <si>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</si>
  <si>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</si>
  <si>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</si>
  <si>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</si>
  <si>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</si>
  <si>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</si>
  <si>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</si>
  <si>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</si>
  <si>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</si>
  <si>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</si>
  <si>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</si>
  <si>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</si>
  <si>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</si>
  <si>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</si>
  <si>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</si>
  <si>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</si>
  <si>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</si>
  <si>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</si>
  <si>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</si>
  <si>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</si>
  <si>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</si>
  <si>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</si>
  <si>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</si>
  <si>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</si>
  <si>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</si>
  <si>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</si>
  <si>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</si>
  <si>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</si>
  <si>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</si>
  <si>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</si>
  <si>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</si>
  <si>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</si>
  <si>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</si>
  <si>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</si>
  <si>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</si>
  <si>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</si>
  <si>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</si>
  <si>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</si>
  <si>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</si>
  <si>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</si>
  <si>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</si>
  <si>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</si>
  <si>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</si>
  <si>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</si>
  <si>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</si>
  <si>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</si>
  <si>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</si>
  <si>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</si>
  <si>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</si>
  <si>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</si>
  <si>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</si>
  <si>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</si>
  <si>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</si>
  <si>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</si>
  <si>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</si>
  <si>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</si>
  <si>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</si>
  <si>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</si>
  <si>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</si>
  <si>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</si>
  <si>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</si>
  <si>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</si>
  <si>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</si>
  <si>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</si>
  <si>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</si>
  <si>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</si>
  <si>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</si>
  <si>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</si>
  <si>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</si>
  <si>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</si>
  <si>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</si>
  <si>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</si>
  <si>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</si>
  <si>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</si>
  <si>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</si>
  <si>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</si>
  <si>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</si>
  <si>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</si>
  <si>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</si>
  <si>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</si>
  <si>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</si>
  <si>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</si>
  <si>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</si>
  <si>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</si>
  <si>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</si>
  <si>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</si>
  <si>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</si>
  <si>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</si>
  <si>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</si>
  <si>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</si>
  <si>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</si>
  <si>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</si>
  <si>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</si>
  <si>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</si>
  <si>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</si>
  <si>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</si>
  <si>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</si>
  <si>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</si>
  <si>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</si>
  <si>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</si>
  <si>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</si>
  <si>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</si>
  <si>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</si>
  <si>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</si>
  <si>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</si>
  <si>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</si>
  <si>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</si>
  <si>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</si>
  <si>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https://loco-info.com/view.aspx?id=10859&amp;cookies=decline</t>
  </si>
  <si>
    <t>https://cdi.mecon.gob.ar/bases/doc/trenrodante/254.pdf</t>
  </si>
  <si>
    <t>https://en.wikipedia.org/wiki/AEZ_Railcar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</si>
  <si>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</si>
  <si>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</si>
  <si>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</si>
  <si>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</si>
  <si>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</si>
  <si>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</si>
  <si>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</si>
  <si>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</si>
  <si>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</si>
  <si>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</si>
  <si>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</si>
  <si>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</si>
  <si>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</si>
  <si>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</si>
  <si>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</si>
  <si>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</si>
  <si>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</si>
  <si>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</si>
  <si>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</si>
  <si>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</si>
  <si>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</si>
  <si>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</si>
  <si>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</si>
  <si>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</si>
  <si>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</si>
  <si>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</si>
  <si>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</si>
  <si>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</si>
  <si>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</si>
  <si>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</si>
  <si>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</si>
  <si>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</si>
  <si>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</si>
  <si>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</si>
  <si>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</si>
  <si>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</si>
  <si>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</si>
  <si>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</si>
  <si>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</si>
  <si>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</si>
  <si>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</si>
  <si>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</si>
  <si>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</si>
  <si>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</si>
  <si>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</si>
  <si>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</si>
  <si>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</si>
  <si>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</si>
  <si>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</si>
  <si>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</si>
  <si>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</si>
  <si>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</si>
  <si>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</si>
  <si>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</si>
  <si>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</si>
  <si>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</si>
  <si>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</si>
  <si>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</si>
  <si>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</si>
  <si>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</si>
  <si>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</si>
  <si>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</si>
  <si>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</si>
  <si>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</si>
  <si>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</si>
  <si>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</si>
  <si>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</si>
  <si>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</si>
  <si>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</si>
  <si>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</si>
  <si>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</si>
  <si>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</si>
  <si>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</si>
  <si>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</si>
  <si>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</si>
  <si>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</si>
  <si>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</si>
  <si>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</si>
  <si>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</si>
  <si>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</si>
  <si>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</si>
  <si>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</si>
  <si>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</si>
  <si>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</si>
  <si>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</si>
  <si>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</si>
  <si>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</si>
  <si>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</si>
  <si>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</si>
  <si>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</si>
  <si>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</si>
  <si>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</si>
  <si>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</si>
  <si>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</si>
  <si>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</si>
  <si>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</si>
  <si>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</si>
  <si>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</si>
  <si>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</si>
  <si>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</si>
  <si>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</si>
  <si>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</si>
  <si>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</si>
  <si>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</si>
  <si>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</si>
  <si>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</si>
  <si>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</si>
  <si>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</si>
  <si>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</si>
  <si>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</si>
  <si>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</si>
  <si>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</si>
  <si>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</si>
  <si>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</si>
  <si>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</si>
  <si>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</si>
  <si>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</si>
  <si>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</si>
  <si>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</si>
  <si>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</si>
  <si>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</si>
  <si>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</si>
  <si>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</si>
  <si>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</si>
  <si>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</si>
  <si>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</si>
  <si>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</si>
  <si>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</si>
  <si>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</si>
  <si>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</si>
  <si>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</si>
  <si>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</si>
  <si>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</si>
  <si>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</si>
  <si>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</si>
  <si>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</si>
  <si>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</si>
  <si>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</si>
  <si>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</si>
  <si>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</si>
  <si>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</si>
  <si>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</si>
  <si>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</si>
  <si>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</si>
  <si>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</si>
  <si>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</si>
  <si>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</si>
  <si>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</si>
  <si>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</si>
  <si>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</si>
  <si>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</si>
  <si>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</si>
  <si>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</si>
  <si>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</si>
  <si>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</si>
  <si>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</si>
  <si>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</si>
  <si>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</si>
  <si>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</si>
  <si>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</si>
  <si>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</si>
  <si>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</si>
  <si>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</si>
  <si>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</si>
  <si>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</si>
  <si>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</si>
  <si>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</si>
  <si>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</si>
  <si>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</si>
  <si>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</si>
  <si>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</si>
  <si>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</si>
  <si>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</si>
  <si>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</si>
  <si>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</si>
  <si>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</si>
  <si>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</si>
  <si>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</si>
  <si>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</si>
  <si>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</si>
  <si>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</si>
  <si>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</si>
  <si>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</si>
  <si>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</si>
  <si>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</si>
  <si>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</si>
  <si>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</si>
  <si>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</si>
  <si>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</si>
  <si>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</si>
  <si>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</si>
  <si>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</si>
  <si>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</si>
  <si>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</si>
  <si>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</si>
  <si>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</si>
  <si>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</si>
  <si>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</si>
  <si>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</si>
  <si>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</si>
  <si>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</si>
  <si>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</si>
  <si>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</si>
  <si>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</si>
  <si>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</si>
  <si>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</si>
  <si>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</si>
  <si>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</si>
  <si>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</si>
  <si>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</si>
  <si>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</si>
  <si>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</si>
  <si>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</si>
  <si>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</si>
  <si>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</si>
  <si>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</si>
  <si>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</si>
  <si>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</si>
  <si>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</si>
  <si>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</si>
  <si>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</si>
  <si>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</si>
  <si>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</si>
  <si>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</si>
  <si>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</si>
  <si>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</si>
  <si>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</si>
  <si>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</si>
  <si>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</si>
  <si>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</si>
  <si>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</si>
  <si>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</si>
  <si>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</si>
  <si>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</si>
  <si>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</si>
  <si>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</si>
  <si>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</si>
  <si>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</si>
  <si>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</si>
  <si>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</si>
  <si>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</si>
  <si>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</si>
  <si>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</si>
  <si>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</si>
  <si>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</si>
  <si>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</si>
  <si>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</si>
  <si>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</si>
  <si>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</si>
  <si>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</si>
  <si>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</si>
  <si>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</si>
  <si>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</si>
  <si>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</si>
  <si>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</si>
  <si>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</si>
  <si>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</si>
  <si>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</si>
  <si>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</si>
  <si>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</si>
  <si>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</si>
  <si>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</si>
  <si>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</si>
  <si>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</si>
  <si>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</si>
  <si>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</si>
  <si>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</si>
  <si>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</si>
  <si>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</si>
  <si>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</si>
  <si>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</si>
  <si>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</si>
  <si>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</si>
  <si>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</si>
  <si>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</si>
  <si>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</si>
  <si>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</si>
  <si>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</si>
  <si>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</si>
  <si>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</si>
  <si>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</si>
  <si>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</si>
  <si>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</si>
  <si>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</si>
  <si>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</si>
  <si>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</si>
  <si>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</si>
  <si>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</si>
  <si>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</si>
  <si>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</si>
  <si>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</si>
  <si>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</si>
  <si>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</si>
  <si>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</si>
  <si>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</si>
  <si>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</si>
  <si>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</si>
  <si>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</si>
  <si>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</si>
  <si>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</si>
  <si>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</si>
  <si>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</si>
  <si>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ANF/DEL 150B</t>
  </si>
  <si>
    <t>H. Cegielski OKz32</t>
  </si>
  <si>
    <t>SLM C 5/6 'Elephant'</t>
  </si>
  <si>
    <t>Stephenson 0-4-2 'Locomotive No.1'</t>
  </si>
  <si>
    <t>Cooke 4-2-2 'T. D. Judah'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</si>
  <si>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</si>
  <si>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</si>
  <si>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</si>
  <si>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</si>
  <si>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</si>
  <si>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</si>
  <si>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</si>
  <si>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</si>
  <si>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</si>
  <si>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</si>
  <si>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</si>
  <si>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</si>
  <si>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</si>
  <si>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</si>
  <si>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</si>
  <si>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</si>
  <si>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</si>
  <si>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</si>
  <si>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</si>
  <si>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</si>
  <si>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</si>
  <si>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Co. 4-6-4+4-6-4 '15th'</t>
  </si>
  <si>
    <t>Beyer, P &amp; Co. 4-8-2+2-8-4 7550-7552</t>
  </si>
  <si>
    <t>Vulcan Foundry 2-8-4 6228</t>
  </si>
  <si>
    <t>Kitson 2-2-2WT 481 'Fairy Queen'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</si>
  <si>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</si>
  <si>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</si>
  <si>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</si>
  <si>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</si>
  <si>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</si>
  <si>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</si>
  <si>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</si>
  <si>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</si>
  <si>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</si>
  <si>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</si>
  <si>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</si>
  <si>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</si>
  <si>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</si>
  <si>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</si>
  <si>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</si>
  <si>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</si>
  <si>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</si>
  <si>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</si>
  <si>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</si>
  <si>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</si>
  <si>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</si>
  <si>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</si>
  <si>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</si>
  <si>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</si>
  <si>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</si>
  <si>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</si>
  <si>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</si>
  <si>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</si>
  <si>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</si>
  <si>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</si>
  <si>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</si>
  <si>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</si>
  <si>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</si>
  <si>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</si>
  <si>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</si>
  <si>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</si>
  <si>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</si>
  <si>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</si>
  <si>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</si>
  <si>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</si>
  <si>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</si>
  <si>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</si>
  <si>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</si>
  <si>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</si>
  <si>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</si>
  <si>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</si>
  <si>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</si>
  <si>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</si>
  <si>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</si>
  <si>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</si>
  <si>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</si>
  <si>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</si>
  <si>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</si>
  <si>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</si>
  <si>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</si>
  <si>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</si>
  <si>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</si>
  <si>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</si>
  <si>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</si>
  <si>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</si>
  <si>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</si>
  <si>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</si>
  <si>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</si>
  <si>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</si>
  <si>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</si>
  <si>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</si>
  <si>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</si>
  <si>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</si>
  <si>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</si>
  <si>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</si>
  <si>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</si>
  <si>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</si>
  <si>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</si>
  <si>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</si>
  <si>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</si>
  <si>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</si>
  <si>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</si>
  <si>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</si>
  <si>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</si>
  <si>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</si>
  <si>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</si>
  <si>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</si>
  <si>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</si>
  <si>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</si>
  <si>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</si>
  <si>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</si>
  <si>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</si>
  <si>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</si>
  <si>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</si>
  <si>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</si>
  <si>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</si>
  <si>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</si>
  <si>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</si>
  <si>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</si>
  <si>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</si>
  <si>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</si>
  <si>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</si>
  <si>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</si>
  <si>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</si>
  <si>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</si>
  <si>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</si>
  <si>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</si>
  <si>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</si>
  <si>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</si>
  <si>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</si>
  <si>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</si>
  <si>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</si>
  <si>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</si>
  <si>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</si>
  <si>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</si>
  <si>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</si>
  <si>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</si>
  <si>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</si>
  <si>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</si>
  <si>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</si>
  <si>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</si>
  <si>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</si>
  <si>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</si>
  <si>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</si>
  <si>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</si>
  <si>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</si>
  <si>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</si>
  <si>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</si>
  <si>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</si>
  <si>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</si>
  <si>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</si>
  <si>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</si>
  <si>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</si>
  <si>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</si>
  <si>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</si>
  <si>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</si>
  <si>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</si>
  <si>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</si>
  <si>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</si>
  <si>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Robert Stephenson 4-6-2 6982-6985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</si>
  <si>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</si>
  <si>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</si>
  <si>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</si>
  <si>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</si>
  <si>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</si>
  <si>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</si>
  <si>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</si>
  <si>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</si>
  <si>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</si>
  <si>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</si>
  <si>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</si>
  <si>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</si>
  <si>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</si>
  <si>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</si>
  <si>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</si>
  <si>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</si>
  <si>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</si>
  <si>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</si>
  <si>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</si>
  <si>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</si>
  <si>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</si>
  <si>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</si>
  <si>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</si>
  <si>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</si>
  <si>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</si>
  <si>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</si>
  <si>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</si>
  <si>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</si>
  <si>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</si>
  <si>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</si>
  <si>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</si>
  <si>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</si>
  <si>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</si>
  <si>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</si>
  <si>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</si>
  <si>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</si>
  <si>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</si>
  <si>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</si>
  <si>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</si>
  <si>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</si>
  <si>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</si>
  <si>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</si>
  <si>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</si>
  <si>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</si>
  <si>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</si>
  <si>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</si>
  <si>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</si>
  <si>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</si>
  <si>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</si>
  <si>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</si>
  <si>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</si>
  <si>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</si>
  <si>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</si>
  <si>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</si>
  <si>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</si>
  <si>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</si>
  <si>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</si>
  <si>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</si>
  <si>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</si>
  <si>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</si>
  <si>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</si>
  <si>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</si>
  <si>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</si>
  <si>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</si>
  <si>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</si>
  <si>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</si>
  <si>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</si>
  <si>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</si>
  <si>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</si>
  <si>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</si>
  <si>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</si>
  <si>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</si>
  <si>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</si>
  <si>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</si>
  <si>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</si>
  <si>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</si>
  <si>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</si>
  <si>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</si>
  <si>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</si>
  <si>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</si>
  <si>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</si>
  <si>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</si>
  <si>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</si>
  <si>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</si>
  <si>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</si>
  <si>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</si>
  <si>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</si>
  <si>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</si>
  <si>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</si>
  <si>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</si>
  <si>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</si>
  <si>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</si>
  <si>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</si>
  <si>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</si>
  <si>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</si>
  <si>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</si>
  <si>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</si>
  <si>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</si>
  <si>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</si>
  <si>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</si>
  <si>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</si>
  <si>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</si>
  <si>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</si>
  <si>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</si>
  <si>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</si>
  <si>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</si>
  <si>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</si>
  <si>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</si>
  <si>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</si>
  <si>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</si>
  <si>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</si>
  <si>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</si>
  <si>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</si>
  <si>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</si>
  <si>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</si>
  <si>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</si>
  <si>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</si>
  <si>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</si>
  <si>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</si>
  <si>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</si>
  <si>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</si>
  <si>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</si>
  <si>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</si>
  <si>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</si>
  <si>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</si>
  <si>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</si>
  <si>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</si>
  <si>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</si>
  <si>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</si>
  <si>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</si>
  <si>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</si>
  <si>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</si>
  <si>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</si>
  <si>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</si>
  <si>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</si>
  <si>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</si>
  <si>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</si>
  <si>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</si>
  <si>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</si>
  <si>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</si>
  <si>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</si>
  <si>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</si>
  <si>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</si>
  <si>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</si>
  <si>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</si>
  <si>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</si>
  <si>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</si>
  <si>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</si>
  <si>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</si>
  <si>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</si>
  <si>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</si>
  <si>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</si>
  <si>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</si>
  <si>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</si>
  <si>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</si>
  <si>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</si>
  <si>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</si>
  <si>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</si>
  <si>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</si>
  <si>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</si>
  <si>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</si>
  <si>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</si>
  <si>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</si>
  <si>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</si>
  <si>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</si>
  <si>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</si>
  <si>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</si>
  <si>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</si>
  <si>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</si>
  <si>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</si>
  <si>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</si>
  <si>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</si>
  <si>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</si>
  <si>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</si>
  <si>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</si>
  <si>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</si>
  <si>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</si>
  <si>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</si>
  <si>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</si>
  <si>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</si>
  <si>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</si>
  <si>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</si>
  <si>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</si>
  <si>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</si>
  <si>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</si>
  <si>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</si>
  <si>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</si>
  <si>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</si>
  <si>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</si>
  <si>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</si>
  <si>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</si>
  <si>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</si>
  <si>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</si>
  <si>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</si>
  <si>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</si>
  <si>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</si>
  <si>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</si>
  <si>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</si>
  <si>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</si>
  <si>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</si>
  <si>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</si>
  <si>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</si>
  <si>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</si>
  <si>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</si>
  <si>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</si>
  <si>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</si>
  <si>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</si>
  <si>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</si>
  <si>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</si>
  <si>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</si>
  <si>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</si>
  <si>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</si>
  <si>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</si>
  <si>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</si>
  <si>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</si>
  <si>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</si>
  <si>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</si>
  <si>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</si>
  <si>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</si>
  <si>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</si>
  <si>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</si>
  <si>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</si>
  <si>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</si>
  <si>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</si>
  <si>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</si>
  <si>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</si>
  <si>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</si>
  <si>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</si>
  <si>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</si>
  <si>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</si>
  <si>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</si>
  <si>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</si>
  <si>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</si>
  <si>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</si>
  <si>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</si>
  <si>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</si>
  <si>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</si>
  <si>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</si>
  <si>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</si>
  <si>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</si>
  <si>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</si>
  <si>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</si>
  <si>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</si>
  <si>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</si>
  <si>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</si>
  <si>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</si>
  <si>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</si>
  <si>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</si>
  <si>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</si>
  <si>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</si>
  <si>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</si>
  <si>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</si>
  <si>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</si>
  <si>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</si>
  <si>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</si>
  <si>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</si>
  <si>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</si>
  <si>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</si>
  <si>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</si>
  <si>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</si>
  <si>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</si>
  <si>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</si>
  <si>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</si>
  <si>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</si>
  <si>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</si>
  <si>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</si>
  <si>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</si>
  <si>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</si>
  <si>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</si>
  <si>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</si>
  <si>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</si>
  <si>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</si>
  <si>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</si>
  <si>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</si>
  <si>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</si>
  <si>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</si>
  <si>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</si>
  <si>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</si>
  <si>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</si>
  <si>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</si>
  <si>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</si>
  <si>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</si>
  <si>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</si>
  <si>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</si>
  <si>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</si>
  <si>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</si>
  <si>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</si>
  <si>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</si>
  <si>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</si>
  <si>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</si>
  <si>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</si>
  <si>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</si>
  <si>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</si>
  <si>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</si>
  <si>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</si>
  <si>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</si>
  <si>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</si>
  <si>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</si>
  <si>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</si>
  <si>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</si>
  <si>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</si>
  <si>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</si>
  <si>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</si>
  <si>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</si>
  <si>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</si>
  <si>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</si>
  <si>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</si>
  <si>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</si>
  <si>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</si>
  <si>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</si>
  <si>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</si>
  <si>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</si>
  <si>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</si>
  <si>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</si>
  <si>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</si>
  <si>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</si>
  <si>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</si>
  <si>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</si>
  <si>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</si>
  <si>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</si>
  <si>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</si>
  <si>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</si>
  <si>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</si>
  <si>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</si>
  <si>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</si>
  <si>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</si>
  <si>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</si>
  <si>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</si>
  <si>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</si>
  <si>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</si>
  <si>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</si>
  <si>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</si>
  <si>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</si>
  <si>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</si>
  <si>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</si>
  <si>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</si>
  <si>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</si>
  <si>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</si>
  <si>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</si>
  <si>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</si>
  <si>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</si>
  <si>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</si>
  <si>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</si>
  <si>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</si>
  <si>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</si>
  <si>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</si>
  <si>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</si>
  <si>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</si>
  <si>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</si>
  <si>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</si>
  <si>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</si>
  <si>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</si>
  <si>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</si>
  <si>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</si>
  <si>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</si>
  <si>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</si>
  <si>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</si>
  <si>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</si>
  <si>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</si>
  <si>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</si>
  <si>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</si>
  <si>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</si>
  <si>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</si>
  <si>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</si>
  <si>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</si>
  <si>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</si>
  <si>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</si>
  <si>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</si>
  <si>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</si>
  <si>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</si>
  <si>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</si>
  <si>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</si>
  <si>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</si>
  <si>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</si>
  <si>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</si>
  <si>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</si>
  <si>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</si>
  <si>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</si>
  <si>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</si>
  <si>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</si>
  <si>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</si>
  <si>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</si>
  <si>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</si>
  <si>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</si>
  <si>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</si>
  <si>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</si>
  <si>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</si>
  <si>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</si>
  <si>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</si>
  <si>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</si>
  <si>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</si>
  <si>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</si>
  <si>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</si>
  <si>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</si>
  <si>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</si>
  <si>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</si>
  <si>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</si>
  <si>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</si>
  <si>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</si>
  <si>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</si>
  <si>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</si>
  <si>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</si>
  <si>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</si>
  <si>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</si>
  <si>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</si>
  <si>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</si>
  <si>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</si>
  <si>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</si>
  <si>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</si>
  <si>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</si>
  <si>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</si>
  <si>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</si>
  <si>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</si>
  <si>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</si>
  <si>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</si>
  <si>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</si>
  <si>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</si>
  <si>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</si>
  <si>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</si>
  <si>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</si>
  <si>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</si>
  <si>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</si>
  <si>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</si>
  <si>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</si>
  <si>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</si>
  <si>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</si>
  <si>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</si>
  <si>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</si>
  <si>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</si>
  <si>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</si>
  <si>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</si>
  <si>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</si>
  <si>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</si>
  <si>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</si>
  <si>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</si>
  <si>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</si>
  <si>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</si>
  <si>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</si>
  <si>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</si>
  <si>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</si>
  <si>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</si>
  <si>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</si>
  <si>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</si>
  <si>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</si>
  <si>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</si>
  <si>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</si>
  <si>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</si>
  <si>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</si>
  <si>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</si>
  <si>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</si>
  <si>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</si>
  <si>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</si>
  <si>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</si>
  <si>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</si>
  <si>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</si>
  <si>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</si>
  <si>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</si>
  <si>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</si>
  <si>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</si>
  <si>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</si>
  <si>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</si>
  <si>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</si>
  <si>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</si>
  <si>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</si>
  <si>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</si>
  <si>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</si>
  <si>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</si>
  <si>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</si>
  <si>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</si>
  <si>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</si>
  <si>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</si>
  <si>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</si>
  <si>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</si>
  <si>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</si>
  <si>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</si>
  <si>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</si>
  <si>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</si>
  <si>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</si>
  <si>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</si>
  <si>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</si>
  <si>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</si>
  <si>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</si>
  <si>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</si>
  <si>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</si>
  <si>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</si>
  <si>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</si>
  <si>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</si>
  <si>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</si>
  <si>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</si>
  <si>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</si>
  <si>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</si>
  <si>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</si>
  <si>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</si>
  <si>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</si>
  <si>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</si>
  <si>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</si>
  <si>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</si>
  <si>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</si>
  <si>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</si>
  <si>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</si>
  <si>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</si>
  <si>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</si>
  <si>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</si>
  <si>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</si>
  <si>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</si>
  <si>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</si>
  <si>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</si>
  <si>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</si>
  <si>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</si>
  <si>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</si>
  <si>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</si>
  <si>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</si>
  <si>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</si>
  <si>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</si>
  <si>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</si>
  <si>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</si>
  <si>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</si>
  <si>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</si>
  <si>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</si>
  <si>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</si>
  <si>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</si>
  <si>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</si>
  <si>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</si>
  <si>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</si>
  <si>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</si>
  <si>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</si>
  <si>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</si>
  <si>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</si>
  <si>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</si>
  <si>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</si>
  <si>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</si>
  <si>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</si>
  <si>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</si>
  <si>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</si>
  <si>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</si>
  <si>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</si>
  <si>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</si>
  <si>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</si>
  <si>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</si>
  <si>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</si>
  <si>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</si>
  <si>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</si>
  <si>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</si>
  <si>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</si>
  <si>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</si>
  <si>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</si>
  <si>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</si>
  <si>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</si>
  <si>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</si>
  <si>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</si>
  <si>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</si>
  <si>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</si>
  <si>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</si>
  <si>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</si>
  <si>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</si>
  <si>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</si>
  <si>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</si>
  <si>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</si>
  <si>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</si>
  <si>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</si>
  <si>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</si>
  <si>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</si>
  <si>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</si>
  <si>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</si>
  <si>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</si>
  <si>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</si>
  <si>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</si>
  <si>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</si>
  <si>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</si>
  <si>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</si>
  <si>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</si>
  <si>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</si>
  <si>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</si>
  <si>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</si>
  <si>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</si>
  <si>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</si>
  <si>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</si>
  <si>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</si>
  <si>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</si>
  <si>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</si>
  <si>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</si>
  <si>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</si>
  <si>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</si>
  <si>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</si>
  <si>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</si>
  <si>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</si>
  <si>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</si>
  <si>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</si>
  <si>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</si>
  <si>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</si>
  <si>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</si>
  <si>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</si>
  <si>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</si>
  <si>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</si>
  <si>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</si>
  <si>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</si>
  <si>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</si>
  <si>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</si>
  <si>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</si>
  <si>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</si>
  <si>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</si>
  <si>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</si>
  <si>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</si>
  <si>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</si>
  <si>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</si>
  <si>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</si>
  <si>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</si>
  <si>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</si>
  <si>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</si>
  <si>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</si>
  <si>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</si>
  <si>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</si>
  <si>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</si>
  <si>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</si>
  <si>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</si>
  <si>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</si>
  <si>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</si>
  <si>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</si>
  <si>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</si>
  <si>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</si>
  <si>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</si>
  <si>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</si>
  <si>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</si>
  <si>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</si>
  <si>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</si>
  <si>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</si>
  <si>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</si>
  <si>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</si>
  <si>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</si>
  <si>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</si>
  <si>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</si>
  <si>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</si>
  <si>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</si>
  <si>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</si>
  <si>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</si>
  <si>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</si>
  <si>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</si>
  <si>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</si>
  <si>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</si>
  <si>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</si>
  <si>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</si>
  <si>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</si>
  <si>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</si>
  <si>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</si>
  <si>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</si>
  <si>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</si>
  <si>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</si>
  <si>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</si>
  <si>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</si>
  <si>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</si>
  <si>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</si>
  <si>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</si>
  <si>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</si>
  <si>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</si>
  <si>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</si>
  <si>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</si>
  <si>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</si>
  <si>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</si>
  <si>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</si>
  <si>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</si>
  <si>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</si>
  <si>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</si>
  <si>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</si>
  <si>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</si>
  <si>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</si>
  <si>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</si>
  <si>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</si>
  <si>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</si>
  <si>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</si>
  <si>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</si>
  <si>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</si>
  <si>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</si>
  <si>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</si>
  <si>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</si>
  <si>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</si>
  <si>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</si>
  <si>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</si>
  <si>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</si>
  <si>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</si>
  <si>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</si>
  <si>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</si>
  <si>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</si>
  <si>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</si>
  <si>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</si>
  <si>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</si>
  <si>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</si>
  <si>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</si>
  <si>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</si>
  <si>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</si>
  <si>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</si>
  <si>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</si>
  <si>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</si>
  <si>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</si>
  <si>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</si>
  <si>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</si>
  <si>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</si>
  <si>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</si>
  <si>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</si>
  <si>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</si>
  <si>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</si>
  <si>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</si>
  <si>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</si>
  <si>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</si>
  <si>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</si>
  <si>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</si>
  <si>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</si>
  <si>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</si>
  <si>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</si>
  <si>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</si>
  <si>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</si>
  <si>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</si>
  <si>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</si>
  <si>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</si>
  <si>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</si>
  <si>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</si>
  <si>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</si>
  <si>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</si>
  <si>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</si>
  <si>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</si>
  <si>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</si>
  <si>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</si>
  <si>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</si>
  <si>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</si>
  <si>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</si>
  <si>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</si>
  <si>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</si>
  <si>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</si>
  <si>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</si>
  <si>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</si>
  <si>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</si>
  <si>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</si>
  <si>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</si>
  <si>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</si>
  <si>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</si>
  <si>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</si>
  <si>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</si>
  <si>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</si>
  <si>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</si>
  <si>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</si>
  <si>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</si>
  <si>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</si>
  <si>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</si>
  <si>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</si>
  <si>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</si>
  <si>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</si>
  <si>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</si>
  <si>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</si>
  <si>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</si>
  <si>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</si>
  <si>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</si>
  <si>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</si>
  <si>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</si>
  <si>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</si>
  <si>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</si>
  <si>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</si>
  <si>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</si>
  <si>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</si>
  <si>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</si>
  <si>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</si>
  <si>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</si>
  <si>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</si>
  <si>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</si>
  <si>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</si>
  <si>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</si>
  <si>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</si>
  <si>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</si>
  <si>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</si>
  <si>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</si>
  <si>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</si>
  <si>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</si>
  <si>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</si>
  <si>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</si>
  <si>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</si>
  <si>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</si>
  <si>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</si>
  <si>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</si>
  <si>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</si>
  <si>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</si>
  <si>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</si>
  <si>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</si>
  <si>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</si>
  <si>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</si>
  <si>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</si>
  <si>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</si>
  <si>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</si>
  <si>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</si>
  <si>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</si>
  <si>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</si>
  <si>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</si>
  <si>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</si>
  <si>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</si>
  <si>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</si>
  <si>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</si>
  <si>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</si>
  <si>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</si>
  <si>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</si>
  <si>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</si>
  <si>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</si>
  <si>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</si>
  <si>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</si>
  <si>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</si>
  <si>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</si>
  <si>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</si>
  <si>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</si>
  <si>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</si>
  <si>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</si>
  <si>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</si>
  <si>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</si>
  <si>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</si>
  <si>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</si>
  <si>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</si>
  <si>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</si>
  <si>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</si>
  <si>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</si>
  <si>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</si>
  <si>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</si>
  <si>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</si>
  <si>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</si>
  <si>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</si>
  <si>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</si>
  <si>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</si>
  <si>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</si>
  <si>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</si>
  <si>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</si>
  <si>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</si>
  <si>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</si>
  <si>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</si>
  <si>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</si>
  <si>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</si>
  <si>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</si>
  <si>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</si>
  <si>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</si>
  <si>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</si>
  <si>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</si>
  <si>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</si>
  <si>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</si>
  <si>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</si>
  <si>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</si>
  <si>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</si>
  <si>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</si>
  <si>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</si>
  <si>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</si>
  <si>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</si>
  <si>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</si>
  <si>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</si>
  <si>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</si>
  <si>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</si>
  <si>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</si>
  <si>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</si>
  <si>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</si>
  <si>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</si>
  <si>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</si>
  <si>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</si>
  <si>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</si>
  <si>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</si>
  <si>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</si>
  <si>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</si>
  <si>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</si>
  <si>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</si>
  <si>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</si>
  <si>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</si>
  <si>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</si>
  <si>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</si>
  <si>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</si>
  <si>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</si>
  <si>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</si>
  <si>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</si>
  <si>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</si>
  <si>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</si>
  <si>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</si>
  <si>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</si>
  <si>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</si>
  <si>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</si>
  <si>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</si>
  <si>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</si>
  <si>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</si>
  <si>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</si>
  <si>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</si>
  <si>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</si>
  <si>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</si>
  <si>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</si>
  <si>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</si>
  <si>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</si>
  <si>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</si>
  <si>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</si>
  <si>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</si>
  <si>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</si>
  <si>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</si>
  <si>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</si>
  <si>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</si>
  <si>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</si>
  <si>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</si>
  <si>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</si>
  <si>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</si>
  <si>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</si>
  <si>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</si>
  <si>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</si>
  <si>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</si>
  <si>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</si>
  <si>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</si>
  <si>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</si>
  <si>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</si>
  <si>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</si>
  <si>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</si>
  <si>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</si>
  <si>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</si>
  <si>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</si>
  <si>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</si>
  <si>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</si>
  <si>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</si>
  <si>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</si>
  <si>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</si>
  <si>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</si>
  <si>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</si>
  <si>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</si>
  <si>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</si>
  <si>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</si>
  <si>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</si>
  <si>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</si>
  <si>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</si>
  <si>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</si>
  <si>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</si>
  <si>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</si>
  <si>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</si>
  <si>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</si>
  <si>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</si>
  <si>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</si>
  <si>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</si>
  <si>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</si>
  <si>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</si>
  <si>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</si>
  <si>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</si>
  <si>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</si>
  <si>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</si>
  <si>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</si>
  <si>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</si>
  <si>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</si>
  <si>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</si>
  <si>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</si>
  <si>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</si>
  <si>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</si>
  <si>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</si>
  <si>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</si>
  <si>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</si>
  <si>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</si>
  <si>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</si>
  <si>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</si>
  <si>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</si>
  <si>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</si>
  <si>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</si>
  <si>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</si>
  <si>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</si>
  <si>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</si>
  <si>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</si>
  <si>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</si>
  <si>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</si>
  <si>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</si>
  <si>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</si>
  <si>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</si>
  <si>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</si>
  <si>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</si>
  <si>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</si>
  <si>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</si>
  <si>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</si>
  <si>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</si>
  <si>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</si>
  <si>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</si>
  <si>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</si>
  <si>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</si>
  <si>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</si>
  <si>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</si>
  <si>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</si>
  <si>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</si>
  <si>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</si>
  <si>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</si>
  <si>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</si>
  <si>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</si>
  <si>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</si>
  <si>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</si>
  <si>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</si>
  <si>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</si>
  <si>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</si>
  <si>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</si>
  <si>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</si>
  <si>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</si>
  <si>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</si>
  <si>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</si>
  <si>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</si>
  <si>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</si>
  <si>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</si>
  <si>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</si>
  <si>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</si>
  <si>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</si>
  <si>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</si>
  <si>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</si>
  <si>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</si>
  <si>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</si>
  <si>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</si>
  <si>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</si>
  <si>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</si>
  <si>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</si>
  <si>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</si>
  <si>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</si>
  <si>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</si>
  <si>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</si>
  <si>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</si>
  <si>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</si>
  <si>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</si>
  <si>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</si>
  <si>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</si>
  <si>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</si>
  <si>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</si>
  <si>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</si>
  <si>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</si>
  <si>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</si>
  <si>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</si>
  <si>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</si>
  <si>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</si>
  <si>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</si>
  <si>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</si>
  <si>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</si>
  <si>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</si>
  <si>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</si>
  <si>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</si>
  <si>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</si>
  <si>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</si>
  <si>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</si>
  <si>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</si>
  <si>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</si>
  <si>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</si>
  <si>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</si>
  <si>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</si>
  <si>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</si>
  <si>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</si>
  <si>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</si>
  <si>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</si>
  <si>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</si>
  <si>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</si>
  <si>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</si>
  <si>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</si>
  <si>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</si>
  <si>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</si>
  <si>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</si>
  <si>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</si>
  <si>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</si>
  <si>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</si>
  <si>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</si>
  <si>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</si>
  <si>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</si>
  <si>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</si>
  <si>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</si>
  <si>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</si>
  <si>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</si>
  <si>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</si>
  <si>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</si>
  <si>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</si>
  <si>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</si>
  <si>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</si>
  <si>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</si>
  <si>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</si>
  <si>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</si>
  <si>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</si>
  <si>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</si>
  <si>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</si>
  <si>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</si>
  <si>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</si>
  <si>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</si>
  <si>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</si>
  <si>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</si>
  <si>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</si>
  <si>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</si>
  <si>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</si>
  <si>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</si>
  <si>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steam_Avonside_0_6_0ST_Sao_Paulo_No__13___14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</si>
  <si>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</si>
  <si>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</si>
  <si>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</si>
  <si>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</si>
  <si>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</si>
  <si>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</si>
  <si>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</si>
  <si>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</si>
  <si>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</si>
  <si>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</si>
  <si>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</si>
  <si>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</si>
  <si>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</si>
  <si>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</si>
  <si>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</si>
  <si>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</si>
  <si>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</si>
  <si>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</si>
  <si>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</si>
  <si>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</si>
  <si>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</si>
  <si>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</si>
  <si>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</si>
  <si>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</si>
  <si>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</si>
  <si>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</si>
  <si>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</si>
  <si>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</si>
  <si>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</si>
  <si>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</si>
  <si>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</si>
  <si>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</si>
  <si>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</si>
  <si>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</si>
  <si>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</si>
  <si>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</si>
  <si>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</si>
  <si>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</si>
  <si>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</si>
  <si>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</si>
  <si>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</si>
  <si>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</si>
  <si>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</si>
  <si>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</si>
  <si>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</si>
  <si>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</si>
  <si>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</si>
  <si>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</si>
  <si>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</si>
  <si>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</si>
  <si>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</si>
  <si>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</si>
  <si>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</si>
  <si>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</si>
  <si>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</si>
  <si>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</si>
  <si>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</si>
  <si>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</si>
  <si>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</si>
  <si>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</si>
  <si>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</si>
  <si>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</si>
  <si>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</si>
  <si>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</si>
  <si>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</si>
  <si>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</si>
  <si>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</si>
  <si>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</si>
  <si>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</si>
  <si>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</si>
  <si>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</si>
  <si>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</si>
  <si>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</si>
  <si>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</si>
  <si>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</si>
  <si>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</si>
  <si>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</si>
  <si>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</si>
  <si>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</si>
  <si>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</si>
  <si>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</si>
  <si>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</si>
  <si>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</si>
  <si>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</si>
  <si>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</si>
  <si>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</si>
  <si>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</si>
  <si>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</si>
  <si>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</si>
  <si>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</si>
  <si>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</si>
  <si>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</si>
  <si>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</si>
  <si>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</si>
  <si>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</si>
  <si>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</si>
  <si>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</si>
  <si>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</si>
  <si>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</si>
  <si>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</si>
  <si>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</si>
  <si>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</si>
  <si>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</si>
  <si>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</si>
  <si>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</si>
  <si>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</si>
  <si>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</si>
  <si>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</si>
  <si>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</si>
  <si>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</si>
  <si>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</si>
  <si>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</si>
  <si>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</si>
  <si>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</si>
  <si>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</si>
  <si>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</si>
  <si>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</si>
  <si>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</si>
  <si>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</si>
  <si>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</si>
  <si>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</si>
  <si>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</si>
  <si>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</si>
  <si>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</si>
  <si>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</si>
  <si>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</si>
  <si>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</si>
  <si>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</si>
  <si>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</si>
  <si>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</si>
  <si>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</si>
  <si>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</si>
  <si>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</si>
  <si>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</si>
  <si>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</si>
  <si>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</si>
  <si>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</si>
  <si>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</si>
  <si>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</si>
  <si>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</si>
  <si>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</si>
  <si>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</si>
  <si>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</si>
  <si>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</si>
  <si>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</si>
  <si>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</si>
  <si>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</si>
  <si>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</si>
  <si>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</si>
  <si>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</si>
  <si>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</si>
  <si>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</si>
  <si>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</si>
  <si>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</si>
  <si>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</si>
  <si>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</si>
  <si>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</si>
  <si>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</si>
  <si>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</si>
  <si>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</si>
  <si>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</si>
  <si>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</si>
  <si>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</si>
  <si>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</si>
  <si>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</si>
  <si>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</si>
  <si>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</si>
  <si>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</si>
  <si>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</si>
  <si>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</si>
  <si>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</si>
  <si>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</si>
  <si>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</si>
  <si>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</si>
  <si>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</si>
  <si>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</si>
  <si>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</si>
  <si>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</si>
  <si>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</si>
  <si>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</si>
  <si>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</si>
  <si>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</si>
  <si>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</si>
  <si>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</si>
  <si>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</si>
  <si>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</si>
  <si>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</si>
  <si>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</si>
  <si>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</si>
  <si>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</si>
  <si>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</si>
  <si>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</si>
  <si>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</si>
  <si>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</si>
  <si>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</si>
  <si>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</si>
  <si>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</si>
  <si>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</si>
  <si>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</si>
  <si>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</si>
  <si>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</si>
  <si>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</si>
  <si>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</si>
  <si>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</si>
  <si>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</si>
  <si>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</si>
  <si>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</si>
  <si>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</si>
  <si>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</si>
  <si>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</si>
  <si>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</si>
  <si>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</si>
  <si>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</si>
  <si>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</si>
  <si>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</si>
  <si>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</si>
  <si>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</si>
  <si>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</si>
  <si>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</si>
  <si>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</si>
  <si>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</si>
  <si>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</si>
  <si>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</si>
  <si>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</si>
  <si>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</si>
  <si>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</si>
  <si>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</si>
  <si>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</si>
  <si>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</si>
  <si>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</si>
  <si>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</si>
  <si>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</si>
  <si>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</si>
  <si>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</si>
  <si>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</si>
  <si>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</si>
  <si>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</si>
  <si>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</si>
  <si>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</si>
  <si>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</si>
  <si>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</si>
  <si>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</si>
  <si>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</si>
  <si>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</si>
  <si>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</si>
  <si>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</si>
  <si>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</si>
  <si>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</si>
  <si>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</si>
  <si>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</si>
  <si>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</si>
  <si>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</si>
  <si>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</si>
  <si>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</si>
  <si>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</si>
  <si>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</si>
  <si>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</si>
  <si>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</si>
  <si>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</si>
  <si>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</si>
  <si>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</si>
  <si>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</si>
  <si>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</si>
  <si>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</si>
  <si>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</si>
  <si>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</si>
  <si>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</si>
  <si>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</si>
  <si>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</si>
  <si>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</si>
  <si>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</si>
  <si>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</si>
  <si>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</si>
  <si>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</si>
  <si>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</si>
  <si>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</si>
  <si>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</si>
  <si>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</si>
  <si>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</si>
  <si>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</si>
  <si>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</si>
  <si>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</si>
  <si>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</si>
  <si>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</si>
  <si>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</si>
  <si>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</si>
  <si>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</si>
  <si>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</si>
  <si>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</si>
  <si>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</si>
  <si>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</si>
  <si>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</si>
  <si>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</si>
  <si>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</si>
  <si>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</si>
  <si>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</si>
  <si>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</si>
  <si>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</si>
  <si>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</si>
  <si>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</si>
  <si>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</si>
  <si>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</si>
  <si>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</si>
  <si>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</si>
  <si>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</si>
  <si>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</si>
  <si>
    <t>Tours/Chapelon 2-12-0 SNCF 160A</t>
  </si>
  <si>
    <t>https://www.loco-info.com/view.aspx?id=17187&amp;t=&amp;cookies=decline</t>
  </si>
  <si>
    <t>steam_Tours_Chapelon_2_12_0_160A</t>
  </si>
  <si>
    <t>LENGTH_P2</t>
  </si>
  <si>
    <t>LENGTH_P3_WAGON</t>
  </si>
  <si>
    <t>LENGTH_P1_HEAD</t>
  </si>
  <si>
    <t>HAS_DRIVING_STATE</t>
  </si>
  <si>
    <t>LOADING_STATE_COUNT</t>
  </si>
  <si>
    <t>OPEN_WAGON_G1</t>
  </si>
  <si>
    <t>OPEN_WAGON_G2PLUS</t>
  </si>
  <si>
    <t>HOPPER_TYPE_FOOD</t>
  </si>
  <si>
    <t>HOPPER_TYPE_NONFOOD</t>
  </si>
  <si>
    <t>SILO_TYPE_FOOD</t>
  </si>
  <si>
    <t>SILO_TYPE_NONFOOD</t>
  </si>
  <si>
    <t>BOXCAR_TYPE_NONFOOD</t>
  </si>
  <si>
    <t>BOXCAR_TYPE_FOOD</t>
  </si>
  <si>
    <t>https://zh.wikipedia.org/wiki/2TE126%E5%9E%8B%E6%9F%B4%E6%B2%B9%E6%9C%BA%E8%BD%A6</t>
  </si>
  <si>
    <t>diesel_LTZ_TE166</t>
  </si>
  <si>
    <t>LTZ 2TE116</t>
  </si>
  <si>
    <t>electric_Siemens_Vectron_MS</t>
  </si>
  <si>
    <t>AEC Railmotor RM1</t>
  </si>
  <si>
    <t>Alstom Coradia Duplex</t>
  </si>
  <si>
    <t>Kitson &amp; Co. CSAR Railmotor</t>
  </si>
  <si>
    <t>Breese, Kneeland &amp; Co. 4-4-0 'No 1'</t>
  </si>
  <si>
    <t>Sharp, Stewart &amp; Co. 4-4-0 3557-3565</t>
  </si>
  <si>
    <t>Beyer, P &amp; Co. 2-4-0 SS 9-16, 21-78</t>
  </si>
  <si>
    <t>Beyer, P &amp; Co. 2-6-0T 1702-1706</t>
  </si>
  <si>
    <t>Beyer, P &amp; Co. 2-6-0 2073-2092</t>
  </si>
  <si>
    <t>Nasmyth, Wilson &amp; Co. '35-tonner' 4-6-0T</t>
  </si>
  <si>
    <t>Beyer, P &amp; Co. 2-4-0 SS 9-16</t>
  </si>
  <si>
    <t>Beyer, P &amp; Co. 2-6-0 6112-6113</t>
  </si>
  <si>
    <t>Beyer, P &amp; Co. 4-8-4+4-8-4 7473-7497</t>
  </si>
  <si>
    <t>Sharp, Stewart &amp; Co. 0-4-0ST DHR B</t>
  </si>
  <si>
    <t>dmu_Ganz_CMU_4701_Transandino</t>
  </si>
  <si>
    <t>dmu_Ganz_Bariloche_DMU</t>
  </si>
  <si>
    <t>Ganz 'Bariloche' DMU</t>
  </si>
  <si>
    <t>Ganz 'Transandino' CMU 4701</t>
  </si>
  <si>
    <t>Henschel &amp; Sohn 'Condenser'</t>
  </si>
  <si>
    <t>Kerr, Stuart &amp; Co. Motor Car 3</t>
  </si>
  <si>
    <t>Nippon Sharyo 1000 Series</t>
  </si>
  <si>
    <t>RAW Schoneweide 479.201</t>
  </si>
  <si>
    <t>TPL_READONLY</t>
  </si>
  <si>
    <t>#REF!</t>
  </si>
  <si>
    <t>rbd_Ganz_MAVAG_SN61</t>
  </si>
  <si>
    <t>https://pl.wikipedia.org/wiki/SN61</t>
  </si>
  <si>
    <t>Ganz-MAVAG SN61</t>
  </si>
  <si>
    <t>rbd_Ganz_MAVAG_Ikarus_725_00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</si>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</sst>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2">
    <dxf>
      <font>
        <color theme="0" tint="-0.24994659260841701"/>
      </font>
      <numFmt numFmtId="0" formatCode="General"/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300.716571759258" createdVersion="8" refreshedVersion="8" minRefreshableVersion="3" recordCount="1115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8">
        <e v="#REF!"/>
        <m/>
        <s v="Powered/Unpowered Sundry" u="1"/>
        <s v="Commuter/Urban" u="1"/>
        <s v="Light Freight" u="1"/>
        <s v="Express Passenger" u="1"/>
        <s v="Shunting" u="1"/>
        <s v="Universal" u="1"/>
        <s v="Express" u="1"/>
        <s v="Heavy Freight" u="1"/>
        <s v="Metro" u="1"/>
        <s v="Ultra-High-Speed (Universal)" u="1"/>
        <s v="Freight" u="1"/>
        <s v="Ultra-High-Speed (Pax)" u="1"/>
        <s v="Wagon" u="1"/>
        <s v="Coach (Commuter)" u="1"/>
        <s v="Coach (Mail)" u="1"/>
        <s v="Coach (Express)" u="1"/>
        <s v="Coach (HS)" u="1"/>
        <e v="#N/A" u="1"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Autorefresh</xxpvi:lastRefreshFeature>
      </xxpvi:cacheVersionInfo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5">
  <r>
    <s v="mglv_Maglev_Wagon_Powered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_NO_REGION_NO_REGION_NO_REGION"/>
    <x v="0"/>
    <x v="0"/>
    <x v="0"/>
    <x v="0"/>
    <x v="0"/>
    <x v="0"/>
    <x v="0"/>
    <x v="0"/>
    <x v="0"/>
  </r>
  <r>
    <s v="rbs_Komarek_NOLB_1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s_Kerr__Stuart___Co__86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rbs_Victorian_Railways_Rowan_Railmotor"/>
    <x v="0"/>
    <x v="1"/>
    <x v="2"/>
    <x v="0"/>
    <s v="OCEANIA_NO_REGION_NO_REGION_NO_REGION"/>
    <x v="1"/>
    <x v="1"/>
    <x v="1"/>
    <x v="1"/>
    <x v="1"/>
    <x v="1"/>
    <x v="1"/>
    <x v="1"/>
    <x v="0"/>
  </r>
  <r>
    <s v="rbs_Esslingen_Czm_1_2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s_Maffei_MCCi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s_Kitson___Co_CSAR_Railmotor"/>
    <x v="0"/>
    <x v="1"/>
    <x v="1"/>
    <x v="0"/>
    <s v="AFRICA_NO_REGION_NO_REGION_NO_REGION"/>
    <x v="0"/>
    <x v="1"/>
    <x v="1"/>
    <x v="1"/>
    <x v="1"/>
    <x v="1"/>
    <x v="1"/>
    <x v="1"/>
    <x v="1"/>
  </r>
  <r>
    <s v="rbs_Kerr_Stuart_steam_railmotor"/>
    <x v="0"/>
    <x v="1"/>
    <x v="1"/>
    <x v="0"/>
    <s v="OCEANIA_NO_REGION_NO_REGION_NO_REGION"/>
    <x v="1"/>
    <x v="1"/>
    <x v="1"/>
    <x v="1"/>
    <x v="1"/>
    <x v="1"/>
    <x v="1"/>
    <x v="1"/>
    <x v="0"/>
  </r>
  <r>
    <s v="rbs_KkStB_4_0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rbd_AEC_railmotor_RM1"/>
    <x v="0"/>
    <x v="1"/>
    <x v="3"/>
    <x v="0"/>
    <s v="OCEANIA_NO_REGION_NO_REGION_NO_REGION"/>
    <x v="1"/>
    <x v="1"/>
    <x v="1"/>
    <x v="1"/>
    <x v="1"/>
    <x v="1"/>
    <x v="1"/>
    <x v="1"/>
    <x v="0"/>
  </r>
  <r>
    <s v="rbd_VT133_Wismar_Railcar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AEC_Railca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Simmering_VT42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Hutt_RM31"/>
    <x v="0"/>
    <x v="1"/>
    <x v="4"/>
    <x v="0"/>
    <s v="OCEANIA_NO_REGION_NO_REGION_NO_REGION"/>
    <x v="1"/>
    <x v="1"/>
    <x v="1"/>
    <x v="1"/>
    <x v="1"/>
    <x v="1"/>
    <x v="1"/>
    <x v="1"/>
    <x v="0"/>
  </r>
  <r>
    <s v="rbd_NOHAB_CP_01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d_Budd_RDC"/>
    <x v="0"/>
    <x v="1"/>
    <x v="4"/>
    <x v="0"/>
    <s v="ALL_AMERICA_APAC_NO_REGION_NO_REGION"/>
    <x v="1"/>
    <x v="0"/>
    <x v="1"/>
    <x v="1"/>
    <x v="1"/>
    <x v="1"/>
    <x v="0"/>
    <x v="0"/>
    <x v="0"/>
  </r>
  <r>
    <s v="rbd_Uerdingen_railbus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MaK_GDT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Allan_Kameel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NS_DH1"/>
    <x v="0"/>
    <x v="1"/>
    <x v="5"/>
    <x v="0"/>
    <s v="ALL_EUROPE_SOUTH_AMERICA_NO_REGION_NO_REGION"/>
    <x v="1"/>
    <x v="1"/>
    <x v="0"/>
    <x v="0"/>
    <x v="0"/>
    <x v="0"/>
    <x v="1"/>
    <x v="0"/>
    <x v="1"/>
  </r>
  <r>
    <s v="rbd_Jenbacher_Werke_5047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d_Hunslet_Barclay_Super_Sprinter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rbd_Vagonka_Studenka_809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rbd_DWA_67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d_RVR_AR2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rbd_Austro_Daimler_Z1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d_McKeen_Motor_Car_70"/>
    <x v="0"/>
    <x v="1"/>
    <x v="1"/>
    <x v="0"/>
    <s v="NORTH_AMERICA_NO_REGION_NO_REGION_NO_REGION"/>
    <x v="1"/>
    <x v="1"/>
    <x v="1"/>
    <x v="1"/>
    <x v="1"/>
    <x v="1"/>
    <x v="0"/>
    <x v="1"/>
    <x v="1"/>
  </r>
  <r>
    <s v="rbd_BBC_DET_1_2_Sachsischer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d_WC_PR_Drewry_Railca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LHW_BSt_6001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EMC_DERM"/>
    <x v="0"/>
    <x v="1"/>
    <x v="3"/>
    <x v="0"/>
    <s v="OCEANIA_NO_REGION_NO_REGION_NO_REGION"/>
    <x v="1"/>
    <x v="1"/>
    <x v="1"/>
    <x v="1"/>
    <x v="1"/>
    <x v="1"/>
    <x v="1"/>
    <x v="1"/>
    <x v="0"/>
  </r>
  <r>
    <s v="rbd_Tatra_M120_4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rbd_Franz_Kruckenberg_Schienenzeppelin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DSB_MO_Serie_1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Strommens_Kristine_Valdresdatte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Tatra_M290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rbd_Werkspoor_DM37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Eveleigh_400_Class"/>
    <x v="0"/>
    <x v="1"/>
    <x v="3"/>
    <x v="0"/>
    <s v="OCEANIA_NO_REGION_NO_REGION_NO_REGION"/>
    <x v="1"/>
    <x v="1"/>
    <x v="1"/>
    <x v="1"/>
    <x v="1"/>
    <x v="1"/>
    <x v="1"/>
    <x v="1"/>
    <x v="0"/>
  </r>
  <r>
    <s v="rbd_Vale_do_Vouga_ME51_55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d_Ateliers_Germain_42_43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SGP_77783_1960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rbd_Ferrostaal_Esslingen_AA_71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rbd_Alsthom_Z_431"/>
    <x v="0"/>
    <x v="1"/>
    <x v="6"/>
    <x v="0"/>
    <s v="AFRICA_NO_REGION_NO_REGION_NO_REGION"/>
    <x v="0"/>
    <x v="1"/>
    <x v="1"/>
    <x v="1"/>
    <x v="1"/>
    <x v="1"/>
    <x v="1"/>
    <x v="1"/>
    <x v="1"/>
  </r>
  <r>
    <s v="rbd_Budd_SPV_2000"/>
    <x v="0"/>
    <x v="1"/>
    <x v="6"/>
    <x v="0"/>
    <s v="NORTH_AMERICA_AFRICA_NO_REGION_NO_REGION"/>
    <x v="0"/>
    <x v="1"/>
    <x v="1"/>
    <x v="1"/>
    <x v="1"/>
    <x v="1"/>
    <x v="0"/>
    <x v="1"/>
    <x v="1"/>
  </r>
  <r>
    <s v="rbd_CKD_Vagonka_Dm12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rbd_Stadler_Regio_Shuttle_RS1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rbd_Fiat_Ferroviaria_ALn_668_14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e_Ringhoffer_40_001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rbe_Decauville_Z_71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rbe_HAWA_AEG_Kleinbahn_Nr__1_3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e_Raw_Schoneweide_479_201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e_Studenka_425_95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rbe_Pozzuoli___OCREN_OM_ALe_84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e_Stanga_ALe_8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rbe_FS_E_623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e_ONCF_ZAB1000"/>
    <x v="0"/>
    <x v="1"/>
    <x v="3"/>
    <x v="0"/>
    <s v="AFRICA_NO_REGION_NO_REGION_NO_REGION"/>
    <x v="0"/>
    <x v="1"/>
    <x v="1"/>
    <x v="1"/>
    <x v="1"/>
    <x v="1"/>
    <x v="1"/>
    <x v="1"/>
    <x v="1"/>
  </r>
  <r>
    <s v="rbe_Pesa_308B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rbe_Franz_Knotz_4855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e_Lindner_Talbot_ET_10_109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rbe_Waggonfabrik_Fuchs_ET_85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e_ASJ_Y6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rbe_Budd_Silverliner_II"/>
    <x v="0"/>
    <x v="1"/>
    <x v="6"/>
    <x v="0"/>
    <s v="NORTH_AMERICA_NO_REGION_NO_REGION_NO_REGION"/>
    <x v="1"/>
    <x v="1"/>
    <x v="1"/>
    <x v="1"/>
    <x v="1"/>
    <x v="1"/>
    <x v="0"/>
    <x v="1"/>
    <x v="1"/>
  </r>
  <r>
    <s v="rbe_Hyundai_Rotem_Silverliner_V"/>
    <x v="0"/>
    <x v="1"/>
    <x v="0"/>
    <x v="0"/>
    <s v="NORTH_AMERICA_NO_REGION_NO_REGION_NO_REGION"/>
    <x v="1"/>
    <x v="1"/>
    <x v="1"/>
    <x v="1"/>
    <x v="1"/>
    <x v="1"/>
    <x v="0"/>
    <x v="1"/>
    <x v="1"/>
  </r>
  <r>
    <s v="steam_John_Cockerill___Cie__Le_Belge"/>
    <x v="0"/>
    <x v="1"/>
    <x v="7"/>
    <x v="0"/>
    <s v="WESTERN_EUROPE_NO_REGION_NO_REGION_NO_REGION"/>
    <x v="1"/>
    <x v="1"/>
    <x v="1"/>
    <x v="1"/>
    <x v="0"/>
    <x v="1"/>
    <x v="1"/>
    <x v="1"/>
    <x v="1"/>
  </r>
  <r>
    <s v="steam_GWR_4_4_0_American"/>
    <x v="0"/>
    <x v="1"/>
    <x v="8"/>
    <x v="0"/>
    <s v="NORTH_AMERICA_NO_REGION_NO_REGION_NO_REGION"/>
    <x v="1"/>
    <x v="1"/>
    <x v="1"/>
    <x v="1"/>
    <x v="1"/>
    <x v="1"/>
    <x v="0"/>
    <x v="1"/>
    <x v="1"/>
  </r>
  <r>
    <s v="steam_Esslingen_Ec_2_5"/>
    <x v="0"/>
    <x v="1"/>
    <x v="8"/>
    <x v="0"/>
    <s v="WESTERN_EUROPE_NO_REGION_NO_REGION_NO_REGION"/>
    <x v="1"/>
    <x v="1"/>
    <x v="1"/>
    <x v="1"/>
    <x v="0"/>
    <x v="1"/>
    <x v="1"/>
    <x v="1"/>
    <x v="1"/>
  </r>
  <r>
    <s v="steam_Norris_4_6_0_Ten_wheeler"/>
    <x v="0"/>
    <x v="1"/>
    <x v="9"/>
    <x v="0"/>
    <s v="NORTH_AMERICA_NO_REGION_NO_REGION_NO_REGION"/>
    <x v="1"/>
    <x v="1"/>
    <x v="1"/>
    <x v="1"/>
    <x v="1"/>
    <x v="1"/>
    <x v="0"/>
    <x v="1"/>
    <x v="1"/>
  </r>
  <r>
    <s v="steam_Baldwin_2_8_0_Consolidation"/>
    <x v="0"/>
    <x v="1"/>
    <x v="9"/>
    <x v="0"/>
    <s v="NORTH_AMERICA_NO_REGION_NO_REGION_NO_REGION"/>
    <x v="1"/>
    <x v="1"/>
    <x v="1"/>
    <x v="1"/>
    <x v="1"/>
    <x v="1"/>
    <x v="0"/>
    <x v="1"/>
    <x v="1"/>
  </r>
  <r>
    <s v="steam_MAV_377"/>
    <x v="0"/>
    <x v="1"/>
    <x v="2"/>
    <x v="0"/>
    <s v="EASTERN_EUROPE_NO_REGION_NO_REGION_NO_REGION"/>
    <x v="1"/>
    <x v="1"/>
    <x v="1"/>
    <x v="0"/>
    <x v="1"/>
    <x v="1"/>
    <x v="1"/>
    <x v="1"/>
    <x v="1"/>
  </r>
  <r>
    <s v="steam_Krauss_KkStB_99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McIntosh__Caledonian_Railway__439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steam_SLM_Winterthur_A_3_5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SLM_Winterthur_E_3_3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Krauss_299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NZR_X"/>
    <x v="0"/>
    <x v="1"/>
    <x v="1"/>
    <x v="0"/>
    <s v="OCEANIA_NO_REGION_NO_REGION_NO_REGION"/>
    <x v="1"/>
    <x v="1"/>
    <x v="1"/>
    <x v="1"/>
    <x v="1"/>
    <x v="1"/>
    <x v="1"/>
    <x v="1"/>
    <x v="0"/>
  </r>
  <r>
    <s v="steam_MaVAG_375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FS_880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steam_FCNEA_11B_2_8_0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Schneider_et_Cie_140C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Union_Giesserei_2_8_2T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GWR_4900_Hall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GWR_5700_Pannie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Henschel___Sohn_series_6300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steam_Baldwin_5000_Madame_Queen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Schwartzkopff_S_10_Prussian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LMS_5MT_Black_Five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Kolomena_9P"/>
    <x v="0"/>
    <x v="1"/>
    <x v="3"/>
    <x v="0"/>
    <s v="POST_SOVIET_BALTIC_NO_REGION_NO_REGION_NO_REGION"/>
    <x v="1"/>
    <x v="0"/>
    <x v="1"/>
    <x v="0"/>
    <x v="1"/>
    <x v="0"/>
    <x v="1"/>
    <x v="1"/>
    <x v="1"/>
  </r>
  <r>
    <s v="steam_LNER_A4_Gresley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MLW_Royal_Hudson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NOHAB_4_6_2_F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GGL_HAS_52"/>
    <x v="0"/>
    <x v="1"/>
    <x v="4"/>
    <x v="0"/>
    <s v="ALL_EUROPE_ASIA_NO_REGION_NO_REGION"/>
    <x v="1"/>
    <x v="0"/>
    <x v="0"/>
    <x v="0"/>
    <x v="0"/>
    <x v="0"/>
    <x v="1"/>
    <x v="1"/>
    <x v="1"/>
  </r>
  <r>
    <s v="steam_Doncaster_Darlington_Peppercorn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steam_Henschel___Son_Condenser"/>
    <x v="0"/>
    <x v="1"/>
    <x v="4"/>
    <x v="0"/>
    <s v="AFRICA_NO_REGION_NO_REGION_NO_REGION"/>
    <x v="0"/>
    <x v="1"/>
    <x v="1"/>
    <x v="1"/>
    <x v="1"/>
    <x v="1"/>
    <x v="1"/>
    <x v="1"/>
    <x v="1"/>
  </r>
  <r>
    <s v="steam_Kolomena_P36"/>
    <x v="0"/>
    <x v="1"/>
    <x v="4"/>
    <x v="0"/>
    <s v="POST_SOVIET_BALTIC_NO_REGION_NO_REGION_NO_REGION"/>
    <x v="1"/>
    <x v="0"/>
    <x v="1"/>
    <x v="0"/>
    <x v="1"/>
    <x v="0"/>
    <x v="1"/>
    <x v="1"/>
    <x v="1"/>
  </r>
  <r>
    <s v="steam_ANF_DEL_150B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steam_Henschel_895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steam_H__Cegielski_OKz32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SLM_C_5_6_Elephant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ALCO_series_4000_4_8_8_4_Big_Boy"/>
    <x v="0"/>
    <x v="1"/>
    <x v="4"/>
    <x v="0"/>
    <s v="NORTH_AMERICA_NO_REGION_NO_REGION_NO_REGION"/>
    <x v="1"/>
    <x v="1"/>
    <x v="1"/>
    <x v="1"/>
    <x v="1"/>
    <x v="1"/>
    <x v="0"/>
    <x v="1"/>
    <x v="1"/>
  </r>
  <r>
    <s v="steam_Sharp_Stewart_3557_3565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GWR_Iron_Duke"/>
    <x v="0"/>
    <x v="1"/>
    <x v="8"/>
    <x v="0"/>
    <s v="NORTHERN_EUROPE_NO_REGION_NO_REGION_NO_REGION"/>
    <x v="1"/>
    <x v="1"/>
    <x v="1"/>
    <x v="1"/>
    <x v="1"/>
    <x v="0"/>
    <x v="1"/>
    <x v="1"/>
    <x v="1"/>
  </r>
  <r>
    <s v="steam_Stephenson_0_4_2_Locomotive_No_1"/>
    <x v="0"/>
    <x v="1"/>
    <x v="8"/>
    <x v="0"/>
    <s v="OCEANIA_NO_REGION_NO_REGION_NO_REGION"/>
    <x v="1"/>
    <x v="1"/>
    <x v="1"/>
    <x v="1"/>
    <x v="1"/>
    <x v="1"/>
    <x v="1"/>
    <x v="1"/>
    <x v="0"/>
  </r>
  <r>
    <s v="steam_Cooke_4_2_2_T__D__Judah"/>
    <x v="0"/>
    <x v="1"/>
    <x v="9"/>
    <x v="0"/>
    <s v="NORTH_AMERICA_NO_REGION_NO_REGION_NO_REGION"/>
    <x v="1"/>
    <x v="1"/>
    <x v="1"/>
    <x v="1"/>
    <x v="1"/>
    <x v="1"/>
    <x v="0"/>
    <x v="1"/>
    <x v="1"/>
  </r>
  <r>
    <s v="steam_Beyer__P___Co_2_4_0_SS_9_16__21_78"/>
    <x v="0"/>
    <x v="1"/>
    <x v="9"/>
    <x v="0"/>
    <s v="WESTERN_EUROPE_NO_REGION_NO_REGION_NO_REGION"/>
    <x v="1"/>
    <x v="1"/>
    <x v="1"/>
    <x v="1"/>
    <x v="0"/>
    <x v="1"/>
    <x v="1"/>
    <x v="1"/>
    <x v="1"/>
  </r>
  <r>
    <s v="steam_Beyer__P___Co_2_6_0T_1702_1706"/>
    <x v="0"/>
    <x v="1"/>
    <x v="9"/>
    <x v="0"/>
    <s v="AFRICA_NO_REGION_NO_REGION_NO_REGION"/>
    <x v="0"/>
    <x v="1"/>
    <x v="1"/>
    <x v="1"/>
    <x v="1"/>
    <x v="1"/>
    <x v="1"/>
    <x v="1"/>
    <x v="1"/>
  </r>
  <r>
    <s v="steam_Beyer__P___Co_2_6_0_2073_2092"/>
    <x v="0"/>
    <x v="1"/>
    <x v="2"/>
    <x v="0"/>
    <s v="OCEANIA_NO_REGION_NO_REGION_NO_REGION"/>
    <x v="1"/>
    <x v="1"/>
    <x v="1"/>
    <x v="1"/>
    <x v="1"/>
    <x v="1"/>
    <x v="1"/>
    <x v="1"/>
    <x v="0"/>
  </r>
  <r>
    <s v="steam_Canadian_Pacific_374"/>
    <x v="0"/>
    <x v="1"/>
    <x v="2"/>
    <x v="0"/>
    <s v="NORTH_AMERICA_NO_REGION_NO_REGION_NO_REGION"/>
    <x v="1"/>
    <x v="1"/>
    <x v="1"/>
    <x v="1"/>
    <x v="1"/>
    <x v="1"/>
    <x v="0"/>
    <x v="1"/>
    <x v="1"/>
  </r>
  <r>
    <s v="steam_Nasmyth__Wilson___Co_35_tonner_4_6_0T"/>
    <x v="0"/>
    <x v="1"/>
    <x v="2"/>
    <x v="0"/>
    <s v="AFRICA_NO_REGION_NO_REGION_NO_REGION"/>
    <x v="0"/>
    <x v="1"/>
    <x v="1"/>
    <x v="1"/>
    <x v="1"/>
    <x v="1"/>
    <x v="1"/>
    <x v="1"/>
    <x v="1"/>
  </r>
  <r>
    <s v="steam_Schneider_RENFE_040"/>
    <x v="0"/>
    <x v="1"/>
    <x v="2"/>
    <x v="0"/>
    <s v="SOUTHERN_EUROPE_NO_REGION_NO_REGION_NO_REGION"/>
    <x v="1"/>
    <x v="1"/>
    <x v="0"/>
    <x v="1"/>
    <x v="1"/>
    <x v="1"/>
    <x v="1"/>
    <x v="1"/>
    <x v="1"/>
  </r>
  <r>
    <s v="steam_Sachsische_Maschinenfabrik_IV_K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Hanomag_S_3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Thune_XXIa"/>
    <x v="0"/>
    <x v="1"/>
    <x v="2"/>
    <x v="0"/>
    <s v="NORTHERN_EUROPE_NO_REGION_NO_REGION_NO_REGION"/>
    <x v="1"/>
    <x v="1"/>
    <x v="1"/>
    <x v="1"/>
    <x v="1"/>
    <x v="0"/>
    <x v="1"/>
    <x v="1"/>
    <x v="1"/>
  </r>
  <r>
    <s v="steam_PRR_D16"/>
    <x v="0"/>
    <x v="1"/>
    <x v="2"/>
    <x v="0"/>
    <s v="NORTH_AMERICA_NO_REGION_NO_REGION_NO_REGION"/>
    <x v="1"/>
    <x v="1"/>
    <x v="1"/>
    <x v="1"/>
    <x v="1"/>
    <x v="1"/>
    <x v="0"/>
    <x v="1"/>
    <x v="1"/>
  </r>
  <r>
    <s v="steam_Machinefabriek_Breda_661_667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ALCO_46581_2_6_6_2_Mallet"/>
    <x v="0"/>
    <x v="1"/>
    <x v="1"/>
    <x v="0"/>
    <s v="AFRICA_NO_REGION_NO_REGION_NO_REGION"/>
    <x v="0"/>
    <x v="1"/>
    <x v="1"/>
    <x v="1"/>
    <x v="1"/>
    <x v="1"/>
    <x v="1"/>
    <x v="1"/>
    <x v="1"/>
  </r>
  <r>
    <s v="steam_Orenstein___Koppel_2_8_0_8_Tender"/>
    <x v="0"/>
    <x v="1"/>
    <x v="1"/>
    <x v="0"/>
    <s v="AFRICA_NO_REGION_NO_REGION_NO_REGION"/>
    <x v="0"/>
    <x v="1"/>
    <x v="1"/>
    <x v="1"/>
    <x v="1"/>
    <x v="1"/>
    <x v="1"/>
    <x v="1"/>
    <x v="1"/>
  </r>
  <r>
    <s v="steam_Stratford_Works_L77_LNER_N7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steam_Sachsische_Maschinenfabrik_XX_HV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Beyer__P___Co_2_4_0_SS_9_16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steam_Beyer__P___Co_2_6_0_6112_6113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Baldwin_10_32_E_55246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Canadian_National_U_1_a_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Vulcan_Foundry_2_6_4_Class_XB"/>
    <x v="0"/>
    <x v="1"/>
    <x v="3"/>
    <x v="0"/>
    <s v="ASIA_NO_REGION_NO_REGION_NO_REGION"/>
    <x v="1"/>
    <x v="0"/>
    <x v="1"/>
    <x v="1"/>
    <x v="1"/>
    <x v="1"/>
    <x v="1"/>
    <x v="1"/>
    <x v="1"/>
  </r>
  <r>
    <s v="steam_Robert_Stephenson_4_6_2_6982_6985"/>
    <x v="0"/>
    <x v="1"/>
    <x v="4"/>
    <x v="0"/>
    <s v="ASIA_NO_REGION_NO_REGION_NO_REGION"/>
    <x v="1"/>
    <x v="0"/>
    <x v="1"/>
    <x v="1"/>
    <x v="1"/>
    <x v="1"/>
    <x v="1"/>
    <x v="1"/>
    <x v="1"/>
  </r>
  <r>
    <s v="steam_ENR_1100__LMS_Fowler_3F___WD_0_6_0T_"/>
    <x v="0"/>
    <x v="1"/>
    <x v="3"/>
    <x v="0"/>
    <s v="AFRICA_NORTH_WEST_EUROPE_NO_REGION_NO_REGION"/>
    <x v="0"/>
    <x v="1"/>
    <x v="1"/>
    <x v="1"/>
    <x v="0"/>
    <x v="0"/>
    <x v="1"/>
    <x v="1"/>
    <x v="1"/>
  </r>
  <r>
    <s v="steam_Swindon_Works_381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steam_North_British_LC_R_4_6_4_Hudson"/>
    <x v="0"/>
    <x v="1"/>
    <x v="4"/>
    <x v="0"/>
    <s v="OCEANIA_NO_REGION_NO_REGION_NO_REGION"/>
    <x v="1"/>
    <x v="1"/>
    <x v="1"/>
    <x v="1"/>
    <x v="1"/>
    <x v="1"/>
    <x v="1"/>
    <x v="1"/>
    <x v="0"/>
  </r>
  <r>
    <s v="steam_VEB_2_10_2T_99_77_79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steam_RAW_Meiningen_4_6_2_89_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steam_NZR_4_6_4T_WAB"/>
    <x v="0"/>
    <x v="1"/>
    <x v="3"/>
    <x v="0"/>
    <s v="OCEANIA_NO_REGION_NO_REGION_NO_REGION"/>
    <x v="1"/>
    <x v="1"/>
    <x v="1"/>
    <x v="1"/>
    <x v="1"/>
    <x v="1"/>
    <x v="1"/>
    <x v="1"/>
    <x v="0"/>
  </r>
  <r>
    <s v="steam_Clyde_4_8_2_D57"/>
    <x v="0"/>
    <x v="1"/>
    <x v="3"/>
    <x v="0"/>
    <s v="OCEANIA_NO_REGION_NO_REGION_NO_REGION"/>
    <x v="1"/>
    <x v="1"/>
    <x v="1"/>
    <x v="1"/>
    <x v="1"/>
    <x v="1"/>
    <x v="1"/>
    <x v="1"/>
    <x v="0"/>
  </r>
  <r>
    <s v="steam_Islington_Railway_Workshops_81_92_520"/>
    <x v="0"/>
    <x v="1"/>
    <x v="4"/>
    <x v="0"/>
    <s v="OCEANIA_NO_REGION_NO_REGION_NO_REGION"/>
    <x v="1"/>
    <x v="1"/>
    <x v="1"/>
    <x v="1"/>
    <x v="1"/>
    <x v="1"/>
    <x v="1"/>
    <x v="1"/>
    <x v="0"/>
  </r>
  <r>
    <s v="steam_Beyer__P___Co_4_8_4_4_8_4_7473_7497"/>
    <x v="0"/>
    <x v="1"/>
    <x v="4"/>
    <x v="0"/>
    <s v="OCEANIA_NO_REGION_NO_REGION_NO_REGION"/>
    <x v="1"/>
    <x v="1"/>
    <x v="1"/>
    <x v="1"/>
    <x v="1"/>
    <x v="1"/>
    <x v="1"/>
    <x v="1"/>
    <x v="0"/>
  </r>
  <r>
    <s v="steam_AFE_N1_2_6_0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Sir_Armstrong_Whithworth___Co__PS1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steam_Alexander_Chaplin___Co__1584_0_4_0VB"/>
    <x v="0"/>
    <x v="1"/>
    <x v="9"/>
    <x v="0"/>
    <s v="AFRICA_NO_REGION_NO_REGION_NO_REGION"/>
    <x v="0"/>
    <x v="1"/>
    <x v="1"/>
    <x v="1"/>
    <x v="1"/>
    <x v="1"/>
    <x v="1"/>
    <x v="1"/>
    <x v="1"/>
  </r>
  <r>
    <s v="steam_Falcon_Engine_and_Car_Works_F2"/>
    <x v="0"/>
    <x v="1"/>
    <x v="2"/>
    <x v="0"/>
    <s v="AFRICA_NO_REGION_NO_REGION_NO_REGION"/>
    <x v="0"/>
    <x v="1"/>
    <x v="1"/>
    <x v="1"/>
    <x v="1"/>
    <x v="1"/>
    <x v="1"/>
    <x v="1"/>
    <x v="1"/>
  </r>
  <r>
    <s v="steam_Ansaldo_R_440_Mallet"/>
    <x v="0"/>
    <x v="1"/>
    <x v="1"/>
    <x v="0"/>
    <s v="AFRICA_NO_REGION_NO_REGION_NO_REGION"/>
    <x v="0"/>
    <x v="1"/>
    <x v="1"/>
    <x v="1"/>
    <x v="1"/>
    <x v="1"/>
    <x v="1"/>
    <x v="1"/>
    <x v="1"/>
  </r>
  <r>
    <s v="steam_Beyer__P___Co__4_8_0_6128_6133"/>
    <x v="0"/>
    <x v="1"/>
    <x v="3"/>
    <x v="0"/>
    <s v="AFRICA_NO_REGION_NO_REGION_NO_REGION"/>
    <x v="0"/>
    <x v="1"/>
    <x v="1"/>
    <x v="1"/>
    <x v="1"/>
    <x v="1"/>
    <x v="1"/>
    <x v="1"/>
    <x v="1"/>
  </r>
  <r>
    <s v="steam_Vulcan_Foundry_4_8_2_4318_4320"/>
    <x v="0"/>
    <x v="1"/>
    <x v="3"/>
    <x v="0"/>
    <s v="AFRICA_NO_REGION_NO_REGION_NO_REGION"/>
    <x v="0"/>
    <x v="1"/>
    <x v="1"/>
    <x v="1"/>
    <x v="1"/>
    <x v="1"/>
    <x v="1"/>
    <x v="1"/>
    <x v="1"/>
  </r>
  <r>
    <s v="steam_Beyer__P___Co__4_6_4_4_6_4_15th"/>
    <x v="0"/>
    <x v="1"/>
    <x v="4"/>
    <x v="0"/>
    <s v="AFRICA_NO_REGION_NO_REGION_NO_REGION"/>
    <x v="0"/>
    <x v="1"/>
    <x v="1"/>
    <x v="1"/>
    <x v="1"/>
    <x v="1"/>
    <x v="1"/>
    <x v="1"/>
    <x v="1"/>
  </r>
  <r>
    <s v="steam_Beyer__P___Co__4_8_2_2_8_4_7550_7552"/>
    <x v="0"/>
    <x v="1"/>
    <x v="4"/>
    <x v="0"/>
    <s v="AFRICA_NO_REGION_NO_REGION_NO_REGION"/>
    <x v="0"/>
    <x v="1"/>
    <x v="1"/>
    <x v="1"/>
    <x v="1"/>
    <x v="1"/>
    <x v="1"/>
    <x v="1"/>
    <x v="1"/>
  </r>
  <r>
    <s v="steam_Vulcan_Foundry_2_8_4_6228"/>
    <x v="0"/>
    <x v="1"/>
    <x v="4"/>
    <x v="0"/>
    <s v="AFRICA_NO_REGION_NO_REGION_NO_REGION"/>
    <x v="0"/>
    <x v="1"/>
    <x v="1"/>
    <x v="1"/>
    <x v="1"/>
    <x v="1"/>
    <x v="1"/>
    <x v="1"/>
    <x v="1"/>
  </r>
  <r>
    <s v="steam_Kitson_2_2_2WT_481_Fairy_Queen"/>
    <x v="0"/>
    <x v="1"/>
    <x v="8"/>
    <x v="0"/>
    <s v="ASIA_NO_REGION_NO_REGION_NO_REGION"/>
    <x v="1"/>
    <x v="0"/>
    <x v="1"/>
    <x v="1"/>
    <x v="1"/>
    <x v="1"/>
    <x v="1"/>
    <x v="1"/>
    <x v="1"/>
  </r>
  <r>
    <s v="steam_Sharp__Stewart___Co_0_4_0ST_DHR_B"/>
    <x v="0"/>
    <x v="1"/>
    <x v="2"/>
    <x v="0"/>
    <s v="ASIA_NO_REGION_NO_REGION_NO_REGION"/>
    <x v="1"/>
    <x v="0"/>
    <x v="1"/>
    <x v="1"/>
    <x v="1"/>
    <x v="1"/>
    <x v="1"/>
    <x v="1"/>
    <x v="1"/>
  </r>
  <r>
    <s v="steam_Baldwin_2_8_0_Sentetsu_Sorii"/>
    <x v="0"/>
    <x v="1"/>
    <x v="2"/>
    <x v="0"/>
    <s v="ASIA_NO_REGION_NO_REGION_NO_REGION"/>
    <x v="1"/>
    <x v="0"/>
    <x v="1"/>
    <x v="1"/>
    <x v="1"/>
    <x v="1"/>
    <x v="1"/>
    <x v="1"/>
    <x v="1"/>
  </r>
  <r>
    <s v="steam_Putilov_4_6_0_U"/>
    <x v="0"/>
    <x v="1"/>
    <x v="1"/>
    <x v="0"/>
    <s v="POST_SOVIET_BALTIC_NO_REGION_NO_REGION_NO_REGION"/>
    <x v="1"/>
    <x v="0"/>
    <x v="1"/>
    <x v="0"/>
    <x v="1"/>
    <x v="0"/>
    <x v="1"/>
    <x v="1"/>
    <x v="1"/>
  </r>
  <r>
    <s v="steam_Baldwin_12_44_F_2_10_0_Ye"/>
    <x v="0"/>
    <x v="1"/>
    <x v="1"/>
    <x v="0"/>
    <s v="POST_SOVIET_BALTIC_NO_REGION_NO_REGION_NO_REGION"/>
    <x v="1"/>
    <x v="0"/>
    <x v="1"/>
    <x v="0"/>
    <x v="1"/>
    <x v="0"/>
    <x v="1"/>
    <x v="1"/>
    <x v="1"/>
  </r>
  <r>
    <s v="steam_Baldwin_4_6_0_50201"/>
    <x v="0"/>
    <x v="1"/>
    <x v="1"/>
    <x v="0"/>
    <s v="ASIA_NO_REGION_NO_REGION_NO_REGION"/>
    <x v="1"/>
    <x v="0"/>
    <x v="1"/>
    <x v="1"/>
    <x v="1"/>
    <x v="1"/>
    <x v="1"/>
    <x v="1"/>
    <x v="1"/>
  </r>
  <r>
    <s v="steam_FS_480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steam_FS_691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steam_North_British_Lb_2_10_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steam_ALCO_Baldwin_2_8_0_USATC_S16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steam_RENFE_4_8_4_242F_Confederacion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steam_Skoda_6Lo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Hanomag_Fablok_4_6_0_Ok22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MAVAG_4_8_0_424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MAVAG_4_4_4T_242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Vulcan_Foundry_2_8_0_Liberation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steam_Fablok_2_6_2_OI49"/>
    <x v="0"/>
    <x v="1"/>
    <x v="4"/>
    <x v="0"/>
    <s v="EASTERN_EUROPE_ASIA_NO_REGION_NO_REGION"/>
    <x v="1"/>
    <x v="0"/>
    <x v="1"/>
    <x v="0"/>
    <x v="1"/>
    <x v="1"/>
    <x v="1"/>
    <x v="1"/>
    <x v="1"/>
  </r>
  <r>
    <s v="steam_Floridsdorf_2_6_2_KkStB_310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Lima__4_8_4_7798_7817_Daylight"/>
    <x v="0"/>
    <x v="1"/>
    <x v="4"/>
    <x v="0"/>
    <s v="NORTH_AMERICA_NO_REGION_NO_REGION_NO_REGION"/>
    <x v="1"/>
    <x v="1"/>
    <x v="1"/>
    <x v="1"/>
    <x v="1"/>
    <x v="1"/>
    <x v="0"/>
    <x v="1"/>
    <x v="1"/>
  </r>
  <r>
    <s v="steam_GS_WR_0_6_0_101"/>
    <x v="0"/>
    <x v="1"/>
    <x v="9"/>
    <x v="0"/>
    <s v="NORTHERN_EUROPE_NO_REGION_NO_REGION_NO_REGION"/>
    <x v="1"/>
    <x v="1"/>
    <x v="1"/>
    <x v="1"/>
    <x v="1"/>
    <x v="0"/>
    <x v="1"/>
    <x v="1"/>
    <x v="1"/>
  </r>
  <r>
    <s v="steam_ALCO_2_8_2_5100_5194_Light_Mikado"/>
    <x v="0"/>
    <x v="1"/>
    <x v="1"/>
    <x v="0"/>
    <s v="NORTH_AMERICA_NO_REGION_NO_REGION_NO_REGION"/>
    <x v="1"/>
    <x v="1"/>
    <x v="1"/>
    <x v="1"/>
    <x v="1"/>
    <x v="1"/>
    <x v="0"/>
    <x v="1"/>
    <x v="1"/>
  </r>
  <r>
    <s v="steam_FCGR__BAGS__No__315_2_4_0T"/>
    <x v="0"/>
    <x v="1"/>
    <x v="9"/>
    <x v="0"/>
    <s v="SOUTH_AMERICA_NO_REGION_NO_REGION_NO_REGION"/>
    <x v="1"/>
    <x v="1"/>
    <x v="1"/>
    <x v="1"/>
    <x v="1"/>
    <x v="1"/>
    <x v="1"/>
    <x v="0"/>
    <x v="1"/>
  </r>
  <r>
    <s v="steam_Eveleigh_4_6_0_C35"/>
    <x v="0"/>
    <x v="1"/>
    <x v="1"/>
    <x v="0"/>
    <s v="OCEANIA_NO_REGION_NO_REGION_NO_REGION"/>
    <x v="1"/>
    <x v="1"/>
    <x v="1"/>
    <x v="1"/>
    <x v="1"/>
    <x v="1"/>
    <x v="1"/>
    <x v="1"/>
    <x v="0"/>
  </r>
  <r>
    <s v="steam_ALCO_2_8_0_74707_74785_Type_29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steam_FCAB_4_8_2_Vulcan_Mountain"/>
    <x v="1"/>
    <x v="1"/>
    <x v="4"/>
    <x v="0"/>
    <s v="SOUTH_AMERICA_NO_REGION_NO_REGION_NO_REGION"/>
    <x v="1"/>
    <x v="1"/>
    <x v="1"/>
    <x v="1"/>
    <x v="1"/>
    <x v="1"/>
    <x v="1"/>
    <x v="0"/>
    <x v="1"/>
  </r>
  <r>
    <s v="steam_Datong_QJ_2_10_2_101_3602"/>
    <x v="0"/>
    <x v="1"/>
    <x v="4"/>
    <x v="0"/>
    <s v="ASIA_NO_REGION_NO_REGION_NO_REGION"/>
    <x v="1"/>
    <x v="0"/>
    <x v="1"/>
    <x v="1"/>
    <x v="1"/>
    <x v="1"/>
    <x v="1"/>
    <x v="1"/>
    <x v="1"/>
  </r>
  <r>
    <s v="diesel_DB_Kof_II___DB_322"/>
    <x v="0"/>
    <x v="1"/>
    <x v="3"/>
    <x v="0"/>
    <s v="ALL_EUROPE_NO_REGION_NO_REGION_NO_REGION"/>
    <x v="1"/>
    <x v="1"/>
    <x v="0"/>
    <x v="0"/>
    <x v="0"/>
    <x v="0"/>
    <x v="1"/>
    <x v="1"/>
    <x v="1"/>
  </r>
  <r>
    <s v="diesel_CNJ_ALCo_GE_IR_Boxcab_100T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Werkspoor_200_Sik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diesel_BMAG_WR_200_B_1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diesel_BBC_SLM_Am_4_6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iesel_GE_44_ton_switcher"/>
    <x v="0"/>
    <x v="1"/>
    <x v="4"/>
    <x v="0"/>
    <s v="APAC_ALL_AMERICA_NORTH_WEST_EUROPE_NORTH_WEST_EUROPE"/>
    <x v="1"/>
    <x v="0"/>
    <x v="1"/>
    <x v="1"/>
    <x v="0"/>
    <x v="0"/>
    <x v="0"/>
    <x v="0"/>
    <x v="0"/>
  </r>
  <r>
    <s v="diesel_ALCO_S_2"/>
    <x v="0"/>
    <x v="1"/>
    <x v="4"/>
    <x v="0"/>
    <s v="NORTH_AMERICA_OCEANIA_NO_REGION_NO_REGION"/>
    <x v="1"/>
    <x v="1"/>
    <x v="1"/>
    <x v="1"/>
    <x v="1"/>
    <x v="1"/>
    <x v="0"/>
    <x v="1"/>
    <x v="0"/>
  </r>
  <r>
    <s v="diesel_EMD_F3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EMD_E8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EFCB_ALCO_RS_3"/>
    <x v="0"/>
    <x v="1"/>
    <x v="4"/>
    <x v="0"/>
    <s v="ALL_AMERICA_SOUTHERN_EUROPE_NO_REGION_NO_REGION"/>
    <x v="1"/>
    <x v="1"/>
    <x v="0"/>
    <x v="1"/>
    <x v="1"/>
    <x v="1"/>
    <x v="0"/>
    <x v="0"/>
    <x v="1"/>
  </r>
  <r>
    <s v="diesel_English_Electric_Bakkie"/>
    <x v="0"/>
    <x v="1"/>
    <x v="4"/>
    <x v="0"/>
    <s v="NORTH_WEST_EUROPE_NO_REGION_NO_REGION_NO_REGION"/>
    <x v="1"/>
    <x v="1"/>
    <x v="1"/>
    <x v="1"/>
    <x v="0"/>
    <x v="0"/>
    <x v="1"/>
    <x v="1"/>
    <x v="1"/>
  </r>
  <r>
    <s v="diesel_Baldwin_RF_16_Sharknose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AFE_1500"/>
    <x v="0"/>
    <x v="1"/>
    <x v="4"/>
    <x v="0"/>
    <s v="SOUTH_AMERICA_NO_REGION_NO_REGION_NO_REGION"/>
    <x v="1"/>
    <x v="1"/>
    <x v="1"/>
    <x v="1"/>
    <x v="1"/>
    <x v="1"/>
    <x v="1"/>
    <x v="0"/>
    <x v="1"/>
  </r>
  <r>
    <s v="diesel_FM_H_24_66_Trainmaster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BR_Class_08_0_6_0DE"/>
    <x v="0"/>
    <x v="1"/>
    <x v="4"/>
    <x v="0"/>
    <s v="AFRICA_NORTHERN_EUROPE_NO_REGION_NO_REGION"/>
    <x v="0"/>
    <x v="1"/>
    <x v="1"/>
    <x v="1"/>
    <x v="1"/>
    <x v="0"/>
    <x v="1"/>
    <x v="1"/>
    <x v="1"/>
  </r>
  <r>
    <s v="diesel_Jenbacher_Werke_2060"/>
    <x v="0"/>
    <x v="1"/>
    <x v="4"/>
    <x v="0"/>
    <s v="WESTERN_EUROPE_EASTERN_EUROPE_NO_REGION_NO_REGION"/>
    <x v="1"/>
    <x v="1"/>
    <x v="1"/>
    <x v="0"/>
    <x v="0"/>
    <x v="1"/>
    <x v="1"/>
    <x v="1"/>
    <x v="1"/>
  </r>
  <r>
    <s v="diesel_EMD_SW1200"/>
    <x v="0"/>
    <x v="1"/>
    <x v="4"/>
    <x v="0"/>
    <s v="ALL_AMERICA_NO_REGION_NO_REGION_NO_REGION"/>
    <x v="1"/>
    <x v="1"/>
    <x v="1"/>
    <x v="1"/>
    <x v="1"/>
    <x v="1"/>
    <x v="0"/>
    <x v="0"/>
    <x v="1"/>
  </r>
  <r>
    <s v="diesel_EMD_FP9"/>
    <x v="0"/>
    <x v="1"/>
    <x v="4"/>
    <x v="0"/>
    <s v="NORTH_AMERICA_ASIA_NO_REGION_NO_REGION"/>
    <x v="1"/>
    <x v="0"/>
    <x v="1"/>
    <x v="1"/>
    <x v="1"/>
    <x v="1"/>
    <x v="0"/>
    <x v="1"/>
    <x v="1"/>
  </r>
  <r>
    <s v="diesel_Ganz_MAVAG_DVM2_M44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iesel_Raba_M_030_M28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iesel_Cockerill_Sambre_HLD_serie_83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iesel_Krauss_Maffei_V200"/>
    <x v="0"/>
    <x v="1"/>
    <x v="4"/>
    <x v="0"/>
    <s v="WESTERN_EUROPE_SOUTHERN_EUROPE_NO_REGION_NO_REGION"/>
    <x v="1"/>
    <x v="1"/>
    <x v="0"/>
    <x v="1"/>
    <x v="0"/>
    <x v="1"/>
    <x v="1"/>
    <x v="1"/>
    <x v="1"/>
  </r>
  <r>
    <s v="diesel_EMD_FL9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CKD_T_435_0"/>
    <x v="0"/>
    <x v="1"/>
    <x v="4"/>
    <x v="0"/>
    <s v="COMECON_WESTERN_EUROPE_NO_REGION_NO_REGION"/>
    <x v="1"/>
    <x v="0"/>
    <x v="1"/>
    <x v="0"/>
    <x v="0"/>
    <x v="1"/>
    <x v="1"/>
    <x v="1"/>
    <x v="1"/>
  </r>
  <r>
    <s v="diesel_Valmet_Lokomo_Dr12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diesel_Electroputre_060_DA"/>
    <x v="0"/>
    <x v="1"/>
    <x v="4"/>
    <x v="0"/>
    <s v="COMECON_SOUTHERN_EUROPE_WESTERN_EUROPE_NO_REGION"/>
    <x v="1"/>
    <x v="0"/>
    <x v="0"/>
    <x v="0"/>
    <x v="0"/>
    <x v="1"/>
    <x v="1"/>
    <x v="1"/>
    <x v="1"/>
  </r>
  <r>
    <s v="diesel_EMD_GL8"/>
    <x v="0"/>
    <x v="1"/>
    <x v="6"/>
    <x v="0"/>
    <s v="SOUTH_AMERICA_APAC_AFRICA_NORTHERN_EUROPE"/>
    <x v="0"/>
    <x v="0"/>
    <x v="1"/>
    <x v="1"/>
    <x v="1"/>
    <x v="0"/>
    <x v="1"/>
    <x v="0"/>
    <x v="0"/>
  </r>
  <r>
    <s v="diesel_Krauss_Maffei_ML_4000"/>
    <x v="0"/>
    <x v="1"/>
    <x v="6"/>
    <x v="0"/>
    <s v="ALL_AMERICA_NO_REGION_NO_REGION_NO_REGION"/>
    <x v="1"/>
    <x v="1"/>
    <x v="1"/>
    <x v="1"/>
    <x v="1"/>
    <x v="1"/>
    <x v="0"/>
    <x v="0"/>
    <x v="1"/>
  </r>
  <r>
    <s v="diesel_Kolomna_TEP60"/>
    <x v="0"/>
    <x v="1"/>
    <x v="6"/>
    <x v="0"/>
    <s v="POST_SOVIET_BALTIC_NO_REGION_NO_REGION_NO_REGION"/>
    <x v="1"/>
    <x v="0"/>
    <x v="1"/>
    <x v="0"/>
    <x v="1"/>
    <x v="0"/>
    <x v="1"/>
    <x v="1"/>
    <x v="1"/>
  </r>
  <r>
    <s v="diesel_BN_ACEC_62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iesel_MaK_10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iesel_ALCO_DL560C_WDM_2"/>
    <x v="0"/>
    <x v="1"/>
    <x v="6"/>
    <x v="0"/>
    <s v="ASIA_NO_REGION_NO_REGION_NO_REGION"/>
    <x v="1"/>
    <x v="0"/>
    <x v="1"/>
    <x v="1"/>
    <x v="1"/>
    <x v="1"/>
    <x v="1"/>
    <x v="1"/>
    <x v="1"/>
  </r>
  <r>
    <s v="diesel_BR_14_0_6_0DH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iesel_CKD_T_669"/>
    <x v="0"/>
    <x v="1"/>
    <x v="6"/>
    <x v="0"/>
    <s v="POST_SOVIET_BALTIC_NO_REGION_NO_REGION_NO_REGION"/>
    <x v="1"/>
    <x v="0"/>
    <x v="1"/>
    <x v="0"/>
    <x v="1"/>
    <x v="0"/>
    <x v="1"/>
    <x v="1"/>
    <x v="1"/>
  </r>
  <r>
    <s v="diesel_UGOFE_GM_EMD_J16CW_AC"/>
    <x v="0"/>
    <x v="1"/>
    <x v="5"/>
    <x v="0"/>
    <s v="SOUTH_AMERICA_NO_REGION_NO_REGION_NO_REGION"/>
    <x v="1"/>
    <x v="1"/>
    <x v="1"/>
    <x v="1"/>
    <x v="1"/>
    <x v="1"/>
    <x v="1"/>
    <x v="0"/>
    <x v="1"/>
  </r>
  <r>
    <s v="diesel_LTZ_M62"/>
    <x v="0"/>
    <x v="1"/>
    <x v="6"/>
    <x v="0"/>
    <s v="POST_SOVIET_BALTIC_SOUTH_AMERICA_NO_REGION_NO_REGION"/>
    <x v="1"/>
    <x v="0"/>
    <x v="1"/>
    <x v="0"/>
    <x v="1"/>
    <x v="0"/>
    <x v="1"/>
    <x v="0"/>
    <x v="1"/>
  </r>
  <r>
    <s v="diesel_EMD_Clyde_J26C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GE_G22W"/>
    <x v="0"/>
    <x v="1"/>
    <x v="6"/>
    <x v="0"/>
    <s v="AFRICA_NORTHERN_EUROPE_ASIA_NO_REGION"/>
    <x v="0"/>
    <x v="0"/>
    <x v="1"/>
    <x v="1"/>
    <x v="1"/>
    <x v="0"/>
    <x v="1"/>
    <x v="1"/>
    <x v="1"/>
  </r>
  <r>
    <s v="diesel_EMD_DDA40X"/>
    <x v="0"/>
    <x v="1"/>
    <x v="6"/>
    <x v="0"/>
    <s v="NORTH_AMERICA_NO_REGION_NO_REGION_NO_REGION"/>
    <x v="1"/>
    <x v="1"/>
    <x v="1"/>
    <x v="1"/>
    <x v="1"/>
    <x v="1"/>
    <x v="0"/>
    <x v="1"/>
    <x v="1"/>
  </r>
  <r>
    <s v="diesel_EMD_Clyde_GL26C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G26"/>
    <x v="0"/>
    <x v="1"/>
    <x v="6"/>
    <x v="0"/>
    <s v="EASTERN_EUROPE_AFRICA_APAC_SOUTH_AMERICA"/>
    <x v="0"/>
    <x v="0"/>
    <x v="1"/>
    <x v="0"/>
    <x v="1"/>
    <x v="1"/>
    <x v="1"/>
    <x v="0"/>
    <x v="0"/>
  </r>
  <r>
    <s v="diesel_Henschel_TGOJ_V4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iesel_MLW_M420W"/>
    <x v="0"/>
    <x v="1"/>
    <x v="6"/>
    <x v="0"/>
    <s v="ALL_AMERICA_NO_REGION_NO_REGION_NO_REGION"/>
    <x v="1"/>
    <x v="1"/>
    <x v="1"/>
    <x v="1"/>
    <x v="1"/>
    <x v="1"/>
    <x v="0"/>
    <x v="0"/>
    <x v="1"/>
  </r>
  <r>
    <s v="diesel_EMD_SDP_40F"/>
    <x v="0"/>
    <x v="1"/>
    <x v="6"/>
    <x v="0"/>
    <s v="NORTH_AMERICA_NO_REGION_NO_REGION_NO_REGION"/>
    <x v="1"/>
    <x v="1"/>
    <x v="1"/>
    <x v="1"/>
    <x v="1"/>
    <x v="1"/>
    <x v="0"/>
    <x v="1"/>
    <x v="1"/>
  </r>
  <r>
    <s v="diesel_Sifang_DFH3"/>
    <x v="0"/>
    <x v="1"/>
    <x v="6"/>
    <x v="0"/>
    <s v="ASIA_NO_REGION_NO_REGION_NO_REGION"/>
    <x v="1"/>
    <x v="0"/>
    <x v="1"/>
    <x v="1"/>
    <x v="1"/>
    <x v="1"/>
    <x v="1"/>
    <x v="1"/>
    <x v="1"/>
  </r>
  <r>
    <s v="diesel_EMD_F40PH"/>
    <x v="0"/>
    <x v="1"/>
    <x v="6"/>
    <x v="0"/>
    <s v="ALL_AMERICA_NO_REGION_NO_REGION_NO_REGION"/>
    <x v="1"/>
    <x v="1"/>
    <x v="1"/>
    <x v="1"/>
    <x v="1"/>
    <x v="1"/>
    <x v="0"/>
    <x v="0"/>
    <x v="1"/>
  </r>
  <r>
    <s v="diesel_Sorefame_Alsthom_190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diesel_Valmet_Oy_Dr16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Kolomena_TEP80"/>
    <x v="0"/>
    <x v="1"/>
    <x v="5"/>
    <x v="0"/>
    <s v="COMECON_NO_REGION_NO_REGION_NO_REGION"/>
    <x v="1"/>
    <x v="0"/>
    <x v="1"/>
    <x v="0"/>
    <x v="1"/>
    <x v="1"/>
    <x v="1"/>
    <x v="1"/>
    <x v="1"/>
  </r>
  <r>
    <s v="diesel_EMD_Clyde_JT46C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GE_P42DC_Genesis"/>
    <x v="0"/>
    <x v="1"/>
    <x v="5"/>
    <x v="0"/>
    <s v="NORTH_AMERICA_NO_REGION_NO_REGION_NO_REGION"/>
    <x v="1"/>
    <x v="1"/>
    <x v="1"/>
    <x v="1"/>
    <x v="1"/>
    <x v="1"/>
    <x v="0"/>
    <x v="1"/>
    <x v="1"/>
  </r>
  <r>
    <s v="diesel_Tulomsas_TCDD_DH7000"/>
    <x v="0"/>
    <x v="1"/>
    <x v="5"/>
    <x v="0"/>
    <s v="COMECON_NO_REGION_NO_REGION_NO_REGION"/>
    <x v="1"/>
    <x v="0"/>
    <x v="1"/>
    <x v="0"/>
    <x v="1"/>
    <x v="1"/>
    <x v="1"/>
    <x v="1"/>
    <x v="1"/>
  </r>
  <r>
    <s v="diesel_GE_U20C"/>
    <x v="0"/>
    <x v="1"/>
    <x v="5"/>
    <x v="0"/>
    <s v="SOUTH_AMERICA_AFRICA_ASIA_NO_REGION"/>
    <x v="0"/>
    <x v="0"/>
    <x v="1"/>
    <x v="1"/>
    <x v="1"/>
    <x v="1"/>
    <x v="1"/>
    <x v="0"/>
    <x v="1"/>
  </r>
  <r>
    <s v="diesel_Vossloh_Siemens_serie_77_78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diesel_EMD_JT42CWRM"/>
    <x v="0"/>
    <x v="1"/>
    <x v="5"/>
    <x v="0"/>
    <s v="ALL_EUROPE_AFRICA_NO_REGION_NO_REGION"/>
    <x v="0"/>
    <x v="1"/>
    <x v="0"/>
    <x v="0"/>
    <x v="0"/>
    <x v="0"/>
    <x v="1"/>
    <x v="1"/>
    <x v="1"/>
  </r>
  <r>
    <s v="diesel_EMD_JT42HW_HS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Alstom_DE43CA_Prima"/>
    <x v="0"/>
    <x v="1"/>
    <x v="0"/>
    <x v="0"/>
    <s v="ASIA_NO_REGION_NO_REGION_NO_REGION"/>
    <x v="1"/>
    <x v="0"/>
    <x v="1"/>
    <x v="1"/>
    <x v="1"/>
    <x v="1"/>
    <x v="1"/>
    <x v="1"/>
    <x v="1"/>
  </r>
  <r>
    <s v="diesel_LTZ_TEP150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iesel_GE_CRRC_Qishuyan_ES59ACi"/>
    <x v="0"/>
    <x v="1"/>
    <x v="0"/>
    <x v="0"/>
    <s v="ASIA_NO_REGION_NO_REGION_NO_REGION"/>
    <x v="1"/>
    <x v="0"/>
    <x v="1"/>
    <x v="1"/>
    <x v="1"/>
    <x v="1"/>
    <x v="1"/>
    <x v="1"/>
    <x v="1"/>
  </r>
  <r>
    <s v="diesel_Voith_Gravita_10_BB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diesel_Voronezh_VNIIZHT_GT1"/>
    <x v="0"/>
    <x v="1"/>
    <x v="0"/>
    <x v="0"/>
    <s v="ASIA_NO_REGION_NO_REGION_NO_REGION"/>
    <x v="1"/>
    <x v="0"/>
    <x v="1"/>
    <x v="1"/>
    <x v="1"/>
    <x v="1"/>
    <x v="1"/>
    <x v="1"/>
    <x v="1"/>
  </r>
  <r>
    <s v="diesel_Siemens_ER20_Eurorunner"/>
    <x v="0"/>
    <x v="1"/>
    <x v="0"/>
    <x v="0"/>
    <s v="ASIA_WESTERN_EUROPE_EASTERN_EUROPE_NO_REGION"/>
    <x v="1"/>
    <x v="0"/>
    <x v="1"/>
    <x v="0"/>
    <x v="0"/>
    <x v="1"/>
    <x v="1"/>
    <x v="1"/>
    <x v="1"/>
  </r>
  <r>
    <s v="diesel_Voith_Maxima_40_CC"/>
    <x v="0"/>
    <x v="1"/>
    <x v="0"/>
    <x v="0"/>
    <s v="WESTERN_EUROPE_EASTERN_EUROPE_NO_REGION_NO_REGION"/>
    <x v="1"/>
    <x v="1"/>
    <x v="1"/>
    <x v="0"/>
    <x v="0"/>
    <x v="1"/>
    <x v="1"/>
    <x v="1"/>
    <x v="1"/>
  </r>
  <r>
    <s v="diesel_Hohenzollern_Emch3"/>
    <x v="0"/>
    <x v="1"/>
    <x v="3"/>
    <x v="0"/>
    <s v="COMECON_NO_REGION_NO_REGION_NO_REGION"/>
    <x v="1"/>
    <x v="0"/>
    <x v="1"/>
    <x v="0"/>
    <x v="1"/>
    <x v="1"/>
    <x v="1"/>
    <x v="1"/>
    <x v="1"/>
  </r>
  <r>
    <s v="diesel_Canadian_Locomotive_Company_V_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LMS_7051_Diesel_Shunte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diesel_EMC_TA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Baldwin_VO_660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LMS_No__7080_D3_7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diesel_Queensland_Railways_DL"/>
    <x v="0"/>
    <x v="1"/>
    <x v="3"/>
    <x v="0"/>
    <s v="OCEANIA_NO_REGION_NO_REGION_NO_REGION"/>
    <x v="1"/>
    <x v="1"/>
    <x v="1"/>
    <x v="1"/>
    <x v="1"/>
    <x v="1"/>
    <x v="1"/>
    <x v="1"/>
    <x v="0"/>
  </r>
  <r>
    <s v="diesel_FM_H_10_44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Baldwin_DRS6_4_1000"/>
    <x v="0"/>
    <x v="1"/>
    <x v="4"/>
    <x v="0"/>
    <s v="AFRICA_NO_REGION_NO_REGION_NO_REGION"/>
    <x v="0"/>
    <x v="1"/>
    <x v="1"/>
    <x v="1"/>
    <x v="1"/>
    <x v="1"/>
    <x v="1"/>
    <x v="1"/>
    <x v="1"/>
  </r>
  <r>
    <s v="diesel_CIE_113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diesel_Baldwin_AS_616"/>
    <x v="0"/>
    <x v="1"/>
    <x v="4"/>
    <x v="0"/>
    <s v="ALL_AMERICA_NO_REGION_NO_REGION_NO_REGION"/>
    <x v="1"/>
    <x v="1"/>
    <x v="1"/>
    <x v="1"/>
    <x v="1"/>
    <x v="1"/>
    <x v="0"/>
    <x v="0"/>
    <x v="1"/>
  </r>
  <r>
    <s v="diesel_FM_H_16_44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Islington_Railway_Workshops_SAR_900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EMD_G12_A608_M2"/>
    <x v="0"/>
    <x v="1"/>
    <x v="4"/>
    <x v="0"/>
    <s v="APAC_ALL_AMERICA_AFRICA_NORTH_WEST_EUROPE"/>
    <x v="0"/>
    <x v="0"/>
    <x v="1"/>
    <x v="1"/>
    <x v="0"/>
    <x v="0"/>
    <x v="0"/>
    <x v="0"/>
    <x v="0"/>
  </r>
  <r>
    <s v="diesel_Metropolitan_Vickers_CIE_001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diesel_Fiat_Grandi_Motori_D_341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diesel_ALCO_AE_Goodwin_DL_500B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Henschel_DH_1420"/>
    <x v="0"/>
    <x v="1"/>
    <x v="4"/>
    <x v="0"/>
    <s v="AFRICA_NO_REGION_NO_REGION_NO_REGION"/>
    <x v="0"/>
    <x v="1"/>
    <x v="1"/>
    <x v="1"/>
    <x v="1"/>
    <x v="1"/>
    <x v="1"/>
    <x v="1"/>
    <x v="1"/>
  </r>
  <r>
    <s v="diesel_EMD_SD18"/>
    <x v="0"/>
    <x v="1"/>
    <x v="6"/>
    <x v="0"/>
    <s v="ASIA_ALL_AMERICA_NO_REGION_NO_REGION"/>
    <x v="1"/>
    <x v="0"/>
    <x v="1"/>
    <x v="1"/>
    <x v="1"/>
    <x v="1"/>
    <x v="0"/>
    <x v="0"/>
    <x v="1"/>
  </r>
  <r>
    <s v="diesel_Fiat_Grandi_Motori_D_345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diesel_Henschel_Di4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Qishuyan_DF8"/>
    <x v="0"/>
    <x v="1"/>
    <x v="5"/>
    <x v="0"/>
    <s v="ASIA_NO_REGION_NO_REGION_NO_REGION"/>
    <x v="1"/>
    <x v="0"/>
    <x v="1"/>
    <x v="1"/>
    <x v="1"/>
    <x v="1"/>
    <x v="1"/>
    <x v="1"/>
    <x v="1"/>
  </r>
  <r>
    <s v="diesel_EMD_Clyde_JT26C_2SS"/>
    <x v="1"/>
    <x v="1"/>
    <x v="5"/>
    <x v="0"/>
    <s v="OCEANIA_NO_REGION_NO_REGION_NO_REGION"/>
    <x v="1"/>
    <x v="1"/>
    <x v="1"/>
    <x v="1"/>
    <x v="1"/>
    <x v="1"/>
    <x v="1"/>
    <x v="1"/>
    <x v="0"/>
  </r>
  <r>
    <s v="diesel_Brush_Class_60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GE_Goninan_CM25_8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SD70ACS"/>
    <x v="1"/>
    <x v="1"/>
    <x v="5"/>
    <x v="0"/>
    <s v="ASIA_NO_REGION_NO_REGION_NO_REGION"/>
    <x v="1"/>
    <x v="0"/>
    <x v="1"/>
    <x v="1"/>
    <x v="1"/>
    <x v="1"/>
    <x v="1"/>
    <x v="1"/>
    <x v="1"/>
  </r>
  <r>
    <s v="diesel_GMD_JT42HCW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EMD_F59PH"/>
    <x v="0"/>
    <x v="1"/>
    <x v="5"/>
    <x v="0"/>
    <s v="NORTH_AMERICA_NO_REGION_NO_REGION_NO_REGION"/>
    <x v="1"/>
    <x v="1"/>
    <x v="1"/>
    <x v="1"/>
    <x v="1"/>
    <x v="1"/>
    <x v="0"/>
    <x v="1"/>
    <x v="1"/>
  </r>
  <r>
    <s v="diesel_MaK___Vossloh_G1206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diesel_Vossloh_G_2000_BB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diesel_MPI_MP40PH_3C"/>
    <x v="0"/>
    <x v="1"/>
    <x v="0"/>
    <x v="0"/>
    <s v="NORTH_AMERICA_NO_REGION_NO_REGION_NO_REGION"/>
    <x v="1"/>
    <x v="1"/>
    <x v="1"/>
    <x v="1"/>
    <x v="1"/>
    <x v="1"/>
    <x v="0"/>
    <x v="1"/>
    <x v="1"/>
  </r>
  <r>
    <s v="diesel_Vossloh_Espana___EMD_334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diesel_INKA_CC300"/>
    <x v="0"/>
    <x v="1"/>
    <x v="0"/>
    <x v="0"/>
    <s v="OCEANIA_NO_REGION_NO_REGION_NO_REGION"/>
    <x v="1"/>
    <x v="1"/>
    <x v="1"/>
    <x v="1"/>
    <x v="1"/>
    <x v="1"/>
    <x v="1"/>
    <x v="1"/>
    <x v="0"/>
  </r>
  <r>
    <s v="diesel_Great_Southern_Railway_DH50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diesel_EE_VFFLB"/>
    <x v="0"/>
    <x v="1"/>
    <x v="3"/>
    <x v="0"/>
    <s v="SOUTH_AMERICA_NO_REGION_NO_REGION_NO_REGION"/>
    <x v="1"/>
    <x v="1"/>
    <x v="1"/>
    <x v="1"/>
    <x v="1"/>
    <x v="1"/>
    <x v="1"/>
    <x v="0"/>
    <x v="1"/>
  </r>
  <r>
    <s v="diesel_GE_U5B"/>
    <x v="0"/>
    <x v="1"/>
    <x v="6"/>
    <x v="0"/>
    <s v="SOUTH_AMERICA_AFRICA_NO_REGION_NO_REGION"/>
    <x v="0"/>
    <x v="1"/>
    <x v="1"/>
    <x v="1"/>
    <x v="1"/>
    <x v="1"/>
    <x v="1"/>
    <x v="0"/>
    <x v="1"/>
  </r>
  <r>
    <s v="diesel_ALCO_RSD_39"/>
    <x v="0"/>
    <x v="1"/>
    <x v="6"/>
    <x v="0"/>
    <s v="SOUTH_AMERICA_SOUTHERN_EUROPE_NO_REGION_NO_REGION"/>
    <x v="1"/>
    <x v="1"/>
    <x v="0"/>
    <x v="1"/>
    <x v="1"/>
    <x v="1"/>
    <x v="1"/>
    <x v="0"/>
    <x v="1"/>
  </r>
  <r>
    <s v="diesel_EMD_DDM45"/>
    <x v="0"/>
    <x v="1"/>
    <x v="6"/>
    <x v="0"/>
    <s v="SOUTH_AMERICA_NO_REGION_NO_REGION_NO_REGION"/>
    <x v="1"/>
    <x v="1"/>
    <x v="1"/>
    <x v="1"/>
    <x v="1"/>
    <x v="1"/>
    <x v="1"/>
    <x v="0"/>
    <x v="1"/>
  </r>
  <r>
    <s v="diesel_GE_C39_8__FCCA_"/>
    <x v="0"/>
    <x v="1"/>
    <x v="5"/>
    <x v="0"/>
    <s v="ALL_AMERICA_NO_REGION_NO_REGION_NO_REGION"/>
    <x v="1"/>
    <x v="1"/>
    <x v="1"/>
    <x v="1"/>
    <x v="1"/>
    <x v="1"/>
    <x v="0"/>
    <x v="0"/>
    <x v="1"/>
  </r>
  <r>
    <s v="diesel_SOFSE_319_3"/>
    <x v="0"/>
    <x v="1"/>
    <x v="5"/>
    <x v="0"/>
    <s v="SOUTH_AMERICA_ASIA_NO_REGION_NO_REGION"/>
    <x v="1"/>
    <x v="0"/>
    <x v="1"/>
    <x v="1"/>
    <x v="1"/>
    <x v="1"/>
    <x v="1"/>
    <x v="0"/>
    <x v="1"/>
  </r>
  <r>
    <s v="diesel_CNR_CKD8G"/>
    <x v="0"/>
    <x v="1"/>
    <x v="0"/>
    <x v="0"/>
    <s v="SOUTH_AMERICA_NO_REGION_NO_REGION_NO_REGION"/>
    <x v="1"/>
    <x v="1"/>
    <x v="1"/>
    <x v="1"/>
    <x v="1"/>
    <x v="1"/>
    <x v="1"/>
    <x v="0"/>
    <x v="1"/>
  </r>
  <r>
    <s v="diesel_AEG_SAR_DS"/>
    <x v="0"/>
    <x v="1"/>
    <x v="3"/>
    <x v="0"/>
    <s v="AFRICA_NO_REGION_NO_REGION_NO_REGION"/>
    <x v="0"/>
    <x v="1"/>
    <x v="1"/>
    <x v="1"/>
    <x v="1"/>
    <x v="1"/>
    <x v="1"/>
    <x v="1"/>
    <x v="1"/>
  </r>
  <r>
    <s v="diesel_GM_GT_26_W__040DG_"/>
    <x v="0"/>
    <x v="1"/>
    <x v="6"/>
    <x v="0"/>
    <s v="AFRICA_COMECON_EXTENDED_NO_REGION_NO_REGION"/>
    <x v="0"/>
    <x v="0"/>
    <x v="1"/>
    <x v="0"/>
    <x v="1"/>
    <x v="1"/>
    <x v="1"/>
    <x v="0"/>
    <x v="1"/>
  </r>
  <r>
    <s v="diesel_EMD_GL8__040DF_"/>
    <x v="1"/>
    <x v="1"/>
    <x v="6"/>
    <x v="0"/>
    <s v="AFRICA_NO_REGION_NO_REGION_NO_REGION"/>
    <x v="0"/>
    <x v="1"/>
    <x v="1"/>
    <x v="1"/>
    <x v="1"/>
    <x v="1"/>
    <x v="1"/>
    <x v="1"/>
    <x v="1"/>
  </r>
  <r>
    <s v="diesel_LTZ_TE114E"/>
    <x v="0"/>
    <x v="1"/>
    <x v="6"/>
    <x v="0"/>
    <s v="AFRICA_COMECON_EXTENDED_NO_REGION_NO_REGION"/>
    <x v="0"/>
    <x v="0"/>
    <x v="1"/>
    <x v="0"/>
    <x v="1"/>
    <x v="1"/>
    <x v="1"/>
    <x v="0"/>
    <x v="1"/>
  </r>
  <r>
    <s v="diesel_GM_GL_18_B__040DJ_"/>
    <x v="0"/>
    <x v="1"/>
    <x v="6"/>
    <x v="0"/>
    <s v="AFRICA_SOUTH_AMERICA_SOUTHERN_EUROPE_ASIA"/>
    <x v="0"/>
    <x v="0"/>
    <x v="0"/>
    <x v="1"/>
    <x v="1"/>
    <x v="1"/>
    <x v="1"/>
    <x v="0"/>
    <x v="1"/>
  </r>
  <r>
    <s v="diesel_Alsthom_CC_72000"/>
    <x v="0"/>
    <x v="1"/>
    <x v="6"/>
    <x v="0"/>
    <s v="AFRICA_WESTERN_EUROPE_NO_REGION_NO_REGION"/>
    <x v="0"/>
    <x v="1"/>
    <x v="1"/>
    <x v="1"/>
    <x v="0"/>
    <x v="1"/>
    <x v="1"/>
    <x v="1"/>
    <x v="1"/>
  </r>
  <r>
    <s v="diesel_LTZ_TEP10L"/>
    <x v="0"/>
    <x v="1"/>
    <x v="6"/>
    <x v="0"/>
    <s v="COMECON_NO_REGION_NO_REGION_NO_REGION"/>
    <x v="1"/>
    <x v="0"/>
    <x v="1"/>
    <x v="0"/>
    <x v="1"/>
    <x v="1"/>
    <x v="1"/>
    <x v="1"/>
    <x v="1"/>
  </r>
  <r>
    <s v="diesel_LTZ_2TE10M"/>
    <x v="1"/>
    <x v="1"/>
    <x v="5"/>
    <x v="0"/>
    <s v="POST_SOVIET_BALTIC_NO_REGION_NO_REGION_NO_REGION"/>
    <x v="1"/>
    <x v="0"/>
    <x v="1"/>
    <x v="0"/>
    <x v="1"/>
    <x v="0"/>
    <x v="1"/>
    <x v="1"/>
    <x v="1"/>
  </r>
  <r>
    <s v="diesel_FAUR_LDE1300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LTZ_2TE126"/>
    <x v="1"/>
    <x v="1"/>
    <x v="5"/>
    <x v="0"/>
    <s v="COMECON_NO_REGION_NO_REGION_NO_REGION"/>
    <x v="1"/>
    <x v="0"/>
    <x v="1"/>
    <x v="0"/>
    <x v="1"/>
    <x v="1"/>
    <x v="1"/>
    <x v="1"/>
    <x v="1"/>
  </r>
  <r>
    <s v="diesel_LTZ_2TE10Ut"/>
    <x v="1"/>
    <x v="1"/>
    <x v="5"/>
    <x v="0"/>
    <s v="COMECON_NO_REGION_NO_REGION_NO_REGION"/>
    <x v="1"/>
    <x v="0"/>
    <x v="1"/>
    <x v="0"/>
    <x v="1"/>
    <x v="1"/>
    <x v="1"/>
    <x v="1"/>
    <x v="1"/>
  </r>
  <r>
    <s v="diesel_CMKS_709_0_4_0D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Antonio_Badoni_Lecco_Sogliole_207"/>
    <x v="0"/>
    <x v="1"/>
    <x v="3"/>
    <x v="0"/>
    <s v="SOUTHERN_EUROPE_AFRICA_NO_REGION_NO_REGION"/>
    <x v="0"/>
    <x v="1"/>
    <x v="0"/>
    <x v="1"/>
    <x v="1"/>
    <x v="1"/>
    <x v="1"/>
    <x v="1"/>
    <x v="1"/>
  </r>
  <r>
    <s v="diesel_Baldwin_0_6_6_0_1000"/>
    <x v="0"/>
    <x v="1"/>
    <x v="4"/>
    <x v="0"/>
    <s v="COMECON_NO_REGION_NO_REGION_NO_REGION"/>
    <x v="1"/>
    <x v="0"/>
    <x v="1"/>
    <x v="0"/>
    <x v="1"/>
    <x v="1"/>
    <x v="1"/>
    <x v="1"/>
    <x v="1"/>
  </r>
  <r>
    <s v="diesel_ALCO_RSC_2"/>
    <x v="0"/>
    <x v="1"/>
    <x v="4"/>
    <x v="0"/>
    <s v="SOUTHERN_EUROPE_NORTH_AMERICA_AFRICA_AFRICA"/>
    <x v="0"/>
    <x v="1"/>
    <x v="0"/>
    <x v="1"/>
    <x v="1"/>
    <x v="1"/>
    <x v="0"/>
    <x v="1"/>
    <x v="1"/>
  </r>
  <r>
    <s v="diesel_Brissonneau_and_Lotz_BB_674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iesel_MaK_DE_6400"/>
    <x v="0"/>
    <x v="1"/>
    <x v="5"/>
    <x v="0"/>
    <s v="WESTERN_EUROPE_EASTERN_EUROPE_NO_REGION_NO_REGION"/>
    <x v="1"/>
    <x v="1"/>
    <x v="1"/>
    <x v="0"/>
    <x v="0"/>
    <x v="1"/>
    <x v="1"/>
    <x v="1"/>
    <x v="1"/>
  </r>
  <r>
    <s v="diesel_GE_ES40ACi"/>
    <x v="0"/>
    <x v="1"/>
    <x v="0"/>
    <x v="0"/>
    <s v="AFRICA_NO_REGION_NO_REGION_NO_REGION"/>
    <x v="0"/>
    <x v="1"/>
    <x v="1"/>
    <x v="1"/>
    <x v="1"/>
    <x v="1"/>
    <x v="1"/>
    <x v="1"/>
    <x v="1"/>
  </r>
  <r>
    <s v="diesel_Vossloh_Afro_4000"/>
    <x v="0"/>
    <x v="1"/>
    <x v="0"/>
    <x v="0"/>
    <s v="AFRICA_NO_REGION_NO_REGION_NO_REGION"/>
    <x v="0"/>
    <x v="1"/>
    <x v="1"/>
    <x v="1"/>
    <x v="1"/>
    <x v="1"/>
    <x v="1"/>
    <x v="1"/>
    <x v="1"/>
  </r>
  <r>
    <s v="diesel_GE_U10B"/>
    <x v="0"/>
    <x v="1"/>
    <x v="6"/>
    <x v="0"/>
    <s v="SOUTHERN_EUROPE_SOUTH_AMERICA_APAC_AFRICA"/>
    <x v="0"/>
    <x v="0"/>
    <x v="0"/>
    <x v="1"/>
    <x v="1"/>
    <x v="1"/>
    <x v="1"/>
    <x v="0"/>
    <x v="0"/>
  </r>
  <r>
    <s v="diesel_EMD_Pacific_GT26C_3"/>
    <x v="0"/>
    <x v="1"/>
    <x v="0"/>
    <x v="0"/>
    <s v="OCEANIA_NO_REGION_NO_REGION_NO_REGION"/>
    <x v="1"/>
    <x v="1"/>
    <x v="1"/>
    <x v="1"/>
    <x v="1"/>
    <x v="1"/>
    <x v="1"/>
    <x v="1"/>
    <x v="0"/>
  </r>
  <r>
    <s v="diesel_CargoNet_312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iesel_GE_Pacific_C44ESACi"/>
    <x v="0"/>
    <x v="1"/>
    <x v="0"/>
    <x v="0"/>
    <s v="OCEANIA_NO_REGION_NO_REGION_NO_REGION"/>
    <x v="1"/>
    <x v="1"/>
    <x v="1"/>
    <x v="1"/>
    <x v="1"/>
    <x v="1"/>
    <x v="1"/>
    <x v="1"/>
    <x v="0"/>
  </r>
  <r>
    <s v="diesel_Stadler_UKLight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iesel_Siemens_Charger_ALC_42"/>
    <x v="0"/>
    <x v="1"/>
    <x v="0"/>
    <x v="0"/>
    <s v="NORTH_AMERICA_NO_REGION_NO_REGION_NO_REGION"/>
    <x v="1"/>
    <x v="1"/>
    <x v="1"/>
    <x v="1"/>
    <x v="1"/>
    <x v="1"/>
    <x v="0"/>
    <x v="1"/>
    <x v="1"/>
  </r>
  <r>
    <s v="mtro_Buenos_Aires_Le_Brugeoise"/>
    <x v="0"/>
    <x v="1"/>
    <x v="1"/>
    <x v="0"/>
    <s v="SOUTH_AMERICA_NO_REGION_NO_REGION_NO_REGION"/>
    <x v="1"/>
    <x v="1"/>
    <x v="1"/>
    <x v="1"/>
    <x v="1"/>
    <x v="1"/>
    <x v="1"/>
    <x v="0"/>
    <x v="1"/>
  </r>
  <r>
    <s v="mtro_ACF_New_York_R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mtro_LHB_ET_171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mtro_GEC_Alsthom_Paris_MP55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mtro_LHB_Lisbon_ML7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mtro_MMZ_Budapest_Ev3"/>
    <x v="0"/>
    <x v="1"/>
    <x v="6"/>
    <x v="0"/>
    <s v="COMECON_NO_REGION_NO_REGION_NO_REGION"/>
    <x v="1"/>
    <x v="0"/>
    <x v="1"/>
    <x v="0"/>
    <x v="1"/>
    <x v="1"/>
    <x v="1"/>
    <x v="1"/>
    <x v="1"/>
  </r>
  <r>
    <s v="mtro_Strommens_Oslo_T100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Hawker_Siddeley_Toronto_H1"/>
    <x v="0"/>
    <x v="1"/>
    <x v="6"/>
    <x v="0"/>
    <s v="NORTH_AMERICA_NO_REGION_NO_REGION_NO_REGION"/>
    <x v="1"/>
    <x v="1"/>
    <x v="1"/>
    <x v="1"/>
    <x v="1"/>
    <x v="1"/>
    <x v="0"/>
    <x v="1"/>
    <x v="1"/>
  </r>
  <r>
    <s v="mtro_MAN_Munchen_MVG_A2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St__Louis_Car_Co_New_York_R44"/>
    <x v="0"/>
    <x v="1"/>
    <x v="6"/>
    <x v="0"/>
    <s v="NORTH_AMERICA_NO_REGION_NO_REGION_NO_REGION"/>
    <x v="1"/>
    <x v="1"/>
    <x v="1"/>
    <x v="1"/>
    <x v="1"/>
    <x v="1"/>
    <x v="0"/>
    <x v="1"/>
    <x v="1"/>
  </r>
  <r>
    <s v="mtro_LHB_Amsterdam_M1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ASEA_Stockholm_C8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AEG_Pyongyang_D"/>
    <x v="0"/>
    <x v="1"/>
    <x v="4"/>
    <x v="0"/>
    <s v="WESTERN_EUROPE_ASIA_NO_REGION_NO_REGION"/>
    <x v="1"/>
    <x v="0"/>
    <x v="1"/>
    <x v="1"/>
    <x v="0"/>
    <x v="1"/>
    <x v="1"/>
    <x v="1"/>
    <x v="1"/>
  </r>
  <r>
    <s v="mtro_Valmet_Helsinki_M10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Sorefame_Sao_Paulo_Serie_5500"/>
    <x v="0"/>
    <x v="1"/>
    <x v="6"/>
    <x v="0"/>
    <s v="SOUTH_AMERICA_NO_REGION_NO_REGION_NO_REGION"/>
    <x v="1"/>
    <x v="1"/>
    <x v="1"/>
    <x v="1"/>
    <x v="1"/>
    <x v="1"/>
    <x v="1"/>
    <x v="0"/>
    <x v="1"/>
  </r>
  <r>
    <s v="mtro_MMZ_Moscow_81_720"/>
    <x v="0"/>
    <x v="1"/>
    <x v="5"/>
    <x v="0"/>
    <s v="COMECON_NO_REGION_NO_REGION_NO_REGION"/>
    <x v="1"/>
    <x v="0"/>
    <x v="1"/>
    <x v="0"/>
    <x v="1"/>
    <x v="1"/>
    <x v="1"/>
    <x v="1"/>
    <x v="1"/>
  </r>
  <r>
    <s v="mtro_Kawasaki_Tokyo_S01"/>
    <x v="0"/>
    <x v="1"/>
    <x v="5"/>
    <x v="0"/>
    <s v="ASIA_NO_REGION_NO_REGION_NO_REGION"/>
    <x v="1"/>
    <x v="0"/>
    <x v="1"/>
    <x v="1"/>
    <x v="1"/>
    <x v="1"/>
    <x v="1"/>
    <x v="1"/>
    <x v="1"/>
  </r>
  <r>
    <s v="mtro_Kinki_Sharyo_Vcairo"/>
    <x v="0"/>
    <x v="1"/>
    <x v="5"/>
    <x v="0"/>
    <s v="AFRICA_NO_REGION_NO_REGION_NO_REGION"/>
    <x v="0"/>
    <x v="1"/>
    <x v="1"/>
    <x v="1"/>
    <x v="1"/>
    <x v="1"/>
    <x v="1"/>
    <x v="1"/>
    <x v="1"/>
  </r>
  <r>
    <s v="mtro_LHB_London_DLR_P86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mtro_MMZ_Moscow_81_717_5M"/>
    <x v="0"/>
    <x v="1"/>
    <x v="5"/>
    <x v="0"/>
    <s v="COMECON_NO_REGION_NO_REGION_NO_REGION"/>
    <x v="1"/>
    <x v="0"/>
    <x v="1"/>
    <x v="0"/>
    <x v="1"/>
    <x v="1"/>
    <x v="1"/>
    <x v="1"/>
    <x v="1"/>
  </r>
  <r>
    <s v="mtro_Bombardier_Boston_01800"/>
    <x v="0"/>
    <x v="1"/>
    <x v="5"/>
    <x v="0"/>
    <s v="NORTH_AMERICA_NO_REGION_NO_REGION_NO_REGION"/>
    <x v="1"/>
    <x v="1"/>
    <x v="1"/>
    <x v="1"/>
    <x v="1"/>
    <x v="1"/>
    <x v="0"/>
    <x v="1"/>
    <x v="1"/>
  </r>
  <r>
    <s v="mtro_Breda_LA_A650"/>
    <x v="0"/>
    <x v="1"/>
    <x v="5"/>
    <x v="0"/>
    <s v="NORTH_AMERICA_NO_REGION_NO_REGION_NO_REGION"/>
    <x v="1"/>
    <x v="1"/>
    <x v="1"/>
    <x v="1"/>
    <x v="1"/>
    <x v="1"/>
    <x v="0"/>
    <x v="1"/>
    <x v="1"/>
  </r>
  <r>
    <s v="mtro_Kawasaki_Taipei_C301"/>
    <x v="0"/>
    <x v="1"/>
    <x v="5"/>
    <x v="0"/>
    <s v="ASIA_NO_REGION_NO_REGION_NO_REGION"/>
    <x v="1"/>
    <x v="0"/>
    <x v="1"/>
    <x v="1"/>
    <x v="1"/>
    <x v="1"/>
    <x v="1"/>
    <x v="1"/>
    <x v="1"/>
  </r>
  <r>
    <s v="mtro_CAF_Amsterdam_S3_9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mtro_GEC_Alsthom_Paris_MP89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mtro_MMZ_Moscow_81_740"/>
    <x v="0"/>
    <x v="1"/>
    <x v="0"/>
    <x v="0"/>
    <s v="COMECON_NO_REGION_NO_REGION_NO_REGION"/>
    <x v="1"/>
    <x v="0"/>
    <x v="1"/>
    <x v="0"/>
    <x v="1"/>
    <x v="1"/>
    <x v="1"/>
    <x v="1"/>
    <x v="1"/>
  </r>
  <r>
    <s v="mtro_Alstom_Singapore_C830_Metropolis"/>
    <x v="1"/>
    <x v="1"/>
    <x v="0"/>
    <x v="0"/>
    <s v="ASIA_NO_REGION_NO_REGION_NO_REGION"/>
    <x v="1"/>
    <x v="0"/>
    <x v="1"/>
    <x v="1"/>
    <x v="1"/>
    <x v="1"/>
    <x v="1"/>
    <x v="1"/>
    <x v="1"/>
  </r>
  <r>
    <s v="mtro_Siemens_Oslo_MX3000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mtro_Kawasaki_Osaka_30000"/>
    <x v="0"/>
    <x v="1"/>
    <x v="0"/>
    <x v="0"/>
    <s v="ASIA_NO_REGION_NO_REGION_NO_REGION"/>
    <x v="1"/>
    <x v="0"/>
    <x v="1"/>
    <x v="1"/>
    <x v="1"/>
    <x v="1"/>
    <x v="1"/>
    <x v="1"/>
    <x v="1"/>
  </r>
  <r>
    <s v="mtro_Kawasaki_Singapore_C151A"/>
    <x v="0"/>
    <x v="1"/>
    <x v="0"/>
    <x v="0"/>
    <s v="ASIA_NO_REGION_NO_REGION_NO_REGION"/>
    <x v="1"/>
    <x v="0"/>
    <x v="1"/>
    <x v="1"/>
    <x v="1"/>
    <x v="1"/>
    <x v="1"/>
    <x v="1"/>
    <x v="1"/>
  </r>
  <r>
    <s v="mtro_Kawasaki_Washington_7000"/>
    <x v="0"/>
    <x v="1"/>
    <x v="0"/>
    <x v="0"/>
    <s v="NORTH_AMERICA_NO_REGION_NO_REGION_NO_REGION"/>
    <x v="1"/>
    <x v="1"/>
    <x v="1"/>
    <x v="1"/>
    <x v="1"/>
    <x v="1"/>
    <x v="0"/>
    <x v="1"/>
    <x v="1"/>
  </r>
  <r>
    <s v="mtro_Hitachi_Thessaloniki_2014"/>
    <x v="0"/>
    <x v="1"/>
    <x v="10"/>
    <x v="0"/>
    <s v="SOUTHERN_EUROPE_NO_REGION_NO_REGION_NO_REGION"/>
    <x v="1"/>
    <x v="1"/>
    <x v="0"/>
    <x v="1"/>
    <x v="1"/>
    <x v="1"/>
    <x v="1"/>
    <x v="1"/>
    <x v="1"/>
  </r>
  <r>
    <s v="mtro_AEG_Berlin_U_Bahn_A_I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mtro_ACF_New_York_Hedley_Hi_V"/>
    <x v="0"/>
    <x v="1"/>
    <x v="1"/>
    <x v="0"/>
    <s v="NORTH_AMERICA_NO_REGION_NO_REGION_NO_REGION"/>
    <x v="1"/>
    <x v="1"/>
    <x v="1"/>
    <x v="1"/>
    <x v="1"/>
    <x v="1"/>
    <x v="0"/>
    <x v="1"/>
    <x v="1"/>
  </r>
  <r>
    <s v="mtro_Kawasaki_Osaka_1000"/>
    <x v="0"/>
    <x v="1"/>
    <x v="3"/>
    <x v="0"/>
    <s v="ASIA_NO_REGION_NO_REGION_NO_REGION"/>
    <x v="1"/>
    <x v="0"/>
    <x v="1"/>
    <x v="1"/>
    <x v="1"/>
    <x v="1"/>
    <x v="1"/>
    <x v="1"/>
    <x v="1"/>
  </r>
  <r>
    <s v="mtro_MMZ_Moscow_Type_A"/>
    <x v="0"/>
    <x v="1"/>
    <x v="3"/>
    <x v="0"/>
    <s v="COMECON_NO_REGION_NO_REGION_NO_REGION"/>
    <x v="1"/>
    <x v="0"/>
    <x v="1"/>
    <x v="0"/>
    <x v="1"/>
    <x v="1"/>
    <x v="1"/>
    <x v="1"/>
    <x v="1"/>
  </r>
  <r>
    <s v="mtro_ACF_New_York_R10"/>
    <x v="0"/>
    <x v="1"/>
    <x v="4"/>
    <x v="0"/>
    <s v="NORTH_AMERICA_NO_REGION_NO_REGION_NO_REGION"/>
    <x v="1"/>
    <x v="1"/>
    <x v="1"/>
    <x v="1"/>
    <x v="1"/>
    <x v="1"/>
    <x v="0"/>
    <x v="1"/>
    <x v="1"/>
  </r>
  <r>
    <s v="mtro_Stanga_Rome_MR_1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mtro_MMZ_Moscow_Type_D"/>
    <x v="0"/>
    <x v="1"/>
    <x v="4"/>
    <x v="0"/>
    <s v="COMECON_NO_REGION_NO_REGION_NO_REGION"/>
    <x v="1"/>
    <x v="0"/>
    <x v="1"/>
    <x v="0"/>
    <x v="1"/>
    <x v="1"/>
    <x v="1"/>
    <x v="1"/>
    <x v="1"/>
  </r>
  <r>
    <s v="mtro_Werkspoor_Rotterdam_MG2_Type_M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MMZ_Prague_ECS_Set"/>
    <x v="1"/>
    <x v="1"/>
    <x v="6"/>
    <x v="0"/>
    <s v="COMECON_NO_REGION_NO_REGION_NO_REGION"/>
    <x v="1"/>
    <x v="0"/>
    <x v="1"/>
    <x v="0"/>
    <x v="1"/>
    <x v="1"/>
    <x v="1"/>
    <x v="1"/>
    <x v="1"/>
  </r>
  <r>
    <s v="mtro_Hitachi_Buenos_Aires_Serie_1200"/>
    <x v="0"/>
    <x v="1"/>
    <x v="5"/>
    <x v="0"/>
    <s v="SOUTH_AMERICA_NO_REGION_NO_REGION_NO_REGION"/>
    <x v="1"/>
    <x v="1"/>
    <x v="1"/>
    <x v="1"/>
    <x v="1"/>
    <x v="1"/>
    <x v="1"/>
    <x v="0"/>
    <x v="1"/>
  </r>
  <r>
    <s v="mtro_GEC_Alsthom_Santiago_NS_93"/>
    <x v="0"/>
    <x v="1"/>
    <x v="5"/>
    <x v="0"/>
    <s v="SOUTH_AMERICA_NO_REGION_NO_REGION_NO_REGION"/>
    <x v="1"/>
    <x v="1"/>
    <x v="1"/>
    <x v="1"/>
    <x v="1"/>
    <x v="1"/>
    <x v="1"/>
    <x v="0"/>
    <x v="1"/>
  </r>
  <r>
    <s v="mtro_Alstom_Brasil_Santiago_AS_2002"/>
    <x v="1"/>
    <x v="1"/>
    <x v="0"/>
    <x v="0"/>
    <s v="SOUTH_AMERICA_NO_REGION_NO_REGION_NO_REGION"/>
    <x v="1"/>
    <x v="1"/>
    <x v="1"/>
    <x v="1"/>
    <x v="1"/>
    <x v="1"/>
    <x v="1"/>
    <x v="0"/>
    <x v="1"/>
  </r>
  <r>
    <s v="mtro_TUDH_Recife_VLT_Mobile_3"/>
    <x v="0"/>
    <x v="1"/>
    <x v="0"/>
    <x v="0"/>
    <s v="SOUTH_AMERICA_NO_REGION_NO_REGION_NO_REGION"/>
    <x v="1"/>
    <x v="1"/>
    <x v="1"/>
    <x v="1"/>
    <x v="1"/>
    <x v="1"/>
    <x v="1"/>
    <x v="0"/>
    <x v="1"/>
  </r>
  <r>
    <s v="mtro_CAF_Madrid_Series_50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mtro_CAF_Rome_S_30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mtro_CAF_Algiers_2011_Stock"/>
    <x v="0"/>
    <x v="1"/>
    <x v="0"/>
    <x v="0"/>
    <s v="AFRICA_NO_REGION_NO_REGION_NO_REGION"/>
    <x v="0"/>
    <x v="1"/>
    <x v="1"/>
    <x v="1"/>
    <x v="1"/>
    <x v="1"/>
    <x v="1"/>
    <x v="1"/>
    <x v="1"/>
  </r>
  <r>
    <s v="mtro_Stadler_Berlin_U_Bahn_IK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mtro_St__Louis_Car_Company_Chicago_L_6000_Series"/>
    <x v="0"/>
    <x v="1"/>
    <x v="4"/>
    <x v="0"/>
    <s v="NORTH_AMERICA_NO_REGION_NO_REGION_NO_REGION"/>
    <x v="1"/>
    <x v="1"/>
    <x v="1"/>
    <x v="1"/>
    <x v="1"/>
    <x v="1"/>
    <x v="0"/>
    <x v="1"/>
    <x v="1"/>
  </r>
  <r>
    <s v="mtro_BRC_W_London_1903_Stock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mtro_London_1938_Stock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electric_NER_EF1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JNR_EB10"/>
    <x v="0"/>
    <x v="1"/>
    <x v="3"/>
    <x v="0"/>
    <s v="ASIA_NO_REGION_NO_REGION_NO_REGION"/>
    <x v="1"/>
    <x v="0"/>
    <x v="1"/>
    <x v="1"/>
    <x v="1"/>
    <x v="1"/>
    <x v="1"/>
    <x v="1"/>
    <x v="1"/>
  </r>
  <r>
    <s v="electric_Hitachi_Kawasaki_EF55"/>
    <x v="0"/>
    <x v="1"/>
    <x v="3"/>
    <x v="0"/>
    <s v="ASIA_NO_REGION_NO_REGION_NO_REGION"/>
    <x v="1"/>
    <x v="0"/>
    <x v="1"/>
    <x v="1"/>
    <x v="1"/>
    <x v="1"/>
    <x v="1"/>
    <x v="1"/>
    <x v="1"/>
  </r>
  <r>
    <s v="electric_SLM_NS_1000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Alsthom_BB_7200_NS_16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lectric_Victorian_Railways_E"/>
    <x v="0"/>
    <x v="1"/>
    <x v="3"/>
    <x v="0"/>
    <s v="OCEANIA_NO_REGION_NO_REGION_NO_REGION"/>
    <x v="1"/>
    <x v="1"/>
    <x v="1"/>
    <x v="1"/>
    <x v="1"/>
    <x v="1"/>
    <x v="1"/>
    <x v="1"/>
    <x v="0"/>
  </r>
  <r>
    <s v="electric_British_Thomson_Houston_ES1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ALCO_GE_NYC_S_Motor_S1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Nippon_Sharyo_DeKi_400"/>
    <x v="0"/>
    <x v="1"/>
    <x v="3"/>
    <x v="0"/>
    <s v="ASIA_NO_REGION_NO_REGION_NO_REGION"/>
    <x v="1"/>
    <x v="0"/>
    <x v="1"/>
    <x v="1"/>
    <x v="1"/>
    <x v="1"/>
    <x v="1"/>
    <x v="1"/>
    <x v="1"/>
  </r>
  <r>
    <s v="electric_Vulcan_Foundry_SLM_EF_1"/>
    <x v="0"/>
    <x v="1"/>
    <x v="3"/>
    <x v="0"/>
    <s v="ASIA_NO_REGION_NO_REGION_NO_REGION"/>
    <x v="1"/>
    <x v="0"/>
    <x v="1"/>
    <x v="1"/>
    <x v="1"/>
    <x v="1"/>
    <x v="1"/>
    <x v="1"/>
    <x v="1"/>
  </r>
  <r>
    <s v="electric_Jeumont_Schneider_BB_9004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Werkspoor_ESS_3200"/>
    <x v="0"/>
    <x v="1"/>
    <x v="3"/>
    <x v="0"/>
    <s v="OCEANIA_NO_REGION_NO_REGION_NO_REGION"/>
    <x v="1"/>
    <x v="1"/>
    <x v="1"/>
    <x v="1"/>
    <x v="1"/>
    <x v="1"/>
    <x v="1"/>
    <x v="1"/>
    <x v="0"/>
  </r>
  <r>
    <s v="electric_Metropolitan_Vicerks_EM2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lectric_NER_EE1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electric_GE_ES_2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GE_2_4_8_0_0_8_4_2_EP2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EFE_E_28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Breda_E_428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electric_Werkspoor_SAR_ES"/>
    <x v="0"/>
    <x v="1"/>
    <x v="3"/>
    <x v="0"/>
    <s v="AFRICA_NO_REGION_NO_REGION_NO_REGION"/>
    <x v="0"/>
    <x v="1"/>
    <x v="1"/>
    <x v="1"/>
    <x v="1"/>
    <x v="1"/>
    <x v="1"/>
    <x v="1"/>
    <x v="1"/>
  </r>
  <r>
    <s v="electric_English_Electric_E__AEI_E_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HCP_203E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Pafawag_104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Skoda_98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TIBB_E_646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Breda_E_424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electric_Savigliano_E_444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Fiat_E_633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BN_ACEC_25_5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Krauss_Maffei_CAF_25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lectric_EFE_E_29"/>
    <x v="1"/>
    <x v="1"/>
    <x v="4"/>
    <x v="0"/>
    <s v="ALL_AMERICA_COMECON_NO_REGION_NO_REGION"/>
    <x v="1"/>
    <x v="0"/>
    <x v="1"/>
    <x v="0"/>
    <x v="1"/>
    <x v="1"/>
    <x v="0"/>
    <x v="0"/>
    <x v="1"/>
  </r>
  <r>
    <s v="electric_EFE_E_17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lectric_Alsthom_E_700"/>
    <x v="0"/>
    <x v="1"/>
    <x v="4"/>
    <x v="0"/>
    <s v="AFRICA_WESTERN_EUROPE_NO_REGION_NO_REGION"/>
    <x v="0"/>
    <x v="1"/>
    <x v="1"/>
    <x v="1"/>
    <x v="0"/>
    <x v="1"/>
    <x v="1"/>
    <x v="1"/>
    <x v="1"/>
  </r>
  <r>
    <s v="electric_Vulcan_Foundry_EE_EM_1"/>
    <x v="0"/>
    <x v="1"/>
    <x v="4"/>
    <x v="0"/>
    <s v="ASIA_NO_REGION_NO_REGION_NO_REGION"/>
    <x v="1"/>
    <x v="0"/>
    <x v="1"/>
    <x v="1"/>
    <x v="1"/>
    <x v="1"/>
    <x v="1"/>
    <x v="1"/>
    <x v="1"/>
  </r>
  <r>
    <s v="electric_Union_Carriage___Wagon_E38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Mitsubishi_series_269"/>
    <x v="0"/>
    <x v="1"/>
    <x v="5"/>
    <x v="0"/>
    <s v="SOUTH_AMERICA_SOUTHERN_EUROPE_NO_REGION_NO_REGION"/>
    <x v="1"/>
    <x v="1"/>
    <x v="0"/>
    <x v="1"/>
    <x v="1"/>
    <x v="1"/>
    <x v="1"/>
    <x v="0"/>
    <x v="1"/>
  </r>
  <r>
    <s v="electric_Skoda_69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AEG_Skabo_EL7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Westinghouse_FF_1_Big_Liz_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ELIN_Floridsdorf_1161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Maffei_SSW_Lok_5_Adolphine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Thune_ASEA_EL10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electric_AEG_E_0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GE_4_6_0_0_6_4OE_GG_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lectric_SLM_1100_Crocodile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AEG_BBC_Henschel_Siemens_E03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Krauss_WASSEG_E_91_9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SLM_Ce_4_4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SLM_Ae_6_6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SLM_ABB_Lok_2000"/>
    <x v="0"/>
    <x v="1"/>
    <x v="5"/>
    <x v="0"/>
    <s v="NORTH_WEST_EUROPE_ASIA_NO_REGION_NO_REGION"/>
    <x v="1"/>
    <x v="0"/>
    <x v="1"/>
    <x v="1"/>
    <x v="0"/>
    <x v="0"/>
    <x v="1"/>
    <x v="1"/>
    <x v="1"/>
  </r>
  <r>
    <s v="electric_Stadler_Butler_Eem_923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lectric_SGP_1044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SGP_1063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lectric_ASEA_Dm3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lectric_Bombardier_Traxx_H80_AC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electric_Siemens_Oa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ASEA_F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lectric_Thyssen_Henschel_EL17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lectric_Borsig_SSW_ES_6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electric_GE_EL_2B"/>
    <x v="0"/>
    <x v="1"/>
    <x v="4"/>
    <x v="0"/>
    <s v="NORTH_AMERICA_NO_REGION_NO_REGION_NO_REGION"/>
    <x v="1"/>
    <x v="1"/>
    <x v="1"/>
    <x v="1"/>
    <x v="1"/>
    <x v="1"/>
    <x v="0"/>
    <x v="1"/>
    <x v="1"/>
  </r>
  <r>
    <s v="electric_GE_W_1"/>
    <x v="0"/>
    <x v="1"/>
    <x v="4"/>
    <x v="0"/>
    <s v="NORTH_AMERICA_NO_REGION_NO_REGION_NO_REGION"/>
    <x v="1"/>
    <x v="1"/>
    <x v="1"/>
    <x v="1"/>
    <x v="1"/>
    <x v="1"/>
    <x v="0"/>
    <x v="1"/>
    <x v="1"/>
  </r>
  <r>
    <s v="electric_Westinghouse_6wOE_B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lectric_Siemens_E40_AG_V1"/>
    <x v="0"/>
    <x v="1"/>
    <x v="0"/>
    <x v="0"/>
    <s v="OCEANIA_NO_REGION_NO_REGION_NO_REGION"/>
    <x v="1"/>
    <x v="1"/>
    <x v="1"/>
    <x v="1"/>
    <x v="1"/>
    <x v="1"/>
    <x v="1"/>
    <x v="1"/>
    <x v="0"/>
  </r>
  <r>
    <s v="electric_Zuzhou_SS6"/>
    <x v="0"/>
    <x v="1"/>
    <x v="5"/>
    <x v="0"/>
    <s v="ASIA_NO_REGION_NO_REGION_NO_REGION"/>
    <x v="1"/>
    <x v="0"/>
    <x v="1"/>
    <x v="1"/>
    <x v="1"/>
    <x v="1"/>
    <x v="1"/>
    <x v="1"/>
    <x v="1"/>
  </r>
  <r>
    <s v="electric_Zuzhou_SS3"/>
    <x v="0"/>
    <x v="1"/>
    <x v="6"/>
    <x v="0"/>
    <s v="ASIA_NO_REGION_NO_REGION_NO_REGION"/>
    <x v="1"/>
    <x v="0"/>
    <x v="1"/>
    <x v="1"/>
    <x v="1"/>
    <x v="1"/>
    <x v="1"/>
    <x v="1"/>
    <x v="1"/>
  </r>
  <r>
    <s v="electric_Toshiba_CNR_Dalian_HXD3"/>
    <x v="0"/>
    <x v="1"/>
    <x v="0"/>
    <x v="0"/>
    <s v="ASIA_NO_REGION_NO_REGION_NO_REGION"/>
    <x v="1"/>
    <x v="0"/>
    <x v="1"/>
    <x v="1"/>
    <x v="1"/>
    <x v="1"/>
    <x v="1"/>
    <x v="1"/>
    <x v="1"/>
  </r>
  <r>
    <s v="electric_Toshiba_CRRC_HXD1D"/>
    <x v="0"/>
    <x v="1"/>
    <x v="0"/>
    <x v="0"/>
    <s v="ASIA_NO_REGION_NO_REGION_NO_REGION"/>
    <x v="1"/>
    <x v="0"/>
    <x v="1"/>
    <x v="1"/>
    <x v="1"/>
    <x v="1"/>
    <x v="1"/>
    <x v="1"/>
    <x v="1"/>
  </r>
  <r>
    <s v="electric_Kawasaki_6K"/>
    <x v="0"/>
    <x v="1"/>
    <x v="5"/>
    <x v="0"/>
    <s v="ASIA_NO_REGION_NO_REGION_NO_REGION"/>
    <x v="1"/>
    <x v="0"/>
    <x v="1"/>
    <x v="1"/>
    <x v="1"/>
    <x v="1"/>
    <x v="1"/>
    <x v="1"/>
    <x v="1"/>
  </r>
  <r>
    <s v="electric_GE_E44"/>
    <x v="0"/>
    <x v="1"/>
    <x v="6"/>
    <x v="0"/>
    <s v="NORTH_AMERICA_NO_REGION_NO_REGION_NO_REGION"/>
    <x v="1"/>
    <x v="1"/>
    <x v="1"/>
    <x v="1"/>
    <x v="1"/>
    <x v="1"/>
    <x v="0"/>
    <x v="1"/>
    <x v="1"/>
  </r>
  <r>
    <s v="electric_ASEA_Koncar_Rb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Ganz_MAVAG_VM14_V43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Alsthom_CP_25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electric_Alsthom_CP_26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ZELC_20E_China_Doll"/>
    <x v="0"/>
    <x v="1"/>
    <x v="0"/>
    <x v="0"/>
    <s v="AFRICA_NO_REGION_NO_REGION_NO_REGION"/>
    <x v="0"/>
    <x v="1"/>
    <x v="1"/>
    <x v="1"/>
    <x v="1"/>
    <x v="1"/>
    <x v="1"/>
    <x v="1"/>
    <x v="1"/>
  </r>
  <r>
    <s v="electric_Siemens_EuroSprinter_ES64F"/>
    <x v="0"/>
    <x v="1"/>
    <x v="0"/>
    <x v="0"/>
    <s v="ASIA_ALL_EUROPE_NO_REGION_NO_REGION"/>
    <x v="1"/>
    <x v="0"/>
    <x v="0"/>
    <x v="0"/>
    <x v="0"/>
    <x v="0"/>
    <x v="1"/>
    <x v="1"/>
    <x v="1"/>
  </r>
  <r>
    <s v="electric_DEVZ_DS3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Skoda_47E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Ansaldo___Breda_C_F_E_491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lectric_ASEA_Electroputere_Rb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CEF_BB_1600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BR_85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lectric_GE_E60C_2"/>
    <x v="0"/>
    <x v="1"/>
    <x v="5"/>
    <x v="0"/>
    <s v="NORTH_AMERICA_NO_REGION_NO_REGION_NO_REGION"/>
    <x v="1"/>
    <x v="1"/>
    <x v="1"/>
    <x v="1"/>
    <x v="1"/>
    <x v="1"/>
    <x v="0"/>
    <x v="1"/>
    <x v="1"/>
  </r>
  <r>
    <s v="electric_Alstom_Prima_II"/>
    <x v="0"/>
    <x v="1"/>
    <x v="0"/>
    <x v="0"/>
    <s v="AFRICA_NO_REGION_NO_REGION_NO_REGION"/>
    <x v="0"/>
    <x v="1"/>
    <x v="1"/>
    <x v="1"/>
    <x v="1"/>
    <x v="1"/>
    <x v="1"/>
    <x v="1"/>
    <x v="1"/>
  </r>
  <r>
    <s v="electric_Toshiba_EA"/>
    <x v="0"/>
    <x v="1"/>
    <x v="6"/>
    <x v="0"/>
    <s v="OCEANIA_NO_REGION_NO_REGION_NO_REGION"/>
    <x v="1"/>
    <x v="1"/>
    <x v="1"/>
    <x v="1"/>
    <x v="1"/>
    <x v="1"/>
    <x v="1"/>
    <x v="1"/>
    <x v="0"/>
  </r>
  <r>
    <s v="electric_ASEA_GMD_GF6C"/>
    <x v="0"/>
    <x v="1"/>
    <x v="5"/>
    <x v="0"/>
    <s v="NORTH_AMERICA_NO_REGION_NO_REGION_NO_REGION"/>
    <x v="1"/>
    <x v="1"/>
    <x v="1"/>
    <x v="1"/>
    <x v="1"/>
    <x v="1"/>
    <x v="0"/>
    <x v="1"/>
    <x v="1"/>
  </r>
  <r>
    <s v="electric_Alsthom_BB_222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GEC_Alsthom_BB_260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lectric_Alsthom_BB_255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Siemens_Eurosprinter_ES64U4"/>
    <x v="0"/>
    <x v="1"/>
    <x v="0"/>
    <x v="0"/>
    <s v="ALL_EUROPE_NO_REGION_NO_REGION_NO_REGION"/>
    <x v="1"/>
    <x v="1"/>
    <x v="0"/>
    <x v="0"/>
    <x v="0"/>
    <x v="0"/>
    <x v="1"/>
    <x v="1"/>
    <x v="1"/>
  </r>
  <r>
    <s v="electric_Toshiba_EH500"/>
    <x v="0"/>
    <x v="1"/>
    <x v="5"/>
    <x v="0"/>
    <s v="ASIA_NO_REGION_NO_REGION_NO_REGION"/>
    <x v="1"/>
    <x v="0"/>
    <x v="1"/>
    <x v="1"/>
    <x v="1"/>
    <x v="1"/>
    <x v="1"/>
    <x v="1"/>
    <x v="1"/>
  </r>
  <r>
    <s v="electric_ASEA_EMD_AEM_7"/>
    <x v="0"/>
    <x v="1"/>
    <x v="6"/>
    <x v="0"/>
    <s v="NORTH_AMERICA_NO_REGION_NO_REGION_NO_REGION"/>
    <x v="1"/>
    <x v="1"/>
    <x v="1"/>
    <x v="1"/>
    <x v="1"/>
    <x v="1"/>
    <x v="0"/>
    <x v="1"/>
    <x v="1"/>
  </r>
  <r>
    <s v="electric_Bombardier_Alstom_HHP_8"/>
    <x v="0"/>
    <x v="1"/>
    <x v="5"/>
    <x v="0"/>
    <s v="NORTH_AMERICA_NO_REGION_NO_REGION_NO_REGION"/>
    <x v="1"/>
    <x v="1"/>
    <x v="1"/>
    <x v="1"/>
    <x v="1"/>
    <x v="1"/>
    <x v="0"/>
    <x v="1"/>
    <x v="1"/>
  </r>
  <r>
    <s v="electric_Skoda_109E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CAF_Macosa_252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lectric_Bombardier_Traxx_F140_MS"/>
    <x v="0"/>
    <x v="1"/>
    <x v="0"/>
    <x v="0"/>
    <s v="ALL_EUROPE_NO_REGION_NO_REGION_NO_REGION"/>
    <x v="1"/>
    <x v="1"/>
    <x v="0"/>
    <x v="0"/>
    <x v="0"/>
    <x v="0"/>
    <x v="1"/>
    <x v="1"/>
    <x v="1"/>
  </r>
  <r>
    <s v="electric_TIBB_E_550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electric_Hitachi_EF81"/>
    <x v="0"/>
    <x v="1"/>
    <x v="6"/>
    <x v="0"/>
    <s v="ASIA_NO_REGION_NO_REGION_NO_REGION"/>
    <x v="1"/>
    <x v="0"/>
    <x v="1"/>
    <x v="1"/>
    <x v="1"/>
    <x v="1"/>
    <x v="1"/>
    <x v="1"/>
    <x v="1"/>
  </r>
  <r>
    <s v="electric_ABB_Brush_Class_92"/>
    <x v="0"/>
    <x v="1"/>
    <x v="5"/>
    <x v="0"/>
    <s v="NORTHERN_EUROPE_WESTERN_EUROPE_EASTERN_EUROPE_NO_REGION"/>
    <x v="1"/>
    <x v="1"/>
    <x v="1"/>
    <x v="0"/>
    <x v="0"/>
    <x v="0"/>
    <x v="1"/>
    <x v="1"/>
    <x v="1"/>
  </r>
  <r>
    <s v="electric_Siemens_ACS_64"/>
    <x v="0"/>
    <x v="1"/>
    <x v="0"/>
    <x v="0"/>
    <s v="NORTH_AMERICA_NO_REGION_NO_REGION_NO_REGION"/>
    <x v="1"/>
    <x v="1"/>
    <x v="1"/>
    <x v="1"/>
    <x v="1"/>
    <x v="1"/>
    <x v="0"/>
    <x v="1"/>
    <x v="1"/>
  </r>
  <r>
    <s v="electric_Alsthom_CC_40101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Alsthom_Class_13_HLE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dmu_LHB_VT_04_0_Flying_Hamburger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dmu_Harland___Wolf_Silver_City_Comet"/>
    <x v="0"/>
    <x v="1"/>
    <x v="3"/>
    <x v="0"/>
    <s v="OCEANIA_NO_REGION_NO_REGION_NO_REGION"/>
    <x v="1"/>
    <x v="1"/>
    <x v="1"/>
    <x v="1"/>
    <x v="1"/>
    <x v="1"/>
    <x v="1"/>
    <x v="1"/>
    <x v="0"/>
  </r>
  <r>
    <s v="dmu_Tatra_M131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mu_MAN_VT_08_5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mu_South_Australian_Railways_400_Redhen"/>
    <x v="0"/>
    <x v="1"/>
    <x v="4"/>
    <x v="0"/>
    <s v="OCEANIA_NO_REGION_NO_REGION_NO_REGION"/>
    <x v="1"/>
    <x v="1"/>
    <x v="1"/>
    <x v="1"/>
    <x v="1"/>
    <x v="1"/>
    <x v="1"/>
    <x v="1"/>
    <x v="0"/>
  </r>
  <r>
    <s v="dmu_MAN_LHB_VT11_5___DB_601_TEE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mu_Werkspoor_Plan_U_DE_III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mu_UAC_Turbo_Train"/>
    <x v="0"/>
    <x v="1"/>
    <x v="6"/>
    <x v="0"/>
    <s v="NORTH_AMERICA_NO_REGION_NO_REGION_NO_REGION"/>
    <x v="1"/>
    <x v="1"/>
    <x v="1"/>
    <x v="1"/>
    <x v="1"/>
    <x v="1"/>
    <x v="0"/>
    <x v="1"/>
    <x v="1"/>
  </r>
  <r>
    <s v="dmu_JZ_811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dmu_BREL_43_IC125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mu_Bombardier_M6109"/>
    <x v="0"/>
    <x v="1"/>
    <x v="5"/>
    <x v="0"/>
    <s v="NORTH_AMERICA_NO_REGION_NO_REGION_NO_REGION"/>
    <x v="1"/>
    <x v="1"/>
    <x v="1"/>
    <x v="1"/>
    <x v="1"/>
    <x v="1"/>
    <x v="0"/>
    <x v="1"/>
    <x v="1"/>
  </r>
  <r>
    <s v="dmu_ABB_IC3_Y2"/>
    <x v="0"/>
    <x v="1"/>
    <x v="5"/>
    <x v="0"/>
    <s v="ALL_EUROPE_AFRICA_NO_REGION_NO_REGION"/>
    <x v="0"/>
    <x v="1"/>
    <x v="0"/>
    <x v="0"/>
    <x v="0"/>
    <x v="0"/>
    <x v="1"/>
    <x v="1"/>
    <x v="1"/>
  </r>
  <r>
    <s v="dmu_CAF_594_TRD"/>
    <x v="0"/>
    <x v="1"/>
    <x v="5"/>
    <x v="0"/>
    <s v="ALL_EUROPE_AFRICA_NO_REGION_NO_REGION"/>
    <x v="0"/>
    <x v="1"/>
    <x v="0"/>
    <x v="0"/>
    <x v="0"/>
    <x v="0"/>
    <x v="1"/>
    <x v="1"/>
    <x v="1"/>
  </r>
  <r>
    <s v="dmu_Adtranz_Class_168_Clubman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mu_Adtranz_Class_612_Regio_Swinger"/>
    <x v="0"/>
    <x v="1"/>
    <x v="5"/>
    <x v="0"/>
    <s v="WESTERN_EUROPE_EASTERN_EUROPE_NO_REGION_NO_REGION"/>
    <x v="1"/>
    <x v="1"/>
    <x v="1"/>
    <x v="0"/>
    <x v="0"/>
    <x v="1"/>
    <x v="1"/>
    <x v="1"/>
    <x v="1"/>
  </r>
  <r>
    <s v="dmu_Siemens_Desiro"/>
    <x v="0"/>
    <x v="1"/>
    <x v="0"/>
    <x v="0"/>
    <s v="ALL_EUROPE_NORTH_AMERICA_NO_REGION_NO_REGION"/>
    <x v="1"/>
    <x v="1"/>
    <x v="0"/>
    <x v="0"/>
    <x v="0"/>
    <x v="0"/>
    <x v="0"/>
    <x v="1"/>
    <x v="1"/>
  </r>
  <r>
    <s v="dmu_Alstom_Coradia_LINT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mu_Bombardier_Talent_NSB_BM_93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mu_UGL_WD_Prospector"/>
    <x v="0"/>
    <x v="1"/>
    <x v="0"/>
    <x v="0"/>
    <s v="OCEANIA_NO_REGION_NO_REGION_NO_REGION"/>
    <x v="1"/>
    <x v="1"/>
    <x v="1"/>
    <x v="1"/>
    <x v="1"/>
    <x v="1"/>
    <x v="1"/>
    <x v="1"/>
    <x v="0"/>
  </r>
  <r>
    <s v="dmu_UGL_Hunter_Railcar"/>
    <x v="0"/>
    <x v="1"/>
    <x v="0"/>
    <x v="0"/>
    <s v="OCEANIA_NO_REGION_NO_REGION_NO_REGION"/>
    <x v="1"/>
    <x v="1"/>
    <x v="1"/>
    <x v="1"/>
    <x v="1"/>
    <x v="1"/>
    <x v="1"/>
    <x v="1"/>
    <x v="0"/>
  </r>
  <r>
    <s v="dmu_MVM_RA2"/>
    <x v="0"/>
    <x v="1"/>
    <x v="0"/>
    <x v="0"/>
    <s v="COMECON_NO_REGION_NO_REGION_NO_REGION"/>
    <x v="1"/>
    <x v="0"/>
    <x v="1"/>
    <x v="0"/>
    <x v="1"/>
    <x v="1"/>
    <x v="1"/>
    <x v="1"/>
    <x v="1"/>
  </r>
  <r>
    <s v="dmu_AnsaldoBreda_IC4"/>
    <x v="0"/>
    <x v="1"/>
    <x v="0"/>
    <x v="0"/>
    <s v="NORTHERN_EUROPE_AFRICA_NO_REGION_NO_REGION"/>
    <x v="0"/>
    <x v="1"/>
    <x v="1"/>
    <x v="1"/>
    <x v="1"/>
    <x v="0"/>
    <x v="1"/>
    <x v="1"/>
    <x v="1"/>
  </r>
  <r>
    <s v="dmu_TZV_Gredelj_7022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mu_Fiat_TCDD_MT_5500"/>
    <x v="0"/>
    <x v="1"/>
    <x v="6"/>
    <x v="0"/>
    <s v="COMECON_NO_REGION_NO_REGION_NO_REGION"/>
    <x v="1"/>
    <x v="0"/>
    <x v="1"/>
    <x v="0"/>
    <x v="1"/>
    <x v="1"/>
    <x v="1"/>
    <x v="1"/>
    <x v="1"/>
  </r>
  <r>
    <s v="dmu_Fuji_KiHa_181"/>
    <x v="0"/>
    <x v="1"/>
    <x v="6"/>
    <x v="0"/>
    <s v="ASIA_NO_REGION_NO_REGION_NO_REGION"/>
    <x v="1"/>
    <x v="0"/>
    <x v="1"/>
    <x v="1"/>
    <x v="1"/>
    <x v="1"/>
    <x v="1"/>
    <x v="1"/>
    <x v="1"/>
  </r>
  <r>
    <s v="dmu_Vagonka_Studenka_814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mu_BR_150_0_Sprinter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mu_BREL_141_Pacer"/>
    <x v="0"/>
    <x v="1"/>
    <x v="5"/>
    <x v="0"/>
    <s v="ASIA_NO_REGION_NO_REGION_NO_REGION"/>
    <x v="1"/>
    <x v="0"/>
    <x v="1"/>
    <x v="1"/>
    <x v="1"/>
    <x v="1"/>
    <x v="1"/>
    <x v="1"/>
    <x v="1"/>
  </r>
  <r>
    <s v="dmu_ABB_IC3__Israel_"/>
    <x v="1"/>
    <x v="1"/>
    <x v="5"/>
    <x v="0"/>
    <s v="AFRICA_ALL_EUROPE_NO_REGION_NO_REGION"/>
    <x v="0"/>
    <x v="1"/>
    <x v="0"/>
    <x v="0"/>
    <x v="0"/>
    <x v="0"/>
    <x v="1"/>
    <x v="1"/>
    <x v="1"/>
  </r>
  <r>
    <s v="dmu_Comeng_3100"/>
    <x v="0"/>
    <x v="1"/>
    <x v="5"/>
    <x v="0"/>
    <s v="OCEANIA_NO_REGION_NO_REGION_NO_REGION"/>
    <x v="1"/>
    <x v="1"/>
    <x v="1"/>
    <x v="1"/>
    <x v="1"/>
    <x v="1"/>
    <x v="1"/>
    <x v="1"/>
    <x v="0"/>
  </r>
  <r>
    <s v="dmu_ABB_Xplorer"/>
    <x v="0"/>
    <x v="1"/>
    <x v="5"/>
    <x v="0"/>
    <s v="OCEANIA_NO_REGION_NO_REGION_NO_REGION"/>
    <x v="1"/>
    <x v="1"/>
    <x v="1"/>
    <x v="1"/>
    <x v="1"/>
    <x v="1"/>
    <x v="1"/>
    <x v="1"/>
    <x v="0"/>
  </r>
  <r>
    <s v="dmu_Niigata_Transys_KiHa_189"/>
    <x v="0"/>
    <x v="1"/>
    <x v="0"/>
    <x v="0"/>
    <s v="ASIA_NO_REGION_NO_REGION_NO_REGION"/>
    <x v="1"/>
    <x v="0"/>
    <x v="1"/>
    <x v="1"/>
    <x v="1"/>
    <x v="1"/>
    <x v="1"/>
    <x v="1"/>
    <x v="1"/>
  </r>
  <r>
    <s v="dmu_Integral_Coach_Factory_S11"/>
    <x v="0"/>
    <x v="1"/>
    <x v="0"/>
    <x v="0"/>
    <s v="ASIA_NO_REGION_NO_REGION_NO_REGION"/>
    <x v="1"/>
    <x v="0"/>
    <x v="1"/>
    <x v="1"/>
    <x v="1"/>
    <x v="1"/>
    <x v="1"/>
    <x v="1"/>
    <x v="1"/>
  </r>
  <r>
    <s v="dmu_ZOS_Vrutky_861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mu_CAF_TLD_500"/>
    <x v="0"/>
    <x v="1"/>
    <x v="5"/>
    <x v="0"/>
    <s v="SOUTH_AMERICA_NO_REGION_NO_REGION_NO_REGION"/>
    <x v="1"/>
    <x v="1"/>
    <x v="1"/>
    <x v="1"/>
    <x v="1"/>
    <x v="1"/>
    <x v="1"/>
    <x v="0"/>
    <x v="1"/>
  </r>
  <r>
    <s v="dmu_Camrail_ZE_500"/>
    <x v="0"/>
    <x v="1"/>
    <x v="6"/>
    <x v="0"/>
    <s v="AFRICA_NO_REGION_NO_REGION_NO_REGION"/>
    <x v="0"/>
    <x v="1"/>
    <x v="1"/>
    <x v="1"/>
    <x v="1"/>
    <x v="1"/>
    <x v="1"/>
    <x v="1"/>
    <x v="1"/>
  </r>
  <r>
    <s v="dmu_Metro_Cammell_251_Blue_Pullman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mu_Comeng_ADK"/>
    <x v="0"/>
    <x v="1"/>
    <x v="6"/>
    <x v="0"/>
    <s v="OCEANIA_NO_REGION_NO_REGION_NO_REGION"/>
    <x v="1"/>
    <x v="1"/>
    <x v="1"/>
    <x v="1"/>
    <x v="1"/>
    <x v="1"/>
    <x v="1"/>
    <x v="1"/>
    <x v="0"/>
  </r>
  <r>
    <s v="dmu_ANF_X_463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mu_ANF_T_20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mu_Duwag_Wadloper"/>
    <x v="0"/>
    <x v="1"/>
    <x v="5"/>
    <x v="0"/>
    <s v="ALL_EUROPE_SOUTH_AMERICA_NO_REGION_NO_REGION"/>
    <x v="1"/>
    <x v="1"/>
    <x v="0"/>
    <x v="0"/>
    <x v="0"/>
    <x v="0"/>
    <x v="1"/>
    <x v="0"/>
    <x v="1"/>
  </r>
  <r>
    <s v="dmu_Duwag_628_2"/>
    <x v="0"/>
    <x v="1"/>
    <x v="5"/>
    <x v="0"/>
    <s v="WESTERN_EUROPE_EASTERN_EUROPE_NO_REGION_NO_REGION"/>
    <x v="1"/>
    <x v="1"/>
    <x v="1"/>
    <x v="0"/>
    <x v="0"/>
    <x v="1"/>
    <x v="1"/>
    <x v="1"/>
    <x v="1"/>
  </r>
  <r>
    <s v="dmu_CAF_ZZ_2200_Autorail"/>
    <x v="0"/>
    <x v="1"/>
    <x v="0"/>
    <x v="0"/>
    <s v="AFRICA_NO_REGION_NO_REGION_NO_REGION"/>
    <x v="0"/>
    <x v="1"/>
    <x v="1"/>
    <x v="1"/>
    <x v="1"/>
    <x v="1"/>
    <x v="1"/>
    <x v="1"/>
    <x v="1"/>
  </r>
  <r>
    <s v="dmu_CFD_AMT_800"/>
    <x v="0"/>
    <x v="1"/>
    <x v="0"/>
    <x v="0"/>
    <s v="AFRICA_NO_REGION_NO_REGION_NO_REGION"/>
    <x v="0"/>
    <x v="1"/>
    <x v="1"/>
    <x v="1"/>
    <x v="1"/>
    <x v="1"/>
    <x v="1"/>
    <x v="1"/>
    <x v="1"/>
  </r>
  <r>
    <s v="dmu_CNR_Tangshan_Ghana_DEMU"/>
    <x v="0"/>
    <x v="1"/>
    <x v="0"/>
    <x v="0"/>
    <s v="AFRICA_NO_REGION_NO_REGION_NO_REGION"/>
    <x v="0"/>
    <x v="1"/>
    <x v="1"/>
    <x v="1"/>
    <x v="1"/>
    <x v="1"/>
    <x v="1"/>
    <x v="1"/>
    <x v="1"/>
  </r>
  <r>
    <s v="dmu_Downer_EDI_Hitachi_Tilt_Train"/>
    <x v="0"/>
    <x v="1"/>
    <x v="0"/>
    <x v="0"/>
    <s v="OCEANIA_NO_REGION_NO_REGION_NO_REGION"/>
    <x v="1"/>
    <x v="1"/>
    <x v="1"/>
    <x v="1"/>
    <x v="1"/>
    <x v="1"/>
    <x v="1"/>
    <x v="1"/>
    <x v="0"/>
  </r>
  <r>
    <s v="dmu_Nippon_Sharyo_1000_Series"/>
    <x v="0"/>
    <x v="1"/>
    <x v="0"/>
    <x v="0"/>
    <s v="NORTH_AMERICA_NO_REGION_NO_REGION_NO_REGION"/>
    <x v="1"/>
    <x v="1"/>
    <x v="1"/>
    <x v="1"/>
    <x v="1"/>
    <x v="1"/>
    <x v="0"/>
    <x v="1"/>
    <x v="1"/>
  </r>
  <r>
    <s v="dmu_Materfer_CMM_400_2"/>
    <x v="0"/>
    <x v="1"/>
    <x v="0"/>
    <x v="0"/>
    <s v="SOUTH_AMERICA_NO_REGION_NO_REGION_NO_REGION"/>
    <x v="1"/>
    <x v="1"/>
    <x v="1"/>
    <x v="1"/>
    <x v="1"/>
    <x v="1"/>
    <x v="1"/>
    <x v="0"/>
    <x v="1"/>
  </r>
  <r>
    <s v="dmu_Fiat_ALn_442_448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dmu_Sorefame_CP_04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dmu_Sorefame_CP_06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dmu_MTM_2400_Apollos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cargodmu_Windhoff_CargoSprinter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Downer_CRRC_Hitachi_Waratah"/>
    <x v="0"/>
    <x v="1"/>
    <x v="0"/>
    <x v="0"/>
    <s v="OCEANIA_NO_REGION_NO_REGION_NO_REGION"/>
    <x v="1"/>
    <x v="1"/>
    <x v="1"/>
    <x v="1"/>
    <x v="1"/>
    <x v="1"/>
    <x v="1"/>
    <x v="1"/>
    <x v="0"/>
  </r>
  <r>
    <s v="emu_Frichs___Scandia_S_Tog_II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mu_Alsthom_S_Tog_IV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mu_TIBB_ECD_21_30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emu_Werkspoor_Mat2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Werkspoor_Mat36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Werkspoor_Mat54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mu_Talbot_Plan_Y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Talbot_ICM_40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Talbot_DD_IRM_VIRM_80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De_Dietrich_Adtranz_mDDm_39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AEG_EW90"/>
    <x v="0"/>
    <x v="1"/>
    <x v="3"/>
    <x v="0"/>
    <s v="COMECON_WESTERN_EUROPE_NO_REGION_NO_REGION"/>
    <x v="1"/>
    <x v="0"/>
    <x v="1"/>
    <x v="0"/>
    <x v="0"/>
    <x v="1"/>
    <x v="1"/>
    <x v="1"/>
    <x v="1"/>
  </r>
  <r>
    <s v="emu_Breda_ETR_200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emu_Breda_ETR_300_Settebello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emu_TREVI_ETR_500_Frecciarossa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mu_AnsaldoBreda_ALe_426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mu_BN_ACEC_ZMC"/>
    <x v="0"/>
    <x v="1"/>
    <x v="5"/>
    <x v="0"/>
    <s v="AFRICA_WESTERN_EUROPE_NO_REGION_NO_REGION"/>
    <x v="0"/>
    <x v="1"/>
    <x v="1"/>
    <x v="1"/>
    <x v="0"/>
    <x v="1"/>
    <x v="1"/>
    <x v="1"/>
    <x v="1"/>
  </r>
  <r>
    <s v="emu_ASEA_EW54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emu_Breda_ALe_801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mu_SGP_AEG_BBC_4030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mu_ELIN_ET_10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Stadler_4010_KISS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mu_LHB_42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Adtranz_BM73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mu_NEBB_M65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mu_ASEA_X2000"/>
    <x v="0"/>
    <x v="1"/>
    <x v="5"/>
    <x v="0"/>
    <s v="NORTHERN_EUROPE_APAC_NO_REGION_NO_REGION"/>
    <x v="1"/>
    <x v="0"/>
    <x v="1"/>
    <x v="1"/>
    <x v="1"/>
    <x v="0"/>
    <x v="1"/>
    <x v="1"/>
    <x v="0"/>
  </r>
  <r>
    <s v="emu_SWP_RABDe_51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Schindler_RBDe_56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Stadler_RABe_523_Flirt"/>
    <x v="0"/>
    <x v="1"/>
    <x v="0"/>
    <x v="0"/>
    <s v="ALL_EUROPE_NO_REGION_NO_REGION_NO_REGION"/>
    <x v="1"/>
    <x v="1"/>
    <x v="0"/>
    <x v="0"/>
    <x v="0"/>
    <x v="0"/>
    <x v="1"/>
    <x v="1"/>
    <x v="1"/>
  </r>
  <r>
    <s v="emu_Budd_Metroliner"/>
    <x v="0"/>
    <x v="1"/>
    <x v="6"/>
    <x v="0"/>
    <s v="NORTH_AMERICA_NO_REGION_NO_REGION_NO_REGION"/>
    <x v="1"/>
    <x v="1"/>
    <x v="1"/>
    <x v="1"/>
    <x v="1"/>
    <x v="1"/>
    <x v="0"/>
    <x v="1"/>
    <x v="1"/>
  </r>
  <r>
    <s v="emu_Siemens_Velero"/>
    <x v="0"/>
    <x v="1"/>
    <x v="0"/>
    <x v="0"/>
    <s v="NORTH_WEST_EUROPE_COMECON_NO_REGION_NO_REGION"/>
    <x v="1"/>
    <x v="0"/>
    <x v="1"/>
    <x v="0"/>
    <x v="0"/>
    <x v="0"/>
    <x v="1"/>
    <x v="1"/>
    <x v="1"/>
  </r>
  <r>
    <s v="emu_Siemens_Desiro_BDZ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mu_Valmet_Sm2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mu_Fiat_CAF_Sm4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mu_Ganz_MAVAG_VM17_BDVmot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mu_ACME_Corp__Sureot"/>
    <x v="0"/>
    <x v="1"/>
    <x v="10"/>
    <x v="0"/>
    <s v="ALL_EUROPE_NO_REGION_NO_REGION_NO_REGION"/>
    <x v="1"/>
    <x v="1"/>
    <x v="0"/>
    <x v="0"/>
    <x v="0"/>
    <x v="0"/>
    <x v="1"/>
    <x v="1"/>
    <x v="1"/>
  </r>
  <r>
    <s v="emu_Hitachi_Shinkansen_Series_0"/>
    <x v="0"/>
    <x v="1"/>
    <x v="6"/>
    <x v="0"/>
    <s v="ASIA_NO_REGION_NO_REGION_NO_REGION"/>
    <x v="1"/>
    <x v="0"/>
    <x v="1"/>
    <x v="1"/>
    <x v="1"/>
    <x v="1"/>
    <x v="1"/>
    <x v="1"/>
    <x v="1"/>
  </r>
  <r>
    <s v="emu_Hitachi_Shinkansen_Series_700"/>
    <x v="0"/>
    <x v="1"/>
    <x v="5"/>
    <x v="0"/>
    <s v="ASIA_NO_REGION_NO_REGION_NO_REGION"/>
    <x v="1"/>
    <x v="0"/>
    <x v="1"/>
    <x v="1"/>
    <x v="1"/>
    <x v="1"/>
    <x v="1"/>
    <x v="1"/>
    <x v="1"/>
  </r>
  <r>
    <s v="emu_Hitachi_Kawasaki_Shinkansen_Series_E1_Max"/>
    <x v="0"/>
    <x v="1"/>
    <x v="5"/>
    <x v="0"/>
    <s v="ASIA_NO_REGION_NO_REGION_NO_REGION"/>
    <x v="1"/>
    <x v="0"/>
    <x v="1"/>
    <x v="1"/>
    <x v="1"/>
    <x v="1"/>
    <x v="1"/>
    <x v="1"/>
    <x v="1"/>
  </r>
  <r>
    <s v="emu_Alstom_Coradia_Duplex"/>
    <x v="0"/>
    <x v="1"/>
    <x v="5"/>
    <x v="0"/>
    <s v="NORTH_WEST_EUROPE_NO_REGION_NO_REGION_NO_REGION"/>
    <x v="1"/>
    <x v="1"/>
    <x v="1"/>
    <x v="1"/>
    <x v="0"/>
    <x v="0"/>
    <x v="1"/>
    <x v="1"/>
    <x v="1"/>
  </r>
  <r>
    <s v="emu_RVR_ER31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mu_Carel_et_Fouche_Alsthom_Z_6100"/>
    <x v="0"/>
    <x v="1"/>
    <x v="6"/>
    <x v="0"/>
    <s v="EASTERN_EUROPE_WESTERN_EUROPE_NO_REGION_NO_REGION"/>
    <x v="1"/>
    <x v="1"/>
    <x v="1"/>
    <x v="0"/>
    <x v="0"/>
    <x v="1"/>
    <x v="1"/>
    <x v="1"/>
    <x v="1"/>
  </r>
  <r>
    <s v="emu_Bombardier_UCW_Electrostar_Gautrain"/>
    <x v="0"/>
    <x v="1"/>
    <x v="0"/>
    <x v="0"/>
    <s v="AFRICA_NO_REGION_NO_REGION_NO_REGION"/>
    <x v="0"/>
    <x v="1"/>
    <x v="1"/>
    <x v="1"/>
    <x v="1"/>
    <x v="1"/>
    <x v="1"/>
    <x v="1"/>
    <x v="1"/>
  </r>
  <r>
    <s v="emu_Alsthom_Jeumont_TCDD_E8000"/>
    <x v="0"/>
    <x v="1"/>
    <x v="4"/>
    <x v="0"/>
    <s v="COMECON_NO_REGION_NO_REGION_NO_REGION"/>
    <x v="1"/>
    <x v="0"/>
    <x v="1"/>
    <x v="0"/>
    <x v="1"/>
    <x v="1"/>
    <x v="1"/>
    <x v="1"/>
    <x v="1"/>
  </r>
  <r>
    <s v="emu_CSR_Qingdao_CHR380A"/>
    <x v="0"/>
    <x v="1"/>
    <x v="0"/>
    <x v="0"/>
    <s v="ASIA_NO_REGION_NO_REGION_NO_REGION"/>
    <x v="1"/>
    <x v="0"/>
    <x v="1"/>
    <x v="1"/>
    <x v="1"/>
    <x v="1"/>
    <x v="1"/>
    <x v="1"/>
    <x v="1"/>
  </r>
  <r>
    <s v="emu_PRR_MP54"/>
    <x v="1"/>
    <x v="1"/>
    <x v="1"/>
    <x v="0"/>
    <s v="NORTH_AMERICA_NO_REGION_NO_REGION_NO_REGION"/>
    <x v="1"/>
    <x v="1"/>
    <x v="1"/>
    <x v="1"/>
    <x v="1"/>
    <x v="1"/>
    <x v="0"/>
    <x v="1"/>
    <x v="1"/>
  </r>
  <r>
    <s v="emu_Alstom_AGV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emu_Alstom_Avelia_Horizon"/>
    <x v="0"/>
    <x v="1"/>
    <x v="0"/>
    <x v="0"/>
    <s v="SOUTHERN_EUROPE_AFRICA_NO_REGION_NO_REGION"/>
    <x v="0"/>
    <x v="1"/>
    <x v="0"/>
    <x v="1"/>
    <x v="1"/>
    <x v="1"/>
    <x v="1"/>
    <x v="1"/>
    <x v="1"/>
  </r>
  <r>
    <s v="emu_AnsaldoBreda_V250_Albatros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mu_NS_4800_HSA_Fyra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mu_SIG_Rae_TEE_II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Pullman_Erie_Lackawanna_2500_Series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mu_Alsthom_TGV_230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Alsthom_TGV_Duplex"/>
    <x v="0"/>
    <x v="1"/>
    <x v="5"/>
    <x v="0"/>
    <s v="WESTERN_EUROPE_AFRICA_NO_REGION_NO_REGION"/>
    <x v="0"/>
    <x v="1"/>
    <x v="1"/>
    <x v="1"/>
    <x v="0"/>
    <x v="1"/>
    <x v="1"/>
    <x v="1"/>
    <x v="1"/>
  </r>
  <r>
    <s v="emu_GEC_Alsthom_Thalys_PBKA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Alsthom_Pendolino_680"/>
    <x v="0"/>
    <x v="1"/>
    <x v="5"/>
    <x v="0"/>
    <s v="ALL_EUROPE_NO_REGION_NO_REGION_NO_REGION"/>
    <x v="1"/>
    <x v="1"/>
    <x v="0"/>
    <x v="0"/>
    <x v="0"/>
    <x v="0"/>
    <x v="1"/>
    <x v="1"/>
    <x v="1"/>
  </r>
  <r>
    <s v="emu_CAF_Alstom_Class_120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emu_Bombarier_Alstom_Acela_Express"/>
    <x v="0"/>
    <x v="1"/>
    <x v="5"/>
    <x v="0"/>
    <s v="NORTH_AMERICA_NO_REGION_NO_REGION_NO_REGION"/>
    <x v="1"/>
    <x v="1"/>
    <x v="1"/>
    <x v="1"/>
    <x v="1"/>
    <x v="1"/>
    <x v="0"/>
    <x v="1"/>
    <x v="1"/>
  </r>
  <r>
    <s v="singlemtro_Brooklyn_Union_Gate_1300"/>
    <x v="0"/>
    <x v="1"/>
    <x v="2"/>
    <x v="0"/>
    <s v="NORTH_AMERICA_NO_REGION_NO_REGION_NO_REGION"/>
    <x v="1"/>
    <x v="1"/>
    <x v="1"/>
    <x v="1"/>
    <x v="1"/>
    <x v="1"/>
    <x v="0"/>
    <x v="1"/>
    <x v="1"/>
  </r>
  <r>
    <s v="singlemtro_Siemens___Halske_Budapest_1894_Stock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inglemtro_Chicago_L_Northwest_Elevated_1907_Stock"/>
    <x v="0"/>
    <x v="1"/>
    <x v="1"/>
    <x v="0"/>
    <s v="NORTH_AMERICA_NO_REGION_NO_REGION_NO_REGION"/>
    <x v="1"/>
    <x v="1"/>
    <x v="1"/>
    <x v="1"/>
    <x v="1"/>
    <x v="1"/>
    <x v="0"/>
    <x v="1"/>
    <x v="1"/>
  </r>
  <r>
    <s v="singlemtro_Berlin_U_Bahn_C_II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m_ACME_Corp__Turbobus"/>
    <x v="0"/>
    <x v="1"/>
    <x v="11"/>
    <x v="0"/>
    <s v="ALL_REGION_NO_REGION_NO_REGION_NO_REGION"/>
    <x v="0"/>
    <x v="0"/>
    <x v="0"/>
    <x v="0"/>
    <x v="0"/>
    <x v="0"/>
    <x v="0"/>
    <x v="0"/>
    <x v="0"/>
  </r>
  <r>
    <s v="mglv_Siemens_Eurosprinter_ES64U4M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mmu_Siemens_Thyssenkrupp_Transrapid"/>
    <x v="0"/>
    <x v="1"/>
    <x v="0"/>
    <x v="0"/>
    <s v="ASIA_WESTERN_EUROPE_NO_REGION_NO_REGION"/>
    <x v="1"/>
    <x v="0"/>
    <x v="1"/>
    <x v="1"/>
    <x v="0"/>
    <x v="1"/>
    <x v="1"/>
    <x v="1"/>
    <x v="1"/>
  </r>
  <r>
    <s v="mmu_Mistubishi_Nippon_Sharyo_MLX01_901"/>
    <x v="0"/>
    <x v="1"/>
    <x v="10"/>
    <x v="0"/>
    <s v="ASIA_NO_REGION_NO_REGION_NO_REGION"/>
    <x v="1"/>
    <x v="0"/>
    <x v="1"/>
    <x v="1"/>
    <x v="1"/>
    <x v="1"/>
    <x v="1"/>
    <x v="1"/>
    <x v="1"/>
  </r>
  <r>
    <s v="mglv_Wagon_Gen7M_Boxcar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Boxcar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Car_Transporter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Centerbeam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Container_Carrier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Container_Doublestack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Gondola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Heavy_Flatcar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Hopper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Hopper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Silo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Silo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Superheavy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Tanker"/>
    <x v="0"/>
    <x v="0"/>
    <x v="10"/>
    <x v="0"/>
    <s v="ALL_REGION_NO_REGION_NO_REGION_NO_REGION"/>
    <x v="0"/>
    <x v="0"/>
    <x v="0"/>
    <x v="0"/>
    <x v="0"/>
    <x v="0"/>
    <x v="0"/>
    <x v="0"/>
    <x v="0"/>
  </r>
  <r>
    <s v="rbd_Niigata_Transys_Shikoku_1000"/>
    <x v="0"/>
    <x v="1"/>
    <x v="5"/>
    <x v="0"/>
    <s v="ASIA_NO_REGION_NO_REGION_NO_REGION"/>
    <x v="1"/>
    <x v="0"/>
    <x v="1"/>
    <x v="1"/>
    <x v="1"/>
    <x v="1"/>
    <x v="1"/>
    <x v="1"/>
    <x v="1"/>
  </r>
  <r>
    <s v="rbd_Niigata_Transys_KiHa_E120"/>
    <x v="0"/>
    <x v="1"/>
    <x v="0"/>
    <x v="0"/>
    <s v="ASIA_NO_REGION_NO_REGION_NO_REGION"/>
    <x v="1"/>
    <x v="0"/>
    <x v="1"/>
    <x v="1"/>
    <x v="1"/>
    <x v="1"/>
    <x v="1"/>
    <x v="1"/>
    <x v="1"/>
  </r>
  <r>
    <s v="rbd_EFE_SB_56_Buscarril"/>
    <x v="0"/>
    <x v="1"/>
    <x v="6"/>
    <x v="0"/>
    <s v="SOUTH_AMERICA_NO_REGION_NO_REGION_NO_REGION"/>
    <x v="1"/>
    <x v="1"/>
    <x v="1"/>
    <x v="1"/>
    <x v="1"/>
    <x v="1"/>
    <x v="1"/>
    <x v="0"/>
    <x v="1"/>
  </r>
  <r>
    <s v="rbd_Sulzer_M_Railcar"/>
    <x v="0"/>
    <x v="1"/>
    <x v="3"/>
    <x v="0"/>
    <s v="SOUTH_AMERICA_NO_REGION_NO_REGION_NO_REGION"/>
    <x v="1"/>
    <x v="1"/>
    <x v="1"/>
    <x v="1"/>
    <x v="1"/>
    <x v="1"/>
    <x v="1"/>
    <x v="0"/>
    <x v="1"/>
  </r>
  <r>
    <s v="rbd_Eritrean_Railway_A_62_70_Littorina"/>
    <x v="0"/>
    <x v="1"/>
    <x v="3"/>
    <x v="0"/>
    <s v="AFRICA_NO_REGION_NO_REGION_NO_REGION"/>
    <x v="0"/>
    <x v="1"/>
    <x v="1"/>
    <x v="1"/>
    <x v="1"/>
    <x v="1"/>
    <x v="1"/>
    <x v="1"/>
    <x v="1"/>
  </r>
  <r>
    <s v="rbe_SLM_CFe_3_3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e_TPC_BVB_Be_2_2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e_MVR_Beh_2_4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e_Ferrocarril_de_Soller_1_3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rbe_Hitachi_Choshi_DeHa_1000"/>
    <x v="0"/>
    <x v="1"/>
    <x v="6"/>
    <x v="0"/>
    <s v="ASIA_NO_REGION_NO_REGION_NO_REGION"/>
    <x v="1"/>
    <x v="0"/>
    <x v="1"/>
    <x v="1"/>
    <x v="1"/>
    <x v="1"/>
    <x v="1"/>
    <x v="1"/>
    <x v="1"/>
  </r>
  <r>
    <s v="steam_SLM_G_3_4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Kisha_Seizo_2_10_4T_E10"/>
    <x v="0"/>
    <x v="1"/>
    <x v="4"/>
    <x v="0"/>
    <s v="ASIA_NO_REGION_NO_REGION_NO_REGION"/>
    <x v="1"/>
    <x v="0"/>
    <x v="1"/>
    <x v="1"/>
    <x v="1"/>
    <x v="1"/>
    <x v="1"/>
    <x v="1"/>
    <x v="1"/>
  </r>
  <r>
    <s v="steam_H__K__Porter__Inc_2_6_0_7100"/>
    <x v="0"/>
    <x v="1"/>
    <x v="2"/>
    <x v="0"/>
    <s v="ASIA_NO_REGION_NO_REGION_NO_REGION"/>
    <x v="1"/>
    <x v="0"/>
    <x v="1"/>
    <x v="1"/>
    <x v="1"/>
    <x v="1"/>
    <x v="1"/>
    <x v="1"/>
    <x v="1"/>
  </r>
  <r>
    <s v="steam_Richard_Francis_Trevithick_2_4_2T_860"/>
    <x v="0"/>
    <x v="1"/>
    <x v="2"/>
    <x v="0"/>
    <s v="ASIA_NO_REGION_NO_REGION_NO_REGION"/>
    <x v="1"/>
    <x v="0"/>
    <x v="1"/>
    <x v="1"/>
    <x v="1"/>
    <x v="1"/>
    <x v="1"/>
    <x v="1"/>
    <x v="1"/>
  </r>
  <r>
    <s v="steam_Kawasaki_2_8_0_9600"/>
    <x v="0"/>
    <x v="1"/>
    <x v="1"/>
    <x v="0"/>
    <s v="ASIA_NO_REGION_NO_REGION_NO_REGION"/>
    <x v="1"/>
    <x v="0"/>
    <x v="1"/>
    <x v="1"/>
    <x v="1"/>
    <x v="1"/>
    <x v="1"/>
    <x v="1"/>
    <x v="1"/>
  </r>
  <r>
    <s v="steam_Kawasaki_2_8_2_D50"/>
    <x v="0"/>
    <x v="1"/>
    <x v="3"/>
    <x v="0"/>
    <s v="ASIA_NO_REGION_NO_REGION_NO_REGION"/>
    <x v="1"/>
    <x v="0"/>
    <x v="1"/>
    <x v="1"/>
    <x v="1"/>
    <x v="1"/>
    <x v="1"/>
    <x v="1"/>
    <x v="1"/>
  </r>
  <r>
    <s v="diesel_Kisha_Mitsubishi_NS_DF50"/>
    <x v="0"/>
    <x v="1"/>
    <x v="4"/>
    <x v="0"/>
    <s v="ASIA_NO_REGION_NO_REGION_NO_REGION"/>
    <x v="1"/>
    <x v="0"/>
    <x v="1"/>
    <x v="1"/>
    <x v="1"/>
    <x v="1"/>
    <x v="1"/>
    <x v="1"/>
    <x v="1"/>
  </r>
  <r>
    <s v="electric_SIG_Alioth_De_2_2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electric_Toshiba_EH10"/>
    <x v="0"/>
    <x v="1"/>
    <x v="4"/>
    <x v="0"/>
    <s v="ASIA_NO_REGION_NO_REGION_NO_REGION"/>
    <x v="1"/>
    <x v="0"/>
    <x v="1"/>
    <x v="1"/>
    <x v="1"/>
    <x v="1"/>
    <x v="1"/>
    <x v="1"/>
    <x v="1"/>
  </r>
  <r>
    <s v="electric_Kawasaki_Toshiba_EF64"/>
    <x v="0"/>
    <x v="1"/>
    <x v="6"/>
    <x v="0"/>
    <s v="ASIA_NO_REGION_NO_REGION_NO_REGION"/>
    <x v="1"/>
    <x v="0"/>
    <x v="1"/>
    <x v="1"/>
    <x v="1"/>
    <x v="1"/>
    <x v="1"/>
    <x v="1"/>
    <x v="1"/>
  </r>
  <r>
    <s v="electric_EEC_EO_Class"/>
    <x v="0"/>
    <x v="1"/>
    <x v="3"/>
    <x v="0"/>
    <s v="OCEANIA_NO_REGION_NO_REGION_NO_REGION"/>
    <x v="1"/>
    <x v="1"/>
    <x v="1"/>
    <x v="1"/>
    <x v="1"/>
    <x v="1"/>
    <x v="1"/>
    <x v="1"/>
    <x v="0"/>
  </r>
  <r>
    <s v="electric_Tulloch_0_6_0DM_W_Class"/>
    <x v="1"/>
    <x v="1"/>
    <x v="4"/>
    <x v="0"/>
    <s v="OCEANIA_NO_REGION_NO_REGION_NO_REGION"/>
    <x v="1"/>
    <x v="1"/>
    <x v="1"/>
    <x v="1"/>
    <x v="1"/>
    <x v="1"/>
    <x v="1"/>
    <x v="1"/>
    <x v="0"/>
  </r>
  <r>
    <s v="electric_GEC_NBLC_SAR_4E_"/>
    <x v="0"/>
    <x v="1"/>
    <x v="4"/>
    <x v="0"/>
    <s v="AFRICA_NO_REGION_NO_REGION_NO_REGION"/>
    <x v="0"/>
    <x v="1"/>
    <x v="1"/>
    <x v="1"/>
    <x v="1"/>
    <x v="1"/>
    <x v="1"/>
    <x v="1"/>
    <x v="1"/>
  </r>
  <r>
    <s v="electric_Metrowick_MV_5E1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UCW_6E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SLM_BBC_MFO_Ge_4_4_I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SLM_BBC_MFO_Ge_6_6_Krokodil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Stadler_He_4_4"/>
    <x v="0"/>
    <x v="1"/>
    <x v="0"/>
    <x v="0"/>
    <s v="SOUTH_AMERICA_NO_REGION_NO_REGION_NO_REGION"/>
    <x v="1"/>
    <x v="1"/>
    <x v="1"/>
    <x v="1"/>
    <x v="1"/>
    <x v="1"/>
    <x v="1"/>
    <x v="0"/>
    <x v="1"/>
  </r>
  <r>
    <s v="electric_UCW_50_c_s_Group_7E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General_Motors_GM5FC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Brush_EF_Class"/>
    <x v="0"/>
    <x v="1"/>
    <x v="5"/>
    <x v="0"/>
    <s v="OCEANIA_NO_REGION_NO_REGION_NO_REGION"/>
    <x v="1"/>
    <x v="1"/>
    <x v="1"/>
    <x v="1"/>
    <x v="1"/>
    <x v="1"/>
    <x v="1"/>
    <x v="1"/>
    <x v="0"/>
  </r>
  <r>
    <s v="emu_Nippon_Sharyo_Odakyu_3100_series_NSE"/>
    <x v="0"/>
    <x v="1"/>
    <x v="6"/>
    <x v="0"/>
    <s v="ASIA_NO_REGION_NO_REGION_NO_REGION"/>
    <x v="1"/>
    <x v="0"/>
    <x v="1"/>
    <x v="1"/>
    <x v="1"/>
    <x v="1"/>
    <x v="1"/>
    <x v="1"/>
    <x v="1"/>
  </r>
  <r>
    <s v="emu_Nippon_Sharyo_Odakyu_10000_series_HiSE"/>
    <x v="0"/>
    <x v="1"/>
    <x v="5"/>
    <x v="0"/>
    <s v="ASIA_NO_REGION_NO_REGION_NO_REGION"/>
    <x v="1"/>
    <x v="0"/>
    <x v="1"/>
    <x v="1"/>
    <x v="1"/>
    <x v="1"/>
    <x v="1"/>
    <x v="1"/>
    <x v="1"/>
  </r>
  <r>
    <s v="emu_Comeng_Goninan_S_set"/>
    <x v="0"/>
    <x v="1"/>
    <x v="6"/>
    <x v="0"/>
    <s v="OCEANIA_NO_REGION_NO_REGION_NO_REGION"/>
    <x v="1"/>
    <x v="1"/>
    <x v="1"/>
    <x v="1"/>
    <x v="1"/>
    <x v="1"/>
    <x v="1"/>
    <x v="1"/>
    <x v="0"/>
  </r>
  <r>
    <s v="emu_UGL_Rail_H_set_OSCAR"/>
    <x v="0"/>
    <x v="1"/>
    <x v="0"/>
    <x v="0"/>
    <s v="OCEANIA_NO_REGION_NO_REGION_NO_REGION"/>
    <x v="1"/>
    <x v="1"/>
    <x v="1"/>
    <x v="1"/>
    <x v="1"/>
    <x v="1"/>
    <x v="1"/>
    <x v="1"/>
    <x v="0"/>
  </r>
  <r>
    <s v="emu_Victorian_Railways_Swing_Door"/>
    <x v="0"/>
    <x v="1"/>
    <x v="1"/>
    <x v="0"/>
    <s v="OCEANIA_NO_REGION_NO_REGION_NO_REGION"/>
    <x v="1"/>
    <x v="1"/>
    <x v="1"/>
    <x v="1"/>
    <x v="1"/>
    <x v="1"/>
    <x v="1"/>
    <x v="1"/>
    <x v="0"/>
  </r>
  <r>
    <s v="emu_Ganz_MAVAG_EM_ET_DNU"/>
    <x v="1"/>
    <x v="1"/>
    <x v="6"/>
    <x v="0"/>
    <s v="OCEANIA_NO_REGION_NO_REGION_NO_REGION"/>
    <x v="1"/>
    <x v="1"/>
    <x v="1"/>
    <x v="1"/>
    <x v="1"/>
    <x v="1"/>
    <x v="1"/>
    <x v="1"/>
    <x v="0"/>
  </r>
  <r>
    <s v="emu_Metro_Cammell_5M2"/>
    <x v="0"/>
    <x v="1"/>
    <x v="4"/>
    <x v="0"/>
    <s v="AFRICA_NO_REGION_NO_REGION_NO_REGION"/>
    <x v="0"/>
    <x v="1"/>
    <x v="1"/>
    <x v="1"/>
    <x v="1"/>
    <x v="1"/>
    <x v="1"/>
    <x v="1"/>
    <x v="1"/>
  </r>
  <r>
    <s v="emu_Alstom_XTrapolis_100"/>
    <x v="0"/>
    <x v="1"/>
    <x v="0"/>
    <x v="0"/>
    <s v="SOUTH_AMERICA_OCEANIA_NO_REGION_NO_REGION"/>
    <x v="1"/>
    <x v="1"/>
    <x v="1"/>
    <x v="1"/>
    <x v="1"/>
    <x v="1"/>
    <x v="1"/>
    <x v="0"/>
    <x v="0"/>
  </r>
  <r>
    <s v="emu_GEC_Fiat_AES_Railcar"/>
    <x v="1"/>
    <x v="1"/>
    <x v="6"/>
    <x v="0"/>
    <s v="SOUTH_AMERICA_NO_REGION_NO_REGION_NO_REGION"/>
    <x v="1"/>
    <x v="1"/>
    <x v="1"/>
    <x v="1"/>
    <x v="1"/>
    <x v="1"/>
    <x v="1"/>
    <x v="0"/>
    <x v="1"/>
  </r>
  <r>
    <s v="emu_Ganz_MAVAG_YZ_E"/>
    <x v="0"/>
    <x v="1"/>
    <x v="5"/>
    <x v="0"/>
    <s v="AFRICA_NO_REGION_NO_REGION_NO_REGION"/>
    <x v="0"/>
    <x v="1"/>
    <x v="1"/>
    <x v="1"/>
    <x v="1"/>
    <x v="1"/>
    <x v="1"/>
    <x v="1"/>
    <x v="1"/>
  </r>
  <r>
    <s v="emu_Walkers_Tilt_Train_ETT"/>
    <x v="0"/>
    <x v="1"/>
    <x v="5"/>
    <x v="0"/>
    <s v="OCEANIA_NO_REGION_NO_REGION_NO_REGION"/>
    <x v="1"/>
    <x v="1"/>
    <x v="1"/>
    <x v="1"/>
    <x v="1"/>
    <x v="1"/>
    <x v="1"/>
    <x v="1"/>
    <x v="0"/>
  </r>
  <r>
    <s v="electric_NEVZ_TEVZ_VL15"/>
    <x v="0"/>
    <x v="1"/>
    <x v="5"/>
    <x v="0"/>
    <s v="COMECON_NO_REGION_NO_REGION_NO_REGION"/>
    <x v="1"/>
    <x v="0"/>
    <x v="1"/>
    <x v="0"/>
    <x v="1"/>
    <x v="1"/>
    <x v="1"/>
    <x v="1"/>
    <x v="1"/>
  </r>
  <r>
    <s v="electric_TEVZ_VL11"/>
    <x v="0"/>
    <x v="1"/>
    <x v="6"/>
    <x v="0"/>
    <s v="COMECON_NO_REGION_NO_REGION_NO_REGION"/>
    <x v="1"/>
    <x v="0"/>
    <x v="1"/>
    <x v="0"/>
    <x v="1"/>
    <x v="1"/>
    <x v="1"/>
    <x v="1"/>
    <x v="1"/>
  </r>
  <r>
    <s v="electric_NEVZ_VL22M"/>
    <x v="0"/>
    <x v="1"/>
    <x v="4"/>
    <x v="0"/>
    <s v="COMECON_NO_REGION_NO_REGION_NO_REGION"/>
    <x v="1"/>
    <x v="0"/>
    <x v="1"/>
    <x v="0"/>
    <x v="1"/>
    <x v="1"/>
    <x v="1"/>
    <x v="1"/>
    <x v="1"/>
  </r>
  <r>
    <s v="electric_DEVZ_DE1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Skoda_29E"/>
    <x v="0"/>
    <x v="1"/>
    <x v="4"/>
    <x v="0"/>
    <s v="COMECON_NO_REGION_NO_REGION_NO_REGION"/>
    <x v="1"/>
    <x v="0"/>
    <x v="1"/>
    <x v="0"/>
    <x v="1"/>
    <x v="1"/>
    <x v="1"/>
    <x v="1"/>
    <x v="1"/>
  </r>
  <r>
    <s v="electric_Skoda_82E"/>
    <x v="0"/>
    <x v="1"/>
    <x v="5"/>
    <x v="0"/>
    <s v="COMECON_NO_REGION_NO_REGION_NO_REGION"/>
    <x v="1"/>
    <x v="0"/>
    <x v="1"/>
    <x v="0"/>
    <x v="1"/>
    <x v="1"/>
    <x v="1"/>
    <x v="1"/>
    <x v="1"/>
  </r>
  <r>
    <s v="electric_GE_C_C_4400_RFFSA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lectric_NEVZ_VL85"/>
    <x v="0"/>
    <x v="1"/>
    <x v="5"/>
    <x v="0"/>
    <s v="COMECON_NO_REGION_NO_REGION_NO_REGION"/>
    <x v="1"/>
    <x v="0"/>
    <x v="1"/>
    <x v="0"/>
    <x v="1"/>
    <x v="1"/>
    <x v="1"/>
    <x v="1"/>
    <x v="1"/>
  </r>
  <r>
    <s v="electric_DEVZ_VL41"/>
    <x v="0"/>
    <x v="1"/>
    <x v="6"/>
    <x v="0"/>
    <s v="COMECON_NO_REGION_NO_REGION_NO_REGION"/>
    <x v="1"/>
    <x v="0"/>
    <x v="1"/>
    <x v="0"/>
    <x v="1"/>
    <x v="1"/>
    <x v="1"/>
    <x v="1"/>
    <x v="1"/>
  </r>
  <r>
    <s v="electric_CLW_WAP_4"/>
    <x v="0"/>
    <x v="1"/>
    <x v="5"/>
    <x v="0"/>
    <s v="ASIA_NO_REGION_NO_REGION_NO_REGION"/>
    <x v="1"/>
    <x v="0"/>
    <x v="1"/>
    <x v="1"/>
    <x v="1"/>
    <x v="1"/>
    <x v="1"/>
    <x v="1"/>
    <x v="1"/>
  </r>
  <r>
    <s v="electric_NEVZ_ES4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lectric_Zuzhou_KZ4A"/>
    <x v="0"/>
    <x v="1"/>
    <x v="0"/>
    <x v="0"/>
    <s v="ASIA_NO_REGION_NO_REGION_NO_REGION"/>
    <x v="1"/>
    <x v="0"/>
    <x v="1"/>
    <x v="1"/>
    <x v="1"/>
    <x v="1"/>
    <x v="1"/>
    <x v="1"/>
    <x v="1"/>
  </r>
  <r>
    <s v="electric_Alstom_KZ8A"/>
    <x v="0"/>
    <x v="1"/>
    <x v="0"/>
    <x v="0"/>
    <s v="ASIA_NO_REGION_NO_REGION_NO_REGION"/>
    <x v="1"/>
    <x v="0"/>
    <x v="1"/>
    <x v="1"/>
    <x v="1"/>
    <x v="1"/>
    <x v="1"/>
    <x v="1"/>
    <x v="1"/>
  </r>
  <r>
    <s v="electric_TRTrans_NEVZ_EP20"/>
    <x v="0"/>
    <x v="1"/>
    <x v="0"/>
    <x v="0"/>
    <s v="COMECON_NO_REGION_NO_REGION_NO_REGION"/>
    <x v="1"/>
    <x v="0"/>
    <x v="1"/>
    <x v="0"/>
    <x v="1"/>
    <x v="1"/>
    <x v="1"/>
    <x v="1"/>
    <x v="1"/>
  </r>
  <r>
    <s v="rbd_Valmet_Dm7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rbd_Vagonka_Studenka_91M0_"/>
    <x v="0"/>
    <x v="1"/>
    <x v="5"/>
    <x v="0"/>
    <s v="COMECON_NO_REGION_NO_REGION_NO_REGION"/>
    <x v="1"/>
    <x v="0"/>
    <x v="1"/>
    <x v="0"/>
    <x v="1"/>
    <x v="1"/>
    <x v="1"/>
    <x v="1"/>
    <x v="1"/>
  </r>
  <r>
    <s v="emu_RVR_ER200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mu_MMZ_S"/>
    <x v="0"/>
    <x v="1"/>
    <x v="3"/>
    <x v="0"/>
    <s v="POST_SOVIET_BALTIC_NO_REGION_NO_REGION_NO_REGION"/>
    <x v="1"/>
    <x v="0"/>
    <x v="1"/>
    <x v="0"/>
    <x v="1"/>
    <x v="0"/>
    <x v="1"/>
    <x v="1"/>
    <x v="1"/>
  </r>
  <r>
    <s v="emu_Koncar_6112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mu_Siemens_Desiro_ES1_Lastochka"/>
    <x v="0"/>
    <x v="1"/>
    <x v="0"/>
    <x v="0"/>
    <s v="ASIA_NO_REGION_NO_REGION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_NO_REGION_NO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_NO_REGION_NO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1_Flat_Wagon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1_Boxcar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1_Tanker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1_Open_Wagon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2_Flat_Wagon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2_Boxcar_Type1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2_Boxcar_Type2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2_Tanker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2_Open_Wagon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2_Silo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2_Hopper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3_Flat_Wagon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Boxcar_Type1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Boxcar_Type2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Tanker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Open_Wagon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Silo_Type1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Silo_Type2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Hopper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4_Flatca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Heavy_Flatca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Boxcar_Type1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Boxcar_Type2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Tanker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Gondola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Silo_Type1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Silo_Type2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Hopper_Type1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Hopper_Type2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Car_Transporte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Container_Carrie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Centerbeam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5_Flatca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Heavy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Boxcar_Type1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Boxcar_Type2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Tanke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Gondola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Silo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Silo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Hopper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Hopper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Car_Transporte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Container_Carrie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Centerbeam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Container_Doublestack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Superheavy_Flatca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6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Heavy_Flatcar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Boxcar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Boxcar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Tanker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Gondola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Silo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Silo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Hopper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Hopper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Car_Transporter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Container_Carrie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Centerbeam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Container_Doublestack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Superheavy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Service_Car_Type1"/>
    <x v="0"/>
    <x v="0"/>
    <x v="12"/>
    <x v="0"/>
    <s v="ALL_REGION_NO_REGION_NO_REGION_NO_REGION"/>
    <x v="0"/>
    <x v="0"/>
    <x v="0"/>
    <x v="0"/>
    <x v="0"/>
    <x v="0"/>
    <x v="0"/>
    <x v="0"/>
    <x v="0"/>
  </r>
  <r>
    <s v="mu_Wagon_Service_Car_Type2"/>
    <x v="0"/>
    <x v="0"/>
    <x v="12"/>
    <x v="0"/>
    <s v="ALL_REGION_NO_REGION_NO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0"/>
    <s v="OLD_WORLD_OCEANIA_NO_REGION_NO_REGION"/>
    <x v="0"/>
    <x v="0"/>
    <x v="0"/>
    <x v="0"/>
    <x v="0"/>
    <x v="0"/>
    <x v="1"/>
    <x v="1"/>
    <x v="0"/>
  </r>
  <r>
    <s v="mu_Coach_Gen1_Wooden_2_axle_Regional_Coach"/>
    <x v="0"/>
    <x v="0"/>
    <x v="7"/>
    <x v="0"/>
    <s v="ALL_REGION_NO_REGION_NO_REGION_NO_REGION"/>
    <x v="0"/>
    <x v="0"/>
    <x v="0"/>
    <x v="0"/>
    <x v="0"/>
    <x v="0"/>
    <x v="0"/>
    <x v="0"/>
    <x v="0"/>
  </r>
  <r>
    <s v="mu_Coach_Gen1_Wooden_2_axle_Mail_Coach"/>
    <x v="0"/>
    <x v="0"/>
    <x v="7"/>
    <x v="0"/>
    <s v="ALL_REGION_NO_REGION_NO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1_Clerestory_Regional_Coach"/>
    <x v="0"/>
    <x v="0"/>
    <x v="8"/>
    <x v="0"/>
    <s v="ALL_REGION_NO_REGION_NO_REGION_NO_REGION"/>
    <x v="0"/>
    <x v="0"/>
    <x v="0"/>
    <x v="0"/>
    <x v="0"/>
    <x v="0"/>
    <x v="0"/>
    <x v="0"/>
    <x v="0"/>
  </r>
  <r>
    <s v="mu_Coach_Gen1_Clerestory_Mail_Coach"/>
    <x v="0"/>
    <x v="0"/>
    <x v="8"/>
    <x v="0"/>
    <s v="ALL_REGION_NO_REGION_NO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1_Wooden_3_axle_Regional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1_Wooden_3_axle_Mail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2_Heavyweight_Intercity_Coach"/>
    <x v="0"/>
    <x v="0"/>
    <x v="1"/>
    <x v="0"/>
    <s v="ALL_AMERICA_OCEANIA_NO_REGION_NO_REGION"/>
    <x v="1"/>
    <x v="1"/>
    <x v="1"/>
    <x v="1"/>
    <x v="1"/>
    <x v="1"/>
    <x v="0"/>
    <x v="0"/>
    <x v="0"/>
  </r>
  <r>
    <s v="mu_Coach_Gen2_Heavyweight_Mail_Coach"/>
    <x v="0"/>
    <x v="0"/>
    <x v="1"/>
    <x v="0"/>
    <s v="ALL_AMERICA_OCEANIA_NO_REGION_NO_REGION"/>
    <x v="1"/>
    <x v="1"/>
    <x v="1"/>
    <x v="1"/>
    <x v="1"/>
    <x v="1"/>
    <x v="0"/>
    <x v="0"/>
    <x v="0"/>
  </r>
  <r>
    <s v="mu_Coach_Gen2_Steel_Intercity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Compartment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Regional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Mail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2_axle_Compartment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2_Steel_2_axle_Regional_Coach"/>
    <x v="0"/>
    <x v="0"/>
    <x v="3"/>
    <x v="0"/>
    <s v="ALL_REGION_NO_REGION_NO_REGION_NO_REGION"/>
    <x v="0"/>
    <x v="0"/>
    <x v="0"/>
    <x v="0"/>
    <x v="0"/>
    <x v="0"/>
    <x v="0"/>
    <x v="0"/>
    <x v="0"/>
  </r>
  <r>
    <s v="mu_Coach_Gen2_Steel_2_axle_Mail_Coach"/>
    <x v="0"/>
    <x v="0"/>
    <x v="3"/>
    <x v="0"/>
    <s v="ALL_REGION_NO_REGION_NO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2_Steel_3_axle_Regional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2_Steel_3_axle_Mail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3_Steel_Lightweight_Intercity_Coach"/>
    <x v="0"/>
    <x v="0"/>
    <x v="3"/>
    <x v="0"/>
    <s v="APAC_ALL_AMERICA_NO_REGION_NO_REGION"/>
    <x v="1"/>
    <x v="0"/>
    <x v="1"/>
    <x v="1"/>
    <x v="1"/>
    <x v="1"/>
    <x v="0"/>
    <x v="0"/>
    <x v="0"/>
  </r>
  <r>
    <s v="mu_Coach_Gen3_Steel_Lightweight_Regional_Coach"/>
    <x v="0"/>
    <x v="0"/>
    <x v="3"/>
    <x v="0"/>
    <s v="APAC_ALL_AMERICA_NO_REGION_NO_REGION"/>
    <x v="1"/>
    <x v="0"/>
    <x v="1"/>
    <x v="1"/>
    <x v="1"/>
    <x v="1"/>
    <x v="0"/>
    <x v="0"/>
    <x v="0"/>
  </r>
  <r>
    <s v="mu_Coach_Gen3_Steel_Lightweight_Mail_Coach"/>
    <x v="0"/>
    <x v="0"/>
    <x v="3"/>
    <x v="0"/>
    <s v="APAC_ALL_AMERICA_NO_REGION_NO_REGION"/>
    <x v="1"/>
    <x v="0"/>
    <x v="1"/>
    <x v="1"/>
    <x v="1"/>
    <x v="1"/>
    <x v="0"/>
    <x v="0"/>
    <x v="0"/>
  </r>
  <r>
    <s v="mu_Coach_Gen3_Aluminium_Lightweight_Intercity_Coach"/>
    <x v="0"/>
    <x v="0"/>
    <x v="4"/>
    <x v="0"/>
    <s v="OLD_WORLD_OCEANIA_NO_REGION_NO_REGION"/>
    <x v="0"/>
    <x v="0"/>
    <x v="0"/>
    <x v="0"/>
    <x v="0"/>
    <x v="0"/>
    <x v="1"/>
    <x v="1"/>
    <x v="0"/>
  </r>
  <r>
    <s v="mu_Coach_Gen3_Aluminium_Lightweight_Regional_Coach"/>
    <x v="0"/>
    <x v="0"/>
    <x v="4"/>
    <x v="0"/>
    <s v="ALL_AMERICA_OCEANIA_NO_REGION_NO_REGION"/>
    <x v="1"/>
    <x v="1"/>
    <x v="1"/>
    <x v="1"/>
    <x v="1"/>
    <x v="1"/>
    <x v="0"/>
    <x v="0"/>
    <x v="0"/>
  </r>
  <r>
    <s v="mu_Coach_Gen3_Aluminium_Lightweight_Mail_Coach"/>
    <x v="0"/>
    <x v="0"/>
    <x v="4"/>
    <x v="0"/>
    <s v="ALL_AMERICA_OCEANIA_NO_REGION_NO_REGION"/>
    <x v="1"/>
    <x v="1"/>
    <x v="1"/>
    <x v="1"/>
    <x v="1"/>
    <x v="1"/>
    <x v="0"/>
    <x v="0"/>
    <x v="0"/>
  </r>
  <r>
    <s v="mu_Coach_Gen3_Gallery_Car"/>
    <x v="0"/>
    <x v="0"/>
    <x v="4"/>
    <x v="0"/>
    <s v="ALL_AMERICA_OCEANIA_NO_REGION_NO_REGION"/>
    <x v="1"/>
    <x v="1"/>
    <x v="1"/>
    <x v="1"/>
    <x v="1"/>
    <x v="1"/>
    <x v="0"/>
    <x v="0"/>
    <x v="0"/>
  </r>
  <r>
    <s v="mu_Coach_Gen3_Mk1_Intercity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Mk1_Regiona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Mk1_Mai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UIC_X_Intercity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TEE_Intercity_Coach"/>
    <x v="0"/>
    <x v="0"/>
    <x v="4"/>
    <x v="0"/>
    <s v="ALL_EUROPE_NO_REGION_NO_REGION_NO_REGION"/>
    <x v="1"/>
    <x v="1"/>
    <x v="0"/>
    <x v="0"/>
    <x v="0"/>
    <x v="0"/>
    <x v="1"/>
    <x v="1"/>
    <x v="1"/>
  </r>
  <r>
    <s v="mu_Coach_Gen3_UIC_X_Regiona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Umbauwagen_Loca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4_Doppelstockwagen_Local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3_UIC_X_Mai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Indian_Intercity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3_Indian_Local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3_Indian_Regional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3_Indian_Mail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4_Eurofima_Intercity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InterRegio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Silberling_Commuter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Eurofima_Mail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Double_Decker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Russian_Intercity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Russian_Regional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Russian_Mail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Superliner_Coach"/>
    <x v="0"/>
    <x v="0"/>
    <x v="5"/>
    <x v="0"/>
    <s v="ALL_AMERICA_OCEANIA_NO_REGION_NO_REGION"/>
    <x v="1"/>
    <x v="1"/>
    <x v="1"/>
    <x v="1"/>
    <x v="1"/>
    <x v="1"/>
    <x v="0"/>
    <x v="0"/>
    <x v="0"/>
  </r>
  <r>
    <s v="mu_Coach_Gen4_Superliner_California"/>
    <x v="0"/>
    <x v="0"/>
    <x v="5"/>
    <x v="0"/>
    <s v="ALL_AMERICA_OCEANIA_NO_REGION_NO_REGION"/>
    <x v="1"/>
    <x v="1"/>
    <x v="1"/>
    <x v="1"/>
    <x v="1"/>
    <x v="1"/>
    <x v="0"/>
    <x v="0"/>
    <x v="0"/>
  </r>
  <r>
    <s v="mu_Coach_Gen4_Amfleet_Regional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Amfleet_Intercity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Comet_Commuter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Horizon_Regional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Horizon_Baggage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Bombardier_Bi_level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5_High_Speed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Modern_Regional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Modern_Commuter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Modern_Double_Decker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High_Speed_Mail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Talgo_Pendula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Coach_Gen5_Talgo_Pendular_Mail"/>
    <x v="0"/>
    <x v="0"/>
    <x v="5"/>
    <x v="0"/>
    <s v="ALL_REGION_NO_REGION_NO_REGION_NO_REGION"/>
    <x v="0"/>
    <x v="0"/>
    <x v="0"/>
    <x v="0"/>
    <x v="0"/>
    <x v="0"/>
    <x v="0"/>
    <x v="0"/>
    <x v="0"/>
  </r>
  <r>
    <s v="mu_Coach_Gen6_Grand_Voyager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Grand_Regio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Metropolis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Speedmail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Super_Regio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Super_Voyager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diesel_Alsthom_AD30B"/>
    <x v="0"/>
    <x v="1"/>
    <x v="6"/>
    <x v="0"/>
    <s v="AFRICA_NO_REGION_NO_REGION_NO_REGION"/>
    <x v="0"/>
    <x v="1"/>
    <x v="1"/>
    <x v="1"/>
    <x v="1"/>
    <x v="1"/>
    <x v="1"/>
    <x v="1"/>
    <x v="1"/>
  </r>
  <r>
    <s v="steam_Porter_2_8_2_Class_200_Katanga_Mikado"/>
    <x v="0"/>
    <x v="1"/>
    <x v="1"/>
    <x v="0"/>
    <s v="AFRICA_NO_REGION_NO_REGION_NO_REGION"/>
    <x v="0"/>
    <x v="1"/>
    <x v="1"/>
    <x v="1"/>
    <x v="1"/>
    <x v="1"/>
    <x v="1"/>
    <x v="1"/>
    <x v="1"/>
  </r>
  <r>
    <s v="cargoemu_Kawasaki_Nippon_Sharyo_Toshiba_M250"/>
    <x v="0"/>
    <x v="1"/>
    <x v="0"/>
    <x v="0"/>
    <s v="ASIA_NO_REGION_NO_REGION_NO_REGION"/>
    <x v="1"/>
    <x v="0"/>
    <x v="1"/>
    <x v="1"/>
    <x v="1"/>
    <x v="1"/>
    <x v="1"/>
    <x v="1"/>
    <x v="1"/>
  </r>
  <r>
    <s v="rbs_Esslingen_MAN_Hohenzollern_Thomas"/>
    <x v="0"/>
    <x v="1"/>
    <x v="2"/>
    <x v="0"/>
    <s v="NORTH_WEST_EUROPE_NO_REGION_NO_REGION_NO_REGION"/>
    <x v="1"/>
    <x v="1"/>
    <x v="1"/>
    <x v="1"/>
    <x v="0"/>
    <x v="0"/>
    <x v="1"/>
    <x v="1"/>
    <x v="1"/>
  </r>
  <r>
    <s v="rbs_Komarek_NOLB_30_33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Henschel_4_4_2_19906"/>
    <x v="0"/>
    <x v="1"/>
    <x v="3"/>
    <x v="0"/>
    <s v="AFRICA_NO_REGION_NO_REGION_NO_REGION"/>
    <x v="0"/>
    <x v="1"/>
    <x v="1"/>
    <x v="1"/>
    <x v="1"/>
    <x v="1"/>
    <x v="1"/>
    <x v="1"/>
    <x v="1"/>
  </r>
  <r>
    <s v="steam_Haine_Saint_Pierre_2_6_0_0_6_2T_Golwe"/>
    <x v="0"/>
    <x v="1"/>
    <x v="3"/>
    <x v="0"/>
    <s v="AFRICA_NO_REGION_NO_REGION_NO_REGION"/>
    <x v="0"/>
    <x v="1"/>
    <x v="1"/>
    <x v="1"/>
    <x v="1"/>
    <x v="1"/>
    <x v="1"/>
    <x v="1"/>
    <x v="1"/>
  </r>
  <r>
    <s v="diesel_Henschel_EMD_TT12"/>
    <x v="0"/>
    <x v="1"/>
    <x v="4"/>
    <x v="0"/>
    <s v="AFRICA_NO_REGION_NO_REGION_NO_REGION"/>
    <x v="0"/>
    <x v="1"/>
    <x v="1"/>
    <x v="1"/>
    <x v="1"/>
    <x v="1"/>
    <x v="1"/>
    <x v="1"/>
    <x v="1"/>
  </r>
  <r>
    <s v="diesel_Henschel_GE_G16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ACEC_BN_Type_2450"/>
    <x v="0"/>
    <x v="1"/>
    <x v="6"/>
    <x v="0"/>
    <s v="AFRICA_NO_REGION_NO_REGION_NO_REGION"/>
    <x v="0"/>
    <x v="1"/>
    <x v="1"/>
    <x v="1"/>
    <x v="1"/>
    <x v="1"/>
    <x v="1"/>
    <x v="1"/>
    <x v="1"/>
  </r>
  <r>
    <s v="diesel_Alsthom_BB_BB_300"/>
    <x v="0"/>
    <x v="1"/>
    <x v="6"/>
    <x v="0"/>
    <s v="AFRICA_NO_REGION_NO_REGION_NO_REGION"/>
    <x v="0"/>
    <x v="1"/>
    <x v="1"/>
    <x v="1"/>
    <x v="1"/>
    <x v="1"/>
    <x v="1"/>
    <x v="1"/>
    <x v="1"/>
  </r>
  <r>
    <s v="diesel_Sorefame_DE8"/>
    <x v="0"/>
    <x v="1"/>
    <x v="6"/>
    <x v="0"/>
    <s v="AFRICA_NO_REGION_NO_REGION_NO_REGION"/>
    <x v="0"/>
    <x v="1"/>
    <x v="1"/>
    <x v="1"/>
    <x v="1"/>
    <x v="1"/>
    <x v="1"/>
    <x v="1"/>
    <x v="1"/>
  </r>
  <r>
    <s v="diesel_GMD_GT22LC_2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TRC_E6800"/>
    <x v="0"/>
    <x v="1"/>
    <x v="10"/>
    <x v="0"/>
    <s v="AFRICA_NO_REGION_NO_REGION_NO_REGION"/>
    <x v="0"/>
    <x v="1"/>
    <x v="1"/>
    <x v="1"/>
    <x v="1"/>
    <x v="1"/>
    <x v="1"/>
    <x v="1"/>
    <x v="1"/>
  </r>
  <r>
    <s v="mtro_Brooklyn_Union_Gate_Elevated"/>
    <x v="0"/>
    <x v="1"/>
    <x v="2"/>
    <x v="0"/>
    <s v="NORTH_AMERICA_NO_REGION_NO_REGION_NO_REGION"/>
    <x v="1"/>
    <x v="1"/>
    <x v="1"/>
    <x v="1"/>
    <x v="1"/>
    <x v="1"/>
    <x v="0"/>
    <x v="1"/>
    <x v="1"/>
  </r>
  <r>
    <s v="mu_Coach_Gen5_CityNightLine_Sleepe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Coach_Gen4_Trans_Euro_Night_Sleepe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1_Livestock_Van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2_Livestock_Van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3_Livestock_Van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4_Livestock_Van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5_Livestock_Van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6_Livestock_Van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Livestock_Van"/>
    <x v="0"/>
    <x v="0"/>
    <x v="0"/>
    <x v="0"/>
    <s v="ALL_REGION_NO_REGION_NO_REGION_NO_REGION"/>
    <x v="0"/>
    <x v="0"/>
    <x v="0"/>
    <x v="0"/>
    <x v="0"/>
    <x v="0"/>
    <x v="0"/>
    <x v="0"/>
    <x v="0"/>
  </r>
  <r>
    <s v="electric_Ganz_MAVAG_VM15_V63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mtro_BREL_ABB_London_1992_Stock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mtro_Bombardier_Movia_London_S_Stock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mtro_Metro_Cammell_London_1972_Stock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Metro_Cammell_London_1959_Stock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mtro_Kawasaki_HI_C151"/>
    <x v="0"/>
    <x v="1"/>
    <x v="5"/>
    <x v="0"/>
    <s v="ASIA_NO_REGION_NO_REGION_NO_REGION"/>
    <x v="1"/>
    <x v="0"/>
    <x v="1"/>
    <x v="1"/>
    <x v="1"/>
    <x v="1"/>
    <x v="1"/>
    <x v="1"/>
    <x v="1"/>
  </r>
  <r>
    <s v="mtro_Kawasaki_HI___Nippon_Sharyo_C751B"/>
    <x v="0"/>
    <x v="1"/>
    <x v="0"/>
    <x v="0"/>
    <s v="ASIA_NO_REGION_NO_REGION_NO_REGION"/>
    <x v="1"/>
    <x v="0"/>
    <x v="1"/>
    <x v="1"/>
    <x v="1"/>
    <x v="1"/>
    <x v="1"/>
    <x v="1"/>
    <x v="1"/>
  </r>
  <r>
    <s v="mtro_Comeng_Light_Metro_Prototype"/>
    <x v="0"/>
    <x v="1"/>
    <x v="6"/>
    <x v="0"/>
    <s v="OCEANIA_NO_REGION_NO_REGION_NO_REGION"/>
    <x v="1"/>
    <x v="1"/>
    <x v="1"/>
    <x v="1"/>
    <x v="1"/>
    <x v="1"/>
    <x v="1"/>
    <x v="1"/>
    <x v="0"/>
  </r>
  <r>
    <s v="emu_Comeng_EMU"/>
    <x v="0"/>
    <x v="1"/>
    <x v="5"/>
    <x v="0"/>
    <s v="OCEANIA_NO_REGION_NO_REGION_NO_REGION"/>
    <x v="1"/>
    <x v="1"/>
    <x v="1"/>
    <x v="1"/>
    <x v="1"/>
    <x v="1"/>
    <x v="1"/>
    <x v="1"/>
    <x v="0"/>
  </r>
  <r>
    <s v="emu_Evolution_Rail_HCMT_Munnel"/>
    <x v="0"/>
    <x v="1"/>
    <x v="10"/>
    <x v="0"/>
    <s v="OCEANIA_NO_REGION_NO_REGION_NO_REGION"/>
    <x v="1"/>
    <x v="1"/>
    <x v="1"/>
    <x v="1"/>
    <x v="1"/>
    <x v="1"/>
    <x v="1"/>
    <x v="1"/>
    <x v="0"/>
  </r>
  <r>
    <s v="diesel_LTZ_DR_130"/>
    <x v="1"/>
    <x v="1"/>
    <x v="6"/>
    <x v="0"/>
    <s v="WESTERN_EUROPE_COMECON_NO_REGION_NO_REGION"/>
    <x v="1"/>
    <x v="0"/>
    <x v="1"/>
    <x v="0"/>
    <x v="0"/>
    <x v="1"/>
    <x v="1"/>
    <x v="1"/>
    <x v="1"/>
  </r>
  <r>
    <s v="diesel_GE_AC6044CW"/>
    <x v="1"/>
    <x v="1"/>
    <x v="5"/>
    <x v="0"/>
    <s v="ALL_AMERICA_OCEANIA_NO_REGION_NO_REGION"/>
    <x v="1"/>
    <x v="1"/>
    <x v="1"/>
    <x v="1"/>
    <x v="1"/>
    <x v="1"/>
    <x v="0"/>
    <x v="0"/>
    <x v="0"/>
  </r>
  <r>
    <s v="diesel_GE_AC6000CW"/>
    <x v="0"/>
    <x v="1"/>
    <x v="5"/>
    <x v="0"/>
    <s v="ALL_AMERICA_OCEANIA_NO_REGION_NO_REGION"/>
    <x v="1"/>
    <x v="1"/>
    <x v="1"/>
    <x v="1"/>
    <x v="1"/>
    <x v="1"/>
    <x v="0"/>
    <x v="0"/>
    <x v="0"/>
  </r>
  <r>
    <s v="steam_Robert_Stephenson_and_Co_2_2_2_192"/>
    <x v="0"/>
    <x v="1"/>
    <x v="9"/>
    <x v="0"/>
    <s v="AFRICA_NO_REGION_NO_REGION_NO_REGION"/>
    <x v="0"/>
    <x v="1"/>
    <x v="1"/>
    <x v="1"/>
    <x v="1"/>
    <x v="1"/>
    <x v="1"/>
    <x v="1"/>
    <x v="1"/>
  </r>
  <r>
    <s v="emu_Comeng_MK_Hitachi_Trains"/>
    <x v="0"/>
    <x v="1"/>
    <x v="6"/>
    <x v="0"/>
    <s v="OCEANIA_NO_REGION_NO_REGION_NO_REGION"/>
    <x v="1"/>
    <x v="1"/>
    <x v="1"/>
    <x v="1"/>
    <x v="1"/>
    <x v="1"/>
    <x v="1"/>
    <x v="1"/>
    <x v="0"/>
  </r>
  <r>
    <s v="emu_GRC_W_Harris_Trains"/>
    <x v="0"/>
    <x v="1"/>
    <x v="4"/>
    <x v="0"/>
    <s v="OCEANIA_NO_REGION_NO_REGION_NO_REGION"/>
    <x v="1"/>
    <x v="1"/>
    <x v="1"/>
    <x v="1"/>
    <x v="1"/>
    <x v="1"/>
    <x v="1"/>
    <x v="1"/>
    <x v="0"/>
  </r>
  <r>
    <s v="emu_Siemens_Nexas"/>
    <x v="0"/>
    <x v="1"/>
    <x v="10"/>
    <x v="0"/>
    <s v="OCEANIA_NO_REGION_NO_REGION_NO_REGION"/>
    <x v="1"/>
    <x v="1"/>
    <x v="1"/>
    <x v="1"/>
    <x v="1"/>
    <x v="1"/>
    <x v="1"/>
    <x v="1"/>
    <x v="0"/>
  </r>
  <r>
    <s v="emu_Victorian_Railways_Tait_Trains"/>
    <x v="0"/>
    <x v="1"/>
    <x v="1"/>
    <x v="0"/>
    <s v="OCEANIA_NO_REGION_NO_REGION_NO_REGION"/>
    <x v="1"/>
    <x v="1"/>
    <x v="1"/>
    <x v="1"/>
    <x v="1"/>
    <x v="1"/>
    <x v="1"/>
    <x v="1"/>
    <x v="0"/>
  </r>
  <r>
    <s v="mtro_ABB_Henschel_Berlin_BVG_F74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Adtranz_Berlin_BVG_H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steam_LB_SCR_BRW_0_6_0T_A1"/>
    <x v="0"/>
    <x v="1"/>
    <x v="9"/>
    <x v="0"/>
    <s v="NORTHERN_EUROPE_OCEANIA_NO_REGION_NO_REGION"/>
    <x v="1"/>
    <x v="1"/>
    <x v="1"/>
    <x v="1"/>
    <x v="1"/>
    <x v="0"/>
    <x v="1"/>
    <x v="1"/>
    <x v="0"/>
  </r>
  <r>
    <s v="steam_BP_4_6_4T_4444_4478_C30"/>
    <x v="0"/>
    <x v="1"/>
    <x v="1"/>
    <x v="0"/>
    <s v="OCEANIA_NO_REGION_NO_REGION_NO_REGION"/>
    <x v="1"/>
    <x v="1"/>
    <x v="1"/>
    <x v="1"/>
    <x v="1"/>
    <x v="1"/>
    <x v="1"/>
    <x v="1"/>
    <x v="0"/>
  </r>
  <r>
    <s v="steam_BP_Baldwin_Clyde_4_6_0_C32"/>
    <x v="0"/>
    <x v="1"/>
    <x v="2"/>
    <x v="0"/>
    <s v="OCEANIA_NO_REGION_NO_REGION_NO_REGION"/>
    <x v="1"/>
    <x v="1"/>
    <x v="1"/>
    <x v="1"/>
    <x v="1"/>
    <x v="1"/>
    <x v="1"/>
    <x v="1"/>
    <x v="0"/>
  </r>
  <r>
    <s v="steam_BP_NBLC_2_8_0_D50"/>
    <x v="0"/>
    <x v="1"/>
    <x v="2"/>
    <x v="0"/>
    <s v="OCEANIA_NO_REGION_NO_REGION_NO_REGION"/>
    <x v="1"/>
    <x v="1"/>
    <x v="1"/>
    <x v="1"/>
    <x v="1"/>
    <x v="1"/>
    <x v="1"/>
    <x v="1"/>
    <x v="0"/>
  </r>
  <r>
    <s v="steam_BP_Dubs_4_4_0_Z12"/>
    <x v="0"/>
    <x v="1"/>
    <x v="9"/>
    <x v="0"/>
    <s v="OCEANIA_NO_REGION_NO_REGION_NO_REGION"/>
    <x v="1"/>
    <x v="1"/>
    <x v="1"/>
    <x v="1"/>
    <x v="1"/>
    <x v="1"/>
    <x v="1"/>
    <x v="1"/>
    <x v="0"/>
  </r>
  <r>
    <s v="steam_BP_0_6_0_Z19"/>
    <x v="0"/>
    <x v="1"/>
    <x v="9"/>
    <x v="0"/>
    <s v="OCEANIA_NO_REGION_NO_REGION_NO_REGION"/>
    <x v="1"/>
    <x v="1"/>
    <x v="1"/>
    <x v="1"/>
    <x v="1"/>
    <x v="1"/>
    <x v="1"/>
    <x v="1"/>
    <x v="0"/>
  </r>
  <r>
    <s v="steam_Dubs_2_6_2ST_Z26"/>
    <x v="0"/>
    <x v="1"/>
    <x v="2"/>
    <x v="0"/>
    <s v="OCEANIA_NO_REGION_NO_REGION_NO_REGION"/>
    <x v="1"/>
    <x v="1"/>
    <x v="1"/>
    <x v="1"/>
    <x v="1"/>
    <x v="1"/>
    <x v="1"/>
    <x v="1"/>
    <x v="0"/>
  </r>
  <r>
    <s v="steam_GCR_Kitson_NBLC_ROD_2_8_0_8K"/>
    <x v="0"/>
    <x v="1"/>
    <x v="3"/>
    <x v="0"/>
    <s v="NORTHERN_EUROPE_OCEANIA_NO_REGION_NO_REGION"/>
    <x v="1"/>
    <x v="1"/>
    <x v="1"/>
    <x v="1"/>
    <x v="1"/>
    <x v="0"/>
    <x v="1"/>
    <x v="1"/>
    <x v="0"/>
  </r>
  <r>
    <s v="steam_ALCO_4_6_2_SAR_600"/>
    <x v="0"/>
    <x v="1"/>
    <x v="3"/>
    <x v="0"/>
    <s v="OCEANIA_NO_REGION_NO_REGION_NO_REGION"/>
    <x v="1"/>
    <x v="1"/>
    <x v="1"/>
    <x v="1"/>
    <x v="1"/>
    <x v="1"/>
    <x v="1"/>
    <x v="1"/>
    <x v="0"/>
  </r>
  <r>
    <s v="steam_BP_2_8_2T_South_Maitland_10"/>
    <x v="0"/>
    <x v="1"/>
    <x v="1"/>
    <x v="0"/>
    <s v="OCEANIA_NO_REGION_NO_REGION_NO_REGION"/>
    <x v="1"/>
    <x v="1"/>
    <x v="1"/>
    <x v="1"/>
    <x v="1"/>
    <x v="1"/>
    <x v="1"/>
    <x v="1"/>
    <x v="0"/>
  </r>
  <r>
    <s v="steam_Victorian_Railways_H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BTH_41_Class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ALCO_AE_Goodwin_DL531_532"/>
    <x v="0"/>
    <x v="1"/>
    <x v="4"/>
    <x v="0"/>
    <s v="COMECON_APAC_NO_REGION_NO_REGION"/>
    <x v="1"/>
    <x v="0"/>
    <x v="1"/>
    <x v="0"/>
    <x v="1"/>
    <x v="1"/>
    <x v="1"/>
    <x v="1"/>
    <x v="0"/>
  </r>
  <r>
    <s v="diesel_ALCO_AE_Goodwin_DL500"/>
    <x v="0"/>
    <x v="1"/>
    <x v="4"/>
    <x v="0"/>
    <s v="SOUTH_AMERICA_NORTHERN_EUROPE_SOUTHERN_EUROPE_APAC"/>
    <x v="1"/>
    <x v="0"/>
    <x v="0"/>
    <x v="1"/>
    <x v="1"/>
    <x v="0"/>
    <x v="1"/>
    <x v="0"/>
    <x v="0"/>
  </r>
  <r>
    <s v="diesel_EMD_Clyde_A16C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EMD_Clyde_AAT22C_2R"/>
    <x v="1"/>
    <x v="1"/>
    <x v="5"/>
    <x v="0"/>
    <s v="OCEANIA_NO_REGION_NO_REGION_NO_REGION"/>
    <x v="1"/>
    <x v="1"/>
    <x v="1"/>
    <x v="1"/>
    <x v="1"/>
    <x v="1"/>
    <x v="1"/>
    <x v="1"/>
    <x v="0"/>
  </r>
  <r>
    <s v="diesel_EMD_Clyde_A7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EMD_Clyde_AT42C_"/>
    <x v="0"/>
    <x v="1"/>
    <x v="5"/>
    <x v="0"/>
    <s v="OCEANIA_NO_REGION_NO_REGION_NO_REGION"/>
    <x v="1"/>
    <x v="1"/>
    <x v="1"/>
    <x v="1"/>
    <x v="1"/>
    <x v="1"/>
    <x v="1"/>
    <x v="1"/>
    <x v="0"/>
  </r>
  <r>
    <s v="electric_Clyde_ASEA_CF48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GT46CWM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Clyde_EMD_GT46CW_NR_Concept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Clyde_JE28C_PTC_73_Class_Concept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JT22HC_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JT26C_2SS_NSW_81"/>
    <x v="1"/>
    <x v="1"/>
    <x v="5"/>
    <x v="0"/>
    <s v="OCEANIA_NO_REGION_NO_REGION_NO_REGION"/>
    <x v="1"/>
    <x v="1"/>
    <x v="1"/>
    <x v="1"/>
    <x v="1"/>
    <x v="1"/>
    <x v="1"/>
    <x v="1"/>
    <x v="0"/>
  </r>
  <r>
    <s v="diesel_EMD_Clyde_JT26C_2SS_V_line_G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JT42C_NSW8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JT42C_90_1277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JT42C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EMD_Clyde_ML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G16C_X1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G26C_X2"/>
    <x v="1"/>
    <x v="1"/>
    <x v="6"/>
    <x v="0"/>
    <s v="OCEANIA_NO_REGION_NO_REGION_NO_REGION"/>
    <x v="1"/>
    <x v="1"/>
    <x v="1"/>
    <x v="1"/>
    <x v="1"/>
    <x v="1"/>
    <x v="1"/>
    <x v="1"/>
    <x v="0"/>
  </r>
  <r>
    <s v="diesel_EMD_Clyde_G26C_X3"/>
    <x v="1"/>
    <x v="1"/>
    <x v="6"/>
    <x v="0"/>
    <s v="OCEANIA_NO_REGION_NO_REGION_NO_REGION"/>
    <x v="1"/>
    <x v="1"/>
    <x v="1"/>
    <x v="1"/>
    <x v="1"/>
    <x v="1"/>
    <x v="1"/>
    <x v="1"/>
    <x v="0"/>
  </r>
  <r>
    <s v="diesel_ALCO_Comeng_CE615A"/>
    <x v="0"/>
    <x v="1"/>
    <x v="6"/>
    <x v="0"/>
    <s v="OCEANIA_NO_REGION_NO_REGION_NO_REGION"/>
    <x v="1"/>
    <x v="1"/>
    <x v="1"/>
    <x v="1"/>
    <x v="1"/>
    <x v="1"/>
    <x v="1"/>
    <x v="1"/>
    <x v="0"/>
  </r>
  <r>
    <s v="electric_Comeng_Class_85"/>
    <x v="0"/>
    <x v="1"/>
    <x v="6"/>
    <x v="0"/>
    <s v="OCEANIA_NO_REGION_NO_REGION_NO_REGION"/>
    <x v="1"/>
    <x v="1"/>
    <x v="1"/>
    <x v="1"/>
    <x v="1"/>
    <x v="1"/>
    <x v="1"/>
    <x v="1"/>
    <x v="0"/>
  </r>
  <r>
    <s v="electric_Comeng_Maldon_Dombarton_8650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NOHAB_J30C_2DSB_MZ_III"/>
    <x v="0"/>
    <x v="1"/>
    <x v="6"/>
    <x v="0"/>
    <s v="OCEANIA_NORTHERN_EUROPE_NO_REGION_NO_REGION"/>
    <x v="1"/>
    <x v="1"/>
    <x v="1"/>
    <x v="1"/>
    <x v="1"/>
    <x v="0"/>
    <x v="1"/>
    <x v="1"/>
    <x v="0"/>
  </r>
  <r>
    <s v="diesel_EMD_Clyde_AT26C_Twin_16_645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GL26C_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EC_A_249_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EC_A_253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GE_U26C"/>
    <x v="0"/>
    <x v="1"/>
    <x v="6"/>
    <x v="0"/>
    <s v="OCEANIA_AFRICA_SOUTH_AMERICA_NO_REGION"/>
    <x v="0"/>
    <x v="1"/>
    <x v="1"/>
    <x v="1"/>
    <x v="1"/>
    <x v="1"/>
    <x v="1"/>
    <x v="0"/>
    <x v="0"/>
  </r>
  <r>
    <s v="electric_Metrowick_BP_786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ALCO_RSC_3_77732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EMD_Clyde_G8C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G12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EMD_Clyde_G8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Goninan_47_Class"/>
    <x v="0"/>
    <x v="1"/>
    <x v="6"/>
    <x v="0"/>
    <s v="OCEANIA_NO_REGION_NO_REGION_NO_REGION"/>
    <x v="1"/>
    <x v="1"/>
    <x v="1"/>
    <x v="1"/>
    <x v="1"/>
    <x v="1"/>
    <x v="1"/>
    <x v="1"/>
    <x v="0"/>
  </r>
  <r>
    <s v="steam_William_Fairbairn_2_2_2_Baroneza"/>
    <x v="0"/>
    <x v="1"/>
    <x v="8"/>
    <x v="0"/>
    <s v="SOUTH_AMERICA_NO_REGION_NO_REGION_NO_REGION"/>
    <x v="1"/>
    <x v="1"/>
    <x v="1"/>
    <x v="1"/>
    <x v="1"/>
    <x v="1"/>
    <x v="1"/>
    <x v="0"/>
    <x v="1"/>
  </r>
  <r>
    <s v="steam_Hunslet_0_4_0ST_La_Portena"/>
    <x v="0"/>
    <x v="1"/>
    <x v="8"/>
    <x v="0"/>
    <s v="SOUTH_AMERICA_NO_REGION_NO_REGION_NO_REGION"/>
    <x v="1"/>
    <x v="1"/>
    <x v="1"/>
    <x v="1"/>
    <x v="1"/>
    <x v="1"/>
    <x v="1"/>
    <x v="0"/>
    <x v="1"/>
  </r>
  <r>
    <s v="steam_Burnham_2_10_0_Dom_Pedro_Segundo_119"/>
    <x v="0"/>
    <x v="1"/>
    <x v="2"/>
    <x v="0"/>
    <s v="SOUTH_AMERICA_NO_REGION_NO_REGION_NO_REGION"/>
    <x v="1"/>
    <x v="1"/>
    <x v="1"/>
    <x v="1"/>
    <x v="1"/>
    <x v="1"/>
    <x v="1"/>
    <x v="0"/>
    <x v="1"/>
  </r>
  <r>
    <s v="steam_Baldwin_0_22C_No8_Monsefu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FCCP_Q_Class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NBLC_4_6_2_PS10_Class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Yorkshire_Engine_Co__4_8_4T_Nitrate_10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SLM_BBC_1_D_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GE_2_C_C_2"/>
    <x v="0"/>
    <x v="1"/>
    <x v="4"/>
    <x v="0"/>
    <s v="SOUTH_AMERICA_NO_REGION_NO_REGION_NO_REGION"/>
    <x v="1"/>
    <x v="1"/>
    <x v="1"/>
    <x v="1"/>
    <x v="1"/>
    <x v="1"/>
    <x v="1"/>
    <x v="0"/>
    <x v="1"/>
  </r>
  <r>
    <s v="steam_Norris___Brothers_4_4_0_La_Copiapo"/>
    <x v="0"/>
    <x v="1"/>
    <x v="8"/>
    <x v="0"/>
    <s v="SOUTH_AMERICA_NO_REGION_NO_REGION_NO_REGION"/>
    <x v="1"/>
    <x v="1"/>
    <x v="1"/>
    <x v="1"/>
    <x v="1"/>
    <x v="1"/>
    <x v="1"/>
    <x v="0"/>
    <x v="1"/>
  </r>
  <r>
    <s v="electric_AEG_A1A_A1A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mu_Ganz_Bariloche_DMU"/>
    <x v="0"/>
    <x v="1"/>
    <x v="3"/>
    <x v="0"/>
    <s v="SOUTH_AMERICA_NO_REGION_NO_REGION_NO_REGION"/>
    <x v="1"/>
    <x v="1"/>
    <x v="1"/>
    <x v="1"/>
    <x v="1"/>
    <x v="1"/>
    <x v="1"/>
    <x v="0"/>
    <x v="1"/>
  </r>
  <r>
    <s v="steam_Avonside_0_6_0ST_Sao_Paulo_No__13___14"/>
    <x v="0"/>
    <x v="1"/>
    <x v="9"/>
    <x v="0"/>
    <s v="SOUTH_AMERICA_NO_REGION_NO_REGION_NO_REGION"/>
    <x v="1"/>
    <x v="1"/>
    <x v="1"/>
    <x v="1"/>
    <x v="1"/>
    <x v="1"/>
    <x v="1"/>
    <x v="0"/>
    <x v="1"/>
  </r>
  <r>
    <s v="dmu_Ganz_CMU_4701_Transandino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mu_Kawasaki_Hitachi_AEZ_Railcar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mu_BREL_GEC_Auckland_ART_Concept"/>
    <x v="0"/>
    <x v="1"/>
    <x v="6"/>
    <x v="0"/>
    <s v="OCEANIA_NO_REGION_NO_REGION_NO_REGION"/>
    <x v="1"/>
    <x v="1"/>
    <x v="1"/>
    <x v="1"/>
    <x v="1"/>
    <x v="1"/>
    <x v="1"/>
    <x v="1"/>
    <x v="0"/>
  </r>
  <r>
    <s v="dmu_Comeng_1100_Railcar"/>
    <x v="0"/>
    <x v="1"/>
    <x v="6"/>
    <x v="0"/>
    <s v="OCEANIA_NO_REGION_NO_REGION_NO_REGION"/>
    <x v="1"/>
    <x v="1"/>
    <x v="1"/>
    <x v="1"/>
    <x v="1"/>
    <x v="1"/>
    <x v="1"/>
    <x v="1"/>
    <x v="0"/>
  </r>
  <r>
    <s v="dmu_Thai_Comeng_XPT_Concept"/>
    <x v="0"/>
    <x v="1"/>
    <x v="5"/>
    <x v="0"/>
    <s v="ASIA_NO_REGION_NO_REGION_NO_REGION"/>
    <x v="1"/>
    <x v="0"/>
    <x v="1"/>
    <x v="1"/>
    <x v="1"/>
    <x v="1"/>
    <x v="1"/>
    <x v="1"/>
    <x v="1"/>
  </r>
  <r>
    <s v="dmu_Comeng_NSW_XPT"/>
    <x v="0"/>
    <x v="1"/>
    <x v="5"/>
    <x v="0"/>
    <s v="OCEANIA_NO_REGION_NO_REGION_NO_REGION"/>
    <x v="1"/>
    <x v="1"/>
    <x v="1"/>
    <x v="1"/>
    <x v="1"/>
    <x v="1"/>
    <x v="1"/>
    <x v="1"/>
    <x v="0"/>
  </r>
  <r>
    <s v="emu_Tangara_V_Set_Hybrid_Concept"/>
    <x v="0"/>
    <x v="1"/>
    <x v="5"/>
    <x v="0"/>
    <s v="OCEANIA_NO_REGION_NO_REGION_NO_REGION"/>
    <x v="1"/>
    <x v="1"/>
    <x v="1"/>
    <x v="1"/>
    <x v="1"/>
    <x v="1"/>
    <x v="1"/>
    <x v="1"/>
    <x v="0"/>
  </r>
  <r>
    <s v="dmu_NSWGR_800_900_DEB"/>
    <x v="0"/>
    <x v="1"/>
    <x v="4"/>
    <x v="0"/>
    <s v="OCEANIA_NO_REGION_NO_REGION_NO_REGION"/>
    <x v="1"/>
    <x v="1"/>
    <x v="1"/>
    <x v="1"/>
    <x v="1"/>
    <x v="1"/>
    <x v="1"/>
    <x v="1"/>
    <x v="0"/>
  </r>
  <r>
    <s v="emu_Goninan_Tangara_4D_Prototype"/>
    <x v="0"/>
    <x v="1"/>
    <x v="5"/>
    <x v="0"/>
    <s v="OCEANIA_NO_REGION_NO_REGION_NO_REGION"/>
    <x v="1"/>
    <x v="1"/>
    <x v="1"/>
    <x v="1"/>
    <x v="1"/>
    <x v="1"/>
    <x v="1"/>
    <x v="1"/>
    <x v="0"/>
  </r>
  <r>
    <s v="emu_Goninan_Tangara_T_Set"/>
    <x v="0"/>
    <x v="1"/>
    <x v="5"/>
    <x v="0"/>
    <s v="OCEANIA_NO_REGION_NO_REGION_NO_REGION"/>
    <x v="1"/>
    <x v="1"/>
    <x v="1"/>
    <x v="1"/>
    <x v="1"/>
    <x v="1"/>
    <x v="1"/>
    <x v="1"/>
    <x v="0"/>
  </r>
  <r>
    <s v="dmu_NSWGR_600_700"/>
    <x v="0"/>
    <x v="1"/>
    <x v="4"/>
    <x v="0"/>
    <s v="OCEANIA_NO_REGION_NO_REGION_NO_REGION"/>
    <x v="1"/>
    <x v="1"/>
    <x v="1"/>
    <x v="1"/>
    <x v="1"/>
    <x v="1"/>
    <x v="1"/>
    <x v="1"/>
    <x v="0"/>
  </r>
  <r>
    <s v="dmu_Kawasaki_RM_Silver_Fern"/>
    <x v="0"/>
    <x v="1"/>
    <x v="6"/>
    <x v="0"/>
    <s v="OCEANIA_NO_REGION_NO_REGION_NO_REGION"/>
    <x v="1"/>
    <x v="1"/>
    <x v="1"/>
    <x v="1"/>
    <x v="1"/>
    <x v="1"/>
    <x v="1"/>
    <x v="1"/>
    <x v="0"/>
  </r>
  <r>
    <s v="emu_Comeng_W_Class_Sputnik"/>
    <x v="0"/>
    <x v="1"/>
    <x v="4"/>
    <x v="0"/>
    <s v="OCEANIA_NO_REGION_NO_REGION_NO_REGION"/>
    <x v="1"/>
    <x v="1"/>
    <x v="1"/>
    <x v="1"/>
    <x v="1"/>
    <x v="1"/>
    <x v="1"/>
    <x v="1"/>
    <x v="0"/>
  </r>
  <r>
    <s v="emu_Leeds_Clyde_Standard_EMU"/>
    <x v="0"/>
    <x v="1"/>
    <x v="3"/>
    <x v="0"/>
    <s v="OCEANIA_NO_REGION_NO_REGION_NO_REGION"/>
    <x v="1"/>
    <x v="1"/>
    <x v="1"/>
    <x v="1"/>
    <x v="1"/>
    <x v="1"/>
    <x v="1"/>
    <x v="1"/>
    <x v="0"/>
  </r>
  <r>
    <s v="emu_NSWGR_Tulloch_EMU"/>
    <x v="0"/>
    <x v="1"/>
    <x v="4"/>
    <x v="0"/>
    <s v="OCEANIA_NO_REGION_NO_REGION_NO_REGION"/>
    <x v="1"/>
    <x v="1"/>
    <x v="1"/>
    <x v="1"/>
    <x v="1"/>
    <x v="1"/>
    <x v="1"/>
    <x v="1"/>
    <x v="0"/>
  </r>
  <r>
    <s v="emu_Alstom_XTrapolis_100_Melbourne"/>
    <x v="1"/>
    <x v="1"/>
    <x v="0"/>
    <x v="0"/>
    <s v="OCEANIA_NO_REGION_NO_REGION_NO_REGION"/>
    <x v="1"/>
    <x v="1"/>
    <x v="1"/>
    <x v="1"/>
    <x v="1"/>
    <x v="1"/>
    <x v="1"/>
    <x v="1"/>
    <x v="0"/>
  </r>
  <r>
    <s v="mu_Coach_Gen1_American_Style_NZAUS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1_American_Style_NZAUS_Mail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1_2_Axle_NZAUS_Coach"/>
    <x v="0"/>
    <x v="0"/>
    <x v="8"/>
    <x v="0"/>
    <s v="OCEANIA_NO_REGION_NO_REGION_NO_REGION"/>
    <x v="1"/>
    <x v="1"/>
    <x v="1"/>
    <x v="1"/>
    <x v="1"/>
    <x v="1"/>
    <x v="1"/>
    <x v="1"/>
    <x v="0"/>
  </r>
  <r>
    <s v="mu_Coach_Gen1_2_Axle_NZAUS_Mail_Coach"/>
    <x v="0"/>
    <x v="0"/>
    <x v="8"/>
    <x v="0"/>
    <s v="OCEANIA_NO_REGION_NO_REGION_NO_REGION"/>
    <x v="1"/>
    <x v="1"/>
    <x v="1"/>
    <x v="1"/>
    <x v="1"/>
    <x v="1"/>
    <x v="1"/>
    <x v="1"/>
    <x v="0"/>
  </r>
  <r>
    <s v="mu_Coach_Gen1_End_Platform_2_Axle_NZAUS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1_Suburban_2_Axle_NZAUS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4_BREL_Mk3_Coach"/>
    <x v="0"/>
    <x v="0"/>
    <x v="6"/>
    <x v="0"/>
    <s v="OLD_WORLD_OCEANIA_NO_REGION_NO_REGION"/>
    <x v="0"/>
    <x v="0"/>
    <x v="0"/>
    <x v="0"/>
    <x v="0"/>
    <x v="0"/>
    <x v="1"/>
    <x v="1"/>
    <x v="0"/>
  </r>
  <r>
    <s v="mu_Coach_Gen4_BREL_Mk3_Mail_Coach"/>
    <x v="0"/>
    <x v="0"/>
    <x v="6"/>
    <x v="0"/>
    <s v="OLD_WORLD_OCEANIA_NO_REGION_NO_REGION"/>
    <x v="0"/>
    <x v="0"/>
    <x v="0"/>
    <x v="0"/>
    <x v="0"/>
    <x v="0"/>
    <x v="1"/>
    <x v="1"/>
    <x v="0"/>
  </r>
  <r>
    <s v="mu_Coach_Gen4_Comeng_Suburban_Double_Deck_SA2000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4_Gonian_4D_Concept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4_Gonian_Tangara_Concept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0"/>
    <s v="OCEANIA_NO_REGION_NO_REGION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0"/>
    <s v="OCEANIA_NO_REGION_NO_REGION_NO_REGION"/>
    <x v="1"/>
    <x v="1"/>
    <x v="1"/>
    <x v="1"/>
    <x v="1"/>
    <x v="1"/>
    <x v="1"/>
    <x v="1"/>
    <x v="0"/>
  </r>
  <r>
    <s v="mu_Coach_Gen3_Comeng_High_Speed_Coach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3_Comeng_High_Speed_Mail_Coach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4_Comeng_HType_Suburban_Coach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3_NSW_Tulloch_RUB_Stock_Coach"/>
    <x v="0"/>
    <x v="0"/>
    <x v="4"/>
    <x v="0"/>
    <s v="OCEANIA_NO_REGION_NO_REGION_NO_REGION"/>
    <x v="1"/>
    <x v="1"/>
    <x v="1"/>
    <x v="1"/>
    <x v="1"/>
    <x v="1"/>
    <x v="1"/>
    <x v="1"/>
    <x v="0"/>
  </r>
  <r>
    <s v="mu_Coach_Gen3_NSW_Tulloch_RUB_Stock_Mail_Coach"/>
    <x v="0"/>
    <x v="0"/>
    <x v="4"/>
    <x v="0"/>
    <s v="OCEANIA_NO_REGION_NO_REGION_NO_REGION"/>
    <x v="1"/>
    <x v="1"/>
    <x v="1"/>
    <x v="1"/>
    <x v="1"/>
    <x v="1"/>
    <x v="1"/>
    <x v="1"/>
    <x v="0"/>
  </r>
  <r>
    <s v="mu_Coach_Gen3_WAGR_AY_Suburban_Coach"/>
    <x v="0"/>
    <x v="0"/>
    <x v="3"/>
    <x v="0"/>
    <s v="OCEANIA_NO_REGION_NO_REGION_NO_REGION"/>
    <x v="1"/>
    <x v="1"/>
    <x v="1"/>
    <x v="1"/>
    <x v="1"/>
    <x v="1"/>
    <x v="1"/>
    <x v="1"/>
    <x v="0"/>
  </r>
  <r>
    <s v="mu_Coach_Gen3_NZR_56ft_Coach"/>
    <x v="0"/>
    <x v="0"/>
    <x v="3"/>
    <x v="0"/>
    <s v="OCEANIA_NO_REGION_NO_REGION_NO_REGION"/>
    <x v="1"/>
    <x v="1"/>
    <x v="1"/>
    <x v="1"/>
    <x v="1"/>
    <x v="1"/>
    <x v="1"/>
    <x v="1"/>
    <x v="0"/>
  </r>
  <r>
    <s v="mu_Coach_Gen3_NZR_56ft_Mail_Coach"/>
    <x v="0"/>
    <x v="0"/>
    <x v="3"/>
    <x v="0"/>
    <s v="OCEANIA_NO_REGION_NO_REGION_NO_REGION"/>
    <x v="1"/>
    <x v="1"/>
    <x v="1"/>
    <x v="1"/>
    <x v="1"/>
    <x v="1"/>
    <x v="1"/>
    <x v="1"/>
    <x v="0"/>
  </r>
  <r>
    <s v="mu_Coach_Gen2_NZR_50ft_Coach"/>
    <x v="0"/>
    <x v="0"/>
    <x v="1"/>
    <x v="0"/>
    <s v="OCEANIA_NO_REGION_NO_REGION_NO_REGION"/>
    <x v="1"/>
    <x v="1"/>
    <x v="1"/>
    <x v="1"/>
    <x v="1"/>
    <x v="1"/>
    <x v="1"/>
    <x v="1"/>
    <x v="0"/>
  </r>
  <r>
    <s v="mu_Coach_Gen2_NZR_50ft_Mail_Coach"/>
    <x v="0"/>
    <x v="0"/>
    <x v="1"/>
    <x v="0"/>
    <s v="OCEANIA_NO_REGION_NO_REGION_NO_REGION"/>
    <x v="1"/>
    <x v="1"/>
    <x v="1"/>
    <x v="1"/>
    <x v="1"/>
    <x v="1"/>
    <x v="1"/>
    <x v="1"/>
    <x v="0"/>
  </r>
  <r>
    <s v="mu_Coach_Gen1_NSW_KA_Tram_Car"/>
    <x v="0"/>
    <x v="0"/>
    <x v="9"/>
    <x v="0"/>
    <s v="OCEANIA_NO_REGION_NO_REGION_NO_REGION"/>
    <x v="1"/>
    <x v="1"/>
    <x v="1"/>
    <x v="1"/>
    <x v="1"/>
    <x v="1"/>
    <x v="1"/>
    <x v="1"/>
    <x v="0"/>
  </r>
  <r>
    <s v="electric_Comeng_86_Class"/>
    <x v="0"/>
    <x v="1"/>
    <x v="5"/>
    <x v="0"/>
    <s v="OCEANIA_NO_REGION_NO_REGION_NO_REGION"/>
    <x v="1"/>
    <x v="1"/>
    <x v="1"/>
    <x v="1"/>
    <x v="1"/>
    <x v="1"/>
    <x v="1"/>
    <x v="1"/>
    <x v="0"/>
  </r>
  <r>
    <s v="emu_Ganz_MAVAG_EM_ET"/>
    <x v="0"/>
    <x v="1"/>
    <x v="5"/>
    <x v="0"/>
    <s v="OCEANIA_NO_REGION_NO_REGION_NO_REGION"/>
    <x v="1"/>
    <x v="1"/>
    <x v="1"/>
    <x v="1"/>
    <x v="1"/>
    <x v="1"/>
    <x v="1"/>
    <x v="1"/>
    <x v="0"/>
  </r>
  <r>
    <s v="emu_EEC_DM_EMU"/>
    <x v="0"/>
    <x v="1"/>
    <x v="3"/>
    <x v="0"/>
    <s v="OCEANIA_NO_REGION_NO_REGION_NO_REGION"/>
    <x v="1"/>
    <x v="1"/>
    <x v="1"/>
    <x v="1"/>
    <x v="1"/>
    <x v="1"/>
    <x v="1"/>
    <x v="1"/>
    <x v="0"/>
  </r>
  <r>
    <s v="emu_Hyundai_Rotem__Mitsui_Matangi"/>
    <x v="0"/>
    <x v="1"/>
    <x v="0"/>
    <x v="0"/>
    <s v="OCEANIA_NO_REGION_NO_REGION_NO_REGION"/>
    <x v="1"/>
    <x v="1"/>
    <x v="1"/>
    <x v="1"/>
    <x v="1"/>
    <x v="1"/>
    <x v="1"/>
    <x v="1"/>
    <x v="0"/>
  </r>
  <r>
    <s v="mtro_Ganz_Hunslet_Budapest_G2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BRC_W_NSU_Class"/>
    <x v="0"/>
    <x v="1"/>
    <x v="4"/>
    <x v="0"/>
    <s v="OCEANIA_NO_REGION_NO_REGION_NO_REGION"/>
    <x v="1"/>
    <x v="1"/>
    <x v="1"/>
    <x v="1"/>
    <x v="1"/>
    <x v="1"/>
    <x v="1"/>
    <x v="1"/>
    <x v="0"/>
  </r>
  <r>
    <s v="emu_Itochu_Kinki_Kawasaki_SP1900"/>
    <x v="0"/>
    <x v="1"/>
    <x v="0"/>
    <x v="0"/>
    <s v="ASIA_NO_REGION_NO_REGION_NO_REGION"/>
    <x v="1"/>
    <x v="0"/>
    <x v="1"/>
    <x v="1"/>
    <x v="1"/>
    <x v="1"/>
    <x v="1"/>
    <x v="1"/>
    <x v="1"/>
  </r>
  <r>
    <s v="electric_Alstom_CRRC_Datong_HXD2"/>
    <x v="0"/>
    <x v="1"/>
    <x v="0"/>
    <x v="0"/>
    <s v="ASIA_NO_REGION_NO_REGION_NO_REGION"/>
    <x v="1"/>
    <x v="0"/>
    <x v="1"/>
    <x v="1"/>
    <x v="1"/>
    <x v="1"/>
    <x v="1"/>
    <x v="1"/>
    <x v="1"/>
  </r>
  <r>
    <s v="diesel_CRRC_Qishuyan_DF11"/>
    <x v="0"/>
    <x v="1"/>
    <x v="5"/>
    <x v="0"/>
    <s v="ASIA_NO_REGION_NO_REGION_NO_REGION"/>
    <x v="1"/>
    <x v="0"/>
    <x v="1"/>
    <x v="1"/>
    <x v="1"/>
    <x v="1"/>
    <x v="1"/>
    <x v="1"/>
    <x v="1"/>
  </r>
  <r>
    <s v="electric_Zhuzhou_SS8"/>
    <x v="0"/>
    <x v="1"/>
    <x v="5"/>
    <x v="0"/>
    <s v="ASIA_NO_REGION_NO_REGION_NO_REGION"/>
    <x v="1"/>
    <x v="0"/>
    <x v="1"/>
    <x v="1"/>
    <x v="1"/>
    <x v="1"/>
    <x v="1"/>
    <x v="1"/>
    <x v="1"/>
  </r>
  <r>
    <s v="electric_Alstom_CRRC_Datong_HXD2B"/>
    <x v="0"/>
    <x v="1"/>
    <x v="0"/>
    <x v="0"/>
    <s v="COMECON_NO_REGION_NO_REGION_NO_REGION"/>
    <x v="1"/>
    <x v="0"/>
    <x v="1"/>
    <x v="0"/>
    <x v="1"/>
    <x v="1"/>
    <x v="1"/>
    <x v="1"/>
    <x v="1"/>
  </r>
  <r>
    <s v="electric_CRRC_Dalian_HXD3D"/>
    <x v="0"/>
    <x v="1"/>
    <x v="0"/>
    <x v="0"/>
    <s v="ASIA_NO_REGION_NO_REGION_NO_REGION"/>
    <x v="1"/>
    <x v="0"/>
    <x v="1"/>
    <x v="1"/>
    <x v="1"/>
    <x v="1"/>
    <x v="1"/>
    <x v="1"/>
    <x v="1"/>
  </r>
  <r>
    <s v="diesel_CRRC_Dalian_DF4"/>
    <x v="0"/>
    <x v="1"/>
    <x v="5"/>
    <x v="0"/>
    <s v="ASIA_NO_REGION_NO_REGION_NO_REGION"/>
    <x v="1"/>
    <x v="0"/>
    <x v="1"/>
    <x v="1"/>
    <x v="1"/>
    <x v="1"/>
    <x v="1"/>
    <x v="1"/>
    <x v="1"/>
  </r>
  <r>
    <s v="diesel_Tangshan_Dalian_Sifang_DF5"/>
    <x v="0"/>
    <x v="1"/>
    <x v="6"/>
    <x v="0"/>
    <s v="ASIA_NO_REGION_NO_REGION_NO_REGION"/>
    <x v="1"/>
    <x v="0"/>
    <x v="1"/>
    <x v="1"/>
    <x v="1"/>
    <x v="1"/>
    <x v="1"/>
    <x v="1"/>
    <x v="1"/>
  </r>
  <r>
    <s v="steam_Dalian_2_8_2_JS_Class"/>
    <x v="0"/>
    <x v="1"/>
    <x v="4"/>
    <x v="0"/>
    <s v="ASIA_NO_REGION_NO_REGION_NO_REGION"/>
    <x v="1"/>
    <x v="0"/>
    <x v="1"/>
    <x v="1"/>
    <x v="1"/>
    <x v="1"/>
    <x v="1"/>
    <x v="1"/>
    <x v="1"/>
  </r>
  <r>
    <s v="steam_CSR_Sifang_4_6_2_RM"/>
    <x v="0"/>
    <x v="1"/>
    <x v="4"/>
    <x v="0"/>
    <s v="ASIA_NO_REGION_NO_REGION_NO_REGION"/>
    <x v="1"/>
    <x v="0"/>
    <x v="1"/>
    <x v="1"/>
    <x v="1"/>
    <x v="1"/>
    <x v="1"/>
    <x v="1"/>
    <x v="1"/>
  </r>
  <r>
    <s v="rbd_MAV_Ikarus_260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GE_ES43ACi"/>
    <x v="0"/>
    <x v="1"/>
    <x v="0"/>
    <x v="0"/>
    <s v="ALL_REGION_NO_REGION_NO_REGION_NO_REGION"/>
    <x v="0"/>
    <x v="0"/>
    <x v="0"/>
    <x v="0"/>
    <x v="0"/>
    <x v="0"/>
    <x v="0"/>
    <x v="0"/>
    <x v="0"/>
  </r>
  <r>
    <s v="diesel_EMD_GP40"/>
    <x v="0"/>
    <x v="1"/>
    <x v="6"/>
    <x v="0"/>
    <s v="ALL_AMERICA_AFRICA_NO_REGION_NO_REGION"/>
    <x v="0"/>
    <x v="1"/>
    <x v="1"/>
    <x v="1"/>
    <x v="1"/>
    <x v="1"/>
    <x v="0"/>
    <x v="0"/>
    <x v="1"/>
  </r>
  <r>
    <s v="diesel_EMD_SD70"/>
    <x v="0"/>
    <x v="1"/>
    <x v="5"/>
    <x v="0"/>
    <s v="ALL_AMERICA_AFRICA_AFRICA_NO_REGION"/>
    <x v="0"/>
    <x v="1"/>
    <x v="1"/>
    <x v="1"/>
    <x v="1"/>
    <x v="1"/>
    <x v="0"/>
    <x v="0"/>
    <x v="1"/>
  </r>
  <r>
    <s v="diesel_GE_C30_7_Dash_7"/>
    <x v="0"/>
    <x v="1"/>
    <x v="6"/>
    <x v="0"/>
    <s v="ALL_AMERICA_NORTHERN_EUROPE_ASIA_NO_REGION"/>
    <x v="1"/>
    <x v="0"/>
    <x v="1"/>
    <x v="1"/>
    <x v="1"/>
    <x v="0"/>
    <x v="0"/>
    <x v="0"/>
    <x v="1"/>
  </r>
  <r>
    <s v="diesel_GE_C40_8_Dash_8"/>
    <x v="0"/>
    <x v="1"/>
    <x v="5"/>
    <x v="0"/>
    <s v="ALL_AMERICA_NO_REGION_NO_REGION_NO_REGION"/>
    <x v="1"/>
    <x v="1"/>
    <x v="1"/>
    <x v="1"/>
    <x v="1"/>
    <x v="1"/>
    <x v="0"/>
    <x v="0"/>
    <x v="1"/>
  </r>
  <r>
    <s v="diesel_GE_C44_9W_Dash_9"/>
    <x v="0"/>
    <x v="1"/>
    <x v="5"/>
    <x v="0"/>
    <s v="ALL_AMERICA_OCEANIA_NO_REGION_NO_REGION"/>
    <x v="1"/>
    <x v="1"/>
    <x v="1"/>
    <x v="1"/>
    <x v="1"/>
    <x v="1"/>
    <x v="0"/>
    <x v="0"/>
    <x v="0"/>
  </r>
  <r>
    <s v="diesel_EMD_GP40_DNU"/>
    <x v="1"/>
    <x v="1"/>
    <x v="6"/>
    <x v="0"/>
    <s v="ALL_AMERICA_NO_REGION_NO_REGION_NO_REGION"/>
    <x v="1"/>
    <x v="1"/>
    <x v="1"/>
    <x v="1"/>
    <x v="1"/>
    <x v="1"/>
    <x v="0"/>
    <x v="0"/>
    <x v="1"/>
  </r>
  <r>
    <s v="steam_Kitson_2_2_2_3166_3171"/>
    <x v="0"/>
    <x v="1"/>
    <x v="2"/>
    <x v="0"/>
    <s v="AFRICA_NO_REGION_NO_REGION_NO_REGION"/>
    <x v="0"/>
    <x v="1"/>
    <x v="1"/>
    <x v="1"/>
    <x v="1"/>
    <x v="1"/>
    <x v="1"/>
    <x v="1"/>
    <x v="1"/>
  </r>
  <r>
    <s v="steam_Burnham_2_6_0_15857_15871"/>
    <x v="0"/>
    <x v="1"/>
    <x v="2"/>
    <x v="0"/>
    <s v="AFRICA_NO_REGION_NO_REGION_NO_REGION"/>
    <x v="0"/>
    <x v="1"/>
    <x v="1"/>
    <x v="1"/>
    <x v="1"/>
    <x v="1"/>
    <x v="1"/>
    <x v="1"/>
    <x v="1"/>
  </r>
  <r>
    <s v="steam_SA_Franco_Belge_0_6_0_Class_4"/>
    <x v="0"/>
    <x v="1"/>
    <x v="2"/>
    <x v="0"/>
    <s v="AFRICA_NO_REGION_NO_REGION_NO_REGION"/>
    <x v="0"/>
    <x v="1"/>
    <x v="1"/>
    <x v="1"/>
    <x v="1"/>
    <x v="1"/>
    <x v="1"/>
    <x v="1"/>
    <x v="1"/>
  </r>
  <r>
    <s v="mglv_ACME_Corp__Pegasus"/>
    <x v="0"/>
    <x v="1"/>
    <x v="0"/>
    <x v="0"/>
    <s v="ALL_REGION_NO_REGION_NO_REGION_NO_REGION"/>
    <x v="0"/>
    <x v="0"/>
    <x v="0"/>
    <x v="0"/>
    <x v="0"/>
    <x v="0"/>
    <x v="0"/>
    <x v="0"/>
    <x v="0"/>
  </r>
  <r>
    <s v="mmu_ACME_Corp__Chimaera"/>
    <x v="0"/>
    <x v="1"/>
    <x v="10"/>
    <x v="0"/>
    <s v="ALL_REGION_NO_REGION_NO_REGION_NO_REGION"/>
    <x v="0"/>
    <x v="0"/>
    <x v="0"/>
    <x v="0"/>
    <x v="0"/>
    <x v="0"/>
    <x v="0"/>
    <x v="0"/>
    <x v="0"/>
  </r>
  <r>
    <s v="mglv_coach_Gen7M_Chimaera_Passenger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coach_Gen7M_Chimaera_Mail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steam_Sharp_BP_0_6_0_BDZ_142_150"/>
    <x v="0"/>
    <x v="1"/>
    <x v="9"/>
    <x v="0"/>
    <s v="EASTERN_EUROPE_NO_REGION_NO_REGION_NO_REGION"/>
    <x v="1"/>
    <x v="1"/>
    <x v="1"/>
    <x v="0"/>
    <x v="1"/>
    <x v="1"/>
    <x v="1"/>
    <x v="1"/>
    <x v="1"/>
  </r>
  <r>
    <s v="steam_MAVAG_4_4_2_Class_203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MAVAG_2_6_6_0_Class_601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electric_Ganz_MAVAG_VM7_V40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diesel_PESA_111D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steam_Stephenson_BP_2_2_2_LVCI_Class_1"/>
    <x v="0"/>
    <x v="1"/>
    <x v="8"/>
    <x v="0"/>
    <s v="SOUTHERN_EUROPE_NO_REGION_NO_REGION_NO_REGION"/>
    <x v="1"/>
    <x v="1"/>
    <x v="0"/>
    <x v="1"/>
    <x v="1"/>
    <x v="1"/>
    <x v="1"/>
    <x v="1"/>
    <x v="1"/>
  </r>
  <r>
    <s v="steam_Babcock_4_6_2_2_6_4T_462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steam_Koechlin_0_6_0_030"/>
    <x v="0"/>
    <x v="1"/>
    <x v="9"/>
    <x v="0"/>
    <s v="SOUTHERN_EUROPE_NO_REGION_NO_REGION_NO_REGION"/>
    <x v="1"/>
    <x v="1"/>
    <x v="0"/>
    <x v="1"/>
    <x v="1"/>
    <x v="1"/>
    <x v="1"/>
    <x v="1"/>
    <x v="1"/>
  </r>
  <r>
    <s v="steam_Hanomag_ALCO_4_8_0_240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emu_CRRC_Sifang_SFB_500"/>
    <x v="0"/>
    <x v="1"/>
    <x v="10"/>
    <x v="0"/>
    <s v="SOUTH_AMERICA_NO_REGION_NO_REGION_NO_REGION"/>
    <x v="1"/>
    <x v="1"/>
    <x v="1"/>
    <x v="1"/>
    <x v="1"/>
    <x v="1"/>
    <x v="1"/>
    <x v="0"/>
    <x v="1"/>
  </r>
  <r>
    <s v="diesel_EMC_E3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EMD_FT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LTZ_TE109"/>
    <x v="0"/>
    <x v="1"/>
    <x v="6"/>
    <x v="0"/>
    <s v="WESTERN_EUROPE_COMECON_NO_REGION_NO_REGION"/>
    <x v="1"/>
    <x v="0"/>
    <x v="1"/>
    <x v="0"/>
    <x v="0"/>
    <x v="1"/>
    <x v="1"/>
    <x v="1"/>
    <x v="1"/>
  </r>
  <r>
    <s v="emu_Hitachi_Kawasaki_Shinkansen_Series_100"/>
    <x v="0"/>
    <x v="1"/>
    <x v="5"/>
    <x v="0"/>
    <s v="ASIA_NO_REGION_NO_REGION_NO_REGION"/>
    <x v="1"/>
    <x v="0"/>
    <x v="1"/>
    <x v="1"/>
    <x v="1"/>
    <x v="1"/>
    <x v="1"/>
    <x v="1"/>
    <x v="1"/>
  </r>
  <r>
    <s v="diesel_Krauss_Maffei_ML_2200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mu_Ganz_Hargita_M440"/>
    <x v="0"/>
    <x v="1"/>
    <x v="4"/>
    <x v="0"/>
    <s v="EASTERN_EUROPE_WESTERN_EUROPE_NO_REGION_NO_REGION"/>
    <x v="1"/>
    <x v="1"/>
    <x v="1"/>
    <x v="0"/>
    <x v="0"/>
    <x v="1"/>
    <x v="1"/>
    <x v="1"/>
    <x v="1"/>
  </r>
  <r>
    <s v="electric_SSW_Krauss_E4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PESA_111MS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Kolomna_VL19"/>
    <x v="0"/>
    <x v="1"/>
    <x v="3"/>
    <x v="0"/>
    <s v="COMECON_NO_REGION_NO_REGION_NO_REGION"/>
    <x v="1"/>
    <x v="0"/>
    <x v="1"/>
    <x v="0"/>
    <x v="1"/>
    <x v="1"/>
    <x v="1"/>
    <x v="1"/>
    <x v="1"/>
  </r>
  <r>
    <s v="electric_AEG_Krupp_E18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Hitachi_Alstom_Zefiro_Class_895_HS2"/>
    <x v="0"/>
    <x v="1"/>
    <x v="10"/>
    <x v="0"/>
    <s v="NORTHERN_EUROPE_NO_REGION_NO_REGION_NO_REGION"/>
    <x v="1"/>
    <x v="1"/>
    <x v="1"/>
    <x v="1"/>
    <x v="1"/>
    <x v="0"/>
    <x v="1"/>
    <x v="1"/>
    <x v="1"/>
  </r>
  <r>
    <s v="diesel_EMD_JT22CW"/>
    <x v="0"/>
    <x v="1"/>
    <x v="6"/>
    <x v="0"/>
    <s v="NORTHERN_EUROPE_EASTERN_EUROPE_NO_REGION_NO_REGION"/>
    <x v="1"/>
    <x v="1"/>
    <x v="1"/>
    <x v="0"/>
    <x v="1"/>
    <x v="0"/>
    <x v="1"/>
    <x v="1"/>
    <x v="1"/>
  </r>
  <r>
    <s v="dmu_RVR_DR1A"/>
    <x v="0"/>
    <x v="1"/>
    <x v="6"/>
    <x v="0"/>
    <s v="POST_SOVIET_BALTIC_NO_REGION_NO_REGION_NO_REGION"/>
    <x v="1"/>
    <x v="0"/>
    <x v="1"/>
    <x v="0"/>
    <x v="1"/>
    <x v="0"/>
    <x v="1"/>
    <x v="1"/>
    <x v="1"/>
  </r>
  <r>
    <s v="electric_ACME_Corp__HS001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electric_ACME_Corp__HS002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dmu_ACME_Corp__V200D_DMU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emu_ACME_Corp__V200E_EMU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cargoemu_ACME_Corp__DD_CargoEMU"/>
    <x v="0"/>
    <x v="1"/>
    <x v="11"/>
    <x v="0"/>
    <s v="ALL_REGION_NO_REGION_NO_REGION_NO_REGION"/>
    <x v="0"/>
    <x v="0"/>
    <x v="0"/>
    <x v="0"/>
    <x v="0"/>
    <x v="0"/>
    <x v="0"/>
    <x v="0"/>
    <x v="0"/>
  </r>
  <r>
    <s v="diesel_VEB_LKM_V18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PESA_43WE_DART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LEW_EL2"/>
    <x v="0"/>
    <x v="1"/>
    <x v="4"/>
    <x v="0"/>
    <s v="COMECON_NO_REGION_NO_REGION_NO_REGION"/>
    <x v="1"/>
    <x v="0"/>
    <x v="1"/>
    <x v="0"/>
    <x v="1"/>
    <x v="1"/>
    <x v="1"/>
    <x v="1"/>
    <x v="1"/>
  </r>
  <r>
    <s v="electric_Pafawag_201E"/>
    <x v="0"/>
    <x v="1"/>
    <x v="6"/>
    <x v="0"/>
    <s v="EASTERN_EUROPE_AFRICA_NO_REGION_NO_REGION"/>
    <x v="0"/>
    <x v="1"/>
    <x v="1"/>
    <x v="0"/>
    <x v="1"/>
    <x v="1"/>
    <x v="1"/>
    <x v="1"/>
    <x v="1"/>
  </r>
  <r>
    <s v="diesel_NOHAB_AA16"/>
    <x v="0"/>
    <x v="1"/>
    <x v="4"/>
    <x v="0"/>
    <s v="ALL_EUROPE_NO_REGION_NO_REGION_NO_REGION"/>
    <x v="1"/>
    <x v="1"/>
    <x v="0"/>
    <x v="0"/>
    <x v="0"/>
    <x v="0"/>
    <x v="1"/>
    <x v="1"/>
    <x v="1"/>
  </r>
  <r>
    <s v="diesel_LEW_V100"/>
    <x v="0"/>
    <x v="1"/>
    <x v="6"/>
    <x v="0"/>
    <s v="COMECON_WESTERN_EUROPE_NO_REGION_NO_REGION"/>
    <x v="1"/>
    <x v="0"/>
    <x v="1"/>
    <x v="0"/>
    <x v="0"/>
    <x v="1"/>
    <x v="1"/>
    <x v="1"/>
    <x v="1"/>
  </r>
  <r>
    <s v="diesel_Fablok_6D"/>
    <x v="0"/>
    <x v="1"/>
    <x v="6"/>
    <x v="0"/>
    <s v="EASTERN_EUROPE_AFRICA_NO_REGION_NO_REGION"/>
    <x v="0"/>
    <x v="1"/>
    <x v="1"/>
    <x v="0"/>
    <x v="1"/>
    <x v="1"/>
    <x v="1"/>
    <x v="1"/>
    <x v="1"/>
  </r>
  <r>
    <s v="diesel_HCP_301D"/>
    <x v="0"/>
    <x v="1"/>
    <x v="6"/>
    <x v="0"/>
    <s v="EASTERN_EUROPE_AFRICA_NO_REGION_NO_REGION"/>
    <x v="0"/>
    <x v="1"/>
    <x v="1"/>
    <x v="0"/>
    <x v="1"/>
    <x v="1"/>
    <x v="1"/>
    <x v="1"/>
    <x v="1"/>
  </r>
  <r>
    <s v="dmu_Stadler_Flirt_PowerPack_DMU"/>
    <x v="0"/>
    <x v="1"/>
    <x v="0"/>
    <x v="0"/>
    <s v="ALL_EUROPE_NORTH_AMERICA_NO_REGION_NO_REGION"/>
    <x v="1"/>
    <x v="1"/>
    <x v="0"/>
    <x v="0"/>
    <x v="0"/>
    <x v="0"/>
    <x v="0"/>
    <x v="1"/>
    <x v="1"/>
  </r>
  <r>
    <s v="cargoemu_JNR_Container_Bullet_Train_Concept"/>
    <x v="0"/>
    <x v="1"/>
    <x v="6"/>
    <x v="0"/>
    <s v="ASIA_NO_REGION_NO_REGION_NO_REGION"/>
    <x v="1"/>
    <x v="0"/>
    <x v="1"/>
    <x v="1"/>
    <x v="1"/>
    <x v="1"/>
    <x v="1"/>
    <x v="1"/>
    <x v="1"/>
  </r>
  <r>
    <s v="electric_Hitachi_WAG_6B_C"/>
    <x v="0"/>
    <x v="1"/>
    <x v="5"/>
    <x v="0"/>
    <s v="ASIA_NO_REGION_NO_REGION_NO_REGION"/>
    <x v="1"/>
    <x v="0"/>
    <x v="1"/>
    <x v="1"/>
    <x v="1"/>
    <x v="1"/>
    <x v="1"/>
    <x v="1"/>
    <x v="1"/>
  </r>
  <r>
    <s v="electric_Toshiba_10E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GEC_9E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Hitachi_E1100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RDSO_CLW_WAM_4"/>
    <x v="0"/>
    <x v="1"/>
    <x v="6"/>
    <x v="0"/>
    <s v="ASIA_NO_REGION_NO_REGION_NO_REGION"/>
    <x v="1"/>
    <x v="0"/>
    <x v="1"/>
    <x v="1"/>
    <x v="1"/>
    <x v="1"/>
    <x v="1"/>
    <x v="1"/>
    <x v="1"/>
  </r>
  <r>
    <s v="electric_Groupement_50_Hz_WAM_1"/>
    <x v="0"/>
    <x v="1"/>
    <x v="6"/>
    <x v="0"/>
    <s v="ASIA_NO_REGION_NO_REGION_NO_REGION"/>
    <x v="1"/>
    <x v="0"/>
    <x v="1"/>
    <x v="1"/>
    <x v="1"/>
    <x v="1"/>
    <x v="1"/>
    <x v="1"/>
    <x v="1"/>
  </r>
  <r>
    <s v="diesel_Baldwin_Lima_Hamilton_RF_615_E"/>
    <x v="0"/>
    <x v="1"/>
    <x v="4"/>
    <x v="0"/>
    <s v="SOUTH_AMERICA_NO_REGION_NO_REGION_NO_REGION"/>
    <x v="1"/>
    <x v="1"/>
    <x v="1"/>
    <x v="1"/>
    <x v="1"/>
    <x v="1"/>
    <x v="1"/>
    <x v="0"/>
    <x v="1"/>
  </r>
  <r>
    <s v="diesel_EE_Dick__Kerr___Co_Vulcan_Foundry_DE2"/>
    <x v="0"/>
    <x v="1"/>
    <x v="4"/>
    <x v="0"/>
    <s v="AFRICA_NO_REGION_NO_REGION_NO_REGION"/>
    <x v="0"/>
    <x v="1"/>
    <x v="1"/>
    <x v="1"/>
    <x v="1"/>
    <x v="1"/>
    <x v="1"/>
    <x v="1"/>
    <x v="1"/>
  </r>
  <r>
    <s v="diesel_Ingeteam_TD2000_series"/>
    <x v="0"/>
    <x v="1"/>
    <x v="0"/>
    <x v="0"/>
    <s v="SOUTH_AMERICA_SOUTHERN_EUROPE_NO_REGION_NO_REGION"/>
    <x v="1"/>
    <x v="1"/>
    <x v="0"/>
    <x v="1"/>
    <x v="1"/>
    <x v="1"/>
    <x v="1"/>
    <x v="0"/>
    <x v="1"/>
  </r>
  <r>
    <s v="diesel_Tulloch_0_6_0DM_W_Class"/>
    <x v="0"/>
    <x v="1"/>
    <x v="4"/>
    <x v="0"/>
    <s v="OCEANIA_NO_REGION_NO_REGION_NO_REGION"/>
    <x v="1"/>
    <x v="1"/>
    <x v="1"/>
    <x v="1"/>
    <x v="1"/>
    <x v="1"/>
    <x v="1"/>
    <x v="1"/>
    <x v="0"/>
  </r>
  <r>
    <s v="electric_GE_289_Boxcab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Alsthom_EC_386"/>
    <x v="0"/>
    <x v="1"/>
    <x v="5"/>
    <x v="0"/>
    <s v="SOUTH_AMERICA_NO_REGION_NO_REGION_NO_REGION"/>
    <x v="1"/>
    <x v="1"/>
    <x v="1"/>
    <x v="1"/>
    <x v="1"/>
    <x v="1"/>
    <x v="1"/>
    <x v="0"/>
    <x v="1"/>
  </r>
  <r>
    <s v="electric_Chesta_Casagrande_E650"/>
    <x v="0"/>
    <x v="1"/>
    <x v="0"/>
    <x v="0"/>
    <s v="SOUTH_AMERICA_NO_REGION_NO_REGION_NO_REGION"/>
    <x v="1"/>
    <x v="1"/>
    <x v="1"/>
    <x v="1"/>
    <x v="1"/>
    <x v="1"/>
    <x v="1"/>
    <x v="0"/>
    <x v="1"/>
  </r>
  <r>
    <s v="electric_Breda_Marelli_E32"/>
    <x v="0"/>
    <x v="1"/>
    <x v="6"/>
    <x v="0"/>
    <s v="SOUTH_AMERICA_NO_REGION_NO_REGION_NO_REGION"/>
    <x v="1"/>
    <x v="1"/>
    <x v="1"/>
    <x v="1"/>
    <x v="1"/>
    <x v="1"/>
    <x v="1"/>
    <x v="0"/>
    <x v="1"/>
  </r>
  <r>
    <s v="diesel_GE_ES58ACi"/>
    <x v="0"/>
    <x v="1"/>
    <x v="0"/>
    <x v="0"/>
    <s v="SOUTH_AMERICA_NO_REGION_NO_REGION_NO_REGION"/>
    <x v="1"/>
    <x v="1"/>
    <x v="1"/>
    <x v="1"/>
    <x v="1"/>
    <x v="1"/>
    <x v="1"/>
    <x v="0"/>
    <x v="1"/>
  </r>
  <r>
    <s v="rbd_Ganz_MAVAG_Ikarus_725_00"/>
    <x v="0"/>
    <x v="1"/>
    <x v="5"/>
    <x v="0"/>
    <s v="COMECON_NO_REGION_NO_REGION_NO_REGION"/>
    <x v="1"/>
    <x v="0"/>
    <x v="1"/>
    <x v="0"/>
    <x v="1"/>
    <x v="1"/>
    <x v="1"/>
    <x v="1"/>
    <x v="1"/>
  </r>
  <r>
    <s v="mtro_Alstom_Metropolis"/>
    <x v="0"/>
    <x v="1"/>
    <x v="5"/>
    <x v="0"/>
    <s v="ALL_AMERICA_APAC_WESTERN_EUROPE_EASTERN_EUROPE"/>
    <x v="1"/>
    <x v="0"/>
    <x v="1"/>
    <x v="0"/>
    <x v="0"/>
    <x v="1"/>
    <x v="0"/>
    <x v="0"/>
    <x v="0"/>
  </r>
  <r>
    <s v="steam_Sharp_2_2_2_Patriot"/>
    <x v="0"/>
    <x v="1"/>
    <x v="8"/>
    <x v="0"/>
    <s v="NORTH_AMERICA_NO_REGION_NO_REGION_NO_REGION"/>
    <x v="1"/>
    <x v="1"/>
    <x v="1"/>
    <x v="1"/>
    <x v="1"/>
    <x v="1"/>
    <x v="0"/>
    <x v="1"/>
    <x v="1"/>
  </r>
  <r>
    <s v="mu_Coach_Gen2_Heavyweight_Regional_Coach"/>
    <x v="0"/>
    <x v="0"/>
    <x v="1"/>
    <x v="0"/>
    <s v="ALL_AMERICA_OCEANIA_NO_REGION_NO_REGION"/>
    <x v="1"/>
    <x v="1"/>
    <x v="1"/>
    <x v="1"/>
    <x v="1"/>
    <x v="1"/>
    <x v="0"/>
    <x v="0"/>
    <x v="0"/>
  </r>
  <r>
    <s v="mu_Coach_Gen1_American_Style_Coach"/>
    <x v="0"/>
    <x v="0"/>
    <x v="9"/>
    <x v="0"/>
    <s v="NON_EUROPEAN_NO_REGION_NO_REGION_NO_REGION"/>
    <x v="0"/>
    <x v="0"/>
    <x v="1"/>
    <x v="1"/>
    <x v="1"/>
    <x v="1"/>
    <x v="0"/>
    <x v="0"/>
    <x v="1"/>
  </r>
  <r>
    <s v="mu_Coach_Gen1_American_Style_Mail_Coach"/>
    <x v="0"/>
    <x v="0"/>
    <x v="9"/>
    <x v="0"/>
    <s v="NON_EUROPEAN_NO_REGION_NO_REGION_NO_REGION"/>
    <x v="0"/>
    <x v="0"/>
    <x v="1"/>
    <x v="1"/>
    <x v="1"/>
    <x v="1"/>
    <x v="0"/>
    <x v="0"/>
    <x v="1"/>
  </r>
  <r>
    <s v="mu_Coach_Gen3_Steel_Lightweight_Commuter_Coach"/>
    <x v="0"/>
    <x v="0"/>
    <x v="4"/>
    <x v="0"/>
    <s v="NORTH_AMERICA_NO_REGION_NO_REGION_NO_REGION"/>
    <x v="1"/>
    <x v="1"/>
    <x v="1"/>
    <x v="1"/>
    <x v="1"/>
    <x v="1"/>
    <x v="0"/>
    <x v="1"/>
    <x v="1"/>
  </r>
  <r>
    <s v="electric_ALCO_GE_T_Motor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Altoona_Works_DD1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mu_PRR_MP_70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mu_Pullman_Standard_LIRR_MP75"/>
    <x v="0"/>
    <x v="1"/>
    <x v="6"/>
    <x v="0"/>
    <s v="NORTH_AMERICA_NO_REGION_NO_REGION_NO_REGION"/>
    <x v="1"/>
    <x v="1"/>
    <x v="1"/>
    <x v="1"/>
    <x v="1"/>
    <x v="1"/>
    <x v="0"/>
    <x v="1"/>
    <x v="1"/>
  </r>
  <r>
    <s v="singlemtro_ACF_NYCC_Heavyweight"/>
    <x v="0"/>
    <x v="1"/>
    <x v="1"/>
    <x v="0"/>
    <s v="NORTH_AMERICA_NO_REGION_NO_REGION_NO_REGION"/>
    <x v="1"/>
    <x v="1"/>
    <x v="1"/>
    <x v="1"/>
    <x v="1"/>
    <x v="1"/>
    <x v="0"/>
    <x v="1"/>
    <x v="1"/>
  </r>
  <r>
    <s v="mu_Coach_Gen3_Goerlitz_Doppelstockwagen_Articulated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emu_PRR_MP54_3RL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mu_PRR_MP54_OHLE"/>
    <x v="0"/>
    <x v="1"/>
    <x v="1"/>
    <x v="0"/>
    <s v="NORTH_AMERICA_NO_REGION_NO_REGION_NO_REGION"/>
    <x v="1"/>
    <x v="1"/>
    <x v="1"/>
    <x v="1"/>
    <x v="1"/>
    <x v="1"/>
    <x v="0"/>
    <x v="1"/>
    <x v="1"/>
  </r>
  <r>
    <s v="mu_Coach_Gen2_PRR_MP54_Commuter_Coach"/>
    <x v="0"/>
    <x v="0"/>
    <x v="1"/>
    <x v="0"/>
    <s v="NORTH_AMERICA_NO_REGION_NO_REGION_NO_REGION"/>
    <x v="1"/>
    <x v="1"/>
    <x v="1"/>
    <x v="1"/>
    <x v="1"/>
    <x v="1"/>
    <x v="0"/>
    <x v="1"/>
    <x v="1"/>
  </r>
  <r>
    <s v="mu_Coach_Gen2_PRR_MP54_Mail_Coach"/>
    <x v="0"/>
    <x v="0"/>
    <x v="1"/>
    <x v="0"/>
    <s v="NORTH_AMERICA_NO_REGION_NO_REGION_NO_REGION"/>
    <x v="1"/>
    <x v="1"/>
    <x v="1"/>
    <x v="1"/>
    <x v="1"/>
    <x v="1"/>
    <x v="0"/>
    <x v="1"/>
    <x v="1"/>
  </r>
  <r>
    <s v="mu_Coach_Gen3_PRR_P70_Bilevel_Coach"/>
    <x v="0"/>
    <x v="0"/>
    <x v="3"/>
    <x v="0"/>
    <s v="NORTH_AMERICA_NO_REGION_NO_REGION_NO_REGION"/>
    <x v="1"/>
    <x v="1"/>
    <x v="1"/>
    <x v="1"/>
    <x v="1"/>
    <x v="1"/>
    <x v="0"/>
    <x v="1"/>
    <x v="1"/>
  </r>
  <r>
    <s v="diesel_LTZ_TE10M"/>
    <x v="0"/>
    <x v="1"/>
    <x v="5"/>
    <x v="0"/>
    <s v="POST_SOVIET_BALTIC_NO_REGION_NO_REGION_NO_REGION"/>
    <x v="1"/>
    <x v="0"/>
    <x v="1"/>
    <x v="0"/>
    <x v="1"/>
    <x v="0"/>
    <x v="1"/>
    <x v="1"/>
    <x v="1"/>
  </r>
  <r>
    <s v="diesel_LTZ_TE126"/>
    <x v="0"/>
    <x v="1"/>
    <x v="5"/>
    <x v="0"/>
    <s v="COMECON_NO_REGION_NO_REGION_NO_REGION"/>
    <x v="1"/>
    <x v="0"/>
    <x v="1"/>
    <x v="0"/>
    <x v="1"/>
    <x v="1"/>
    <x v="1"/>
    <x v="1"/>
    <x v="1"/>
  </r>
  <r>
    <s v="diesel_LTZ_TE10Ut"/>
    <x v="0"/>
    <x v="1"/>
    <x v="5"/>
    <x v="0"/>
    <s v="COMECON_NO_REGION_NO_REGION_NO_REGION"/>
    <x v="1"/>
    <x v="0"/>
    <x v="1"/>
    <x v="0"/>
    <x v="1"/>
    <x v="1"/>
    <x v="1"/>
    <x v="1"/>
    <x v="1"/>
  </r>
  <r>
    <s v="rbd_Faur_A20DP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mu_Coach_Gen4_Faur_AD20DP_Trailer"/>
    <x v="0"/>
    <x v="0"/>
    <x v="5"/>
    <x v="0"/>
    <s v="EASTERN_EUROPE_NO_REGION_NO_REGION_NO_REGION"/>
    <x v="1"/>
    <x v="1"/>
    <x v="1"/>
    <x v="0"/>
    <x v="1"/>
    <x v="1"/>
    <x v="1"/>
    <x v="1"/>
    <x v="1"/>
  </r>
  <r>
    <s v="diesel_Faur_L45H"/>
    <x v="0"/>
    <x v="1"/>
    <x v="6"/>
    <x v="0"/>
    <s v="COMECON_WESTERN_EUROPE_AFRICA_NO_REGION"/>
    <x v="0"/>
    <x v="0"/>
    <x v="1"/>
    <x v="0"/>
    <x v="0"/>
    <x v="1"/>
    <x v="1"/>
    <x v="1"/>
    <x v="1"/>
  </r>
  <r>
    <s v="mu_Coach_Gen3_Pafawag_3Aw"/>
    <x v="0"/>
    <x v="0"/>
    <x v="4"/>
    <x v="0"/>
    <s v="COMECON_NO_REGION_NO_REGION_NO_REGION"/>
    <x v="1"/>
    <x v="0"/>
    <x v="1"/>
    <x v="0"/>
    <x v="1"/>
    <x v="1"/>
    <x v="1"/>
    <x v="1"/>
    <x v="1"/>
  </r>
  <r>
    <s v="diesel_KMZ_TU7_TGM40"/>
    <x v="0"/>
    <x v="1"/>
    <x v="6"/>
    <x v="0"/>
    <s v="ALL_EUROPE_ASIA_NO_REGION_NO_REGION"/>
    <x v="1"/>
    <x v="0"/>
    <x v="0"/>
    <x v="0"/>
    <x v="0"/>
    <x v="0"/>
    <x v="1"/>
    <x v="1"/>
    <x v="1"/>
  </r>
  <r>
    <s v="electric_Alsthom_CC_7100"/>
    <x v="0"/>
    <x v="1"/>
    <x v="4"/>
    <x v="0"/>
    <s v="WESTERN_EUROPE_AFRICA_SOUTHERN_EUROPE_NO_REGION"/>
    <x v="0"/>
    <x v="1"/>
    <x v="0"/>
    <x v="1"/>
    <x v="0"/>
    <x v="1"/>
    <x v="1"/>
    <x v="1"/>
    <x v="1"/>
  </r>
  <r>
    <s v="electric_Alsthom_F_Series"/>
    <x v="0"/>
    <x v="1"/>
    <x v="4"/>
    <x v="0"/>
    <s v="EASTERN_EUROPE_ASIA_NO_REGION_NO_REGION"/>
    <x v="1"/>
    <x v="0"/>
    <x v="1"/>
    <x v="0"/>
    <x v="1"/>
    <x v="1"/>
    <x v="1"/>
    <x v="1"/>
    <x v="1"/>
  </r>
  <r>
    <s v="electric_Siemens_Vectron_MS"/>
    <x v="0"/>
    <x v="1"/>
    <x v="0"/>
    <x v="0"/>
    <s v="ALL_EUROPE_NO_REGION_NO_REGION_NO_REGION"/>
    <x v="1"/>
    <x v="1"/>
    <x v="0"/>
    <x v="0"/>
    <x v="0"/>
    <x v="0"/>
    <x v="1"/>
    <x v="1"/>
    <x v="1"/>
  </r>
  <r>
    <s v="diesel_Siemens_Vectron_DE"/>
    <x v="0"/>
    <x v="1"/>
    <x v="0"/>
    <x v="0"/>
    <s v="ALL_EUROPE_NO_REGION_NO_REGION_NO_REGION"/>
    <x v="1"/>
    <x v="1"/>
    <x v="0"/>
    <x v="0"/>
    <x v="0"/>
    <x v="0"/>
    <x v="1"/>
    <x v="1"/>
    <x v="1"/>
  </r>
  <r>
    <s v="electric_Siemens_Vectron_Dual_Mode"/>
    <x v="0"/>
    <x v="1"/>
    <x v="10"/>
    <x v="0"/>
    <s v="WESTERN_EUROPE_NO_REGION_NO_REGION_NO_REGION"/>
    <x v="1"/>
    <x v="1"/>
    <x v="1"/>
    <x v="1"/>
    <x v="0"/>
    <x v="1"/>
    <x v="1"/>
    <x v="1"/>
    <x v="1"/>
  </r>
  <r>
    <s v="steam_Tours_Chapelon_2_12_0_160A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iesel_LTZ_TE166"/>
    <x v="0"/>
    <x v="1"/>
    <x v="6"/>
    <x v="0"/>
    <s v="COMECON_NO_REGION_NO_REGION_NO_REGION"/>
    <x v="1"/>
    <x v="0"/>
    <x v="1"/>
    <x v="0"/>
    <x v="1"/>
    <x v="1"/>
    <x v="1"/>
    <x v="1"/>
    <x v="1"/>
  </r>
  <r>
    <s v="rbd_Ganz_MAVAG_SN61"/>
    <x v="0"/>
    <x v="1"/>
    <x v="6"/>
    <x v="0"/>
    <s v="EASTERN_EUROPE_NO_REGION_NO_REGION_NO_REGION"/>
    <x v="1"/>
    <x v="1"/>
    <x v="1"/>
    <x v="0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3"/>
    <x v="3"/>
    <x v="14"/>
    <x v="1"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6" hier="-1"/>
  </pageFields>
  <dataFields count="1">
    <dataField name="Count of VEHIDCODE" fld="0" subtotal="count" baseField="0" baseItem="0"/>
  </dataFields>
  <formats count="3">
    <format dxfId="147">
      <pivotArea field="3" type="button" dataOnly="0" labelOnly="1" outline="0" axis="axisCol" fieldPosition="0"/>
    </format>
    <format dxfId="146">
      <pivotArea field="6" type="button" dataOnly="0" labelOnly="1" outline="0" axis="axisPage" fieldPosition="2"/>
    </format>
    <format dxfId="14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item="1" hier="-1"/>
  </pageFields>
  <dataFields count="1">
    <dataField name="Count of VEHIDCODE" fld="0" subtotal="count" baseField="0" baseItem="0"/>
  </dataFields>
  <formats count="3">
    <format dxfId="144">
      <pivotArea field="3" type="button" dataOnly="0" labelOnly="1" outline="0" axis="axisCol" fieldPosition="0"/>
    </format>
    <format dxfId="143">
      <pivotArea field="6" type="button" dataOnly="0" labelOnly="1" outline="0"/>
    </format>
    <format dxfId="14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21"/>
        <item m="1" x="33"/>
        <item m="1" x="36"/>
        <item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hier="-1"/>
  </pageFields>
  <dataFields count="1">
    <dataField name="Count of VEHIDCODE" fld="0" subtotal="count" baseField="0" baseItem="0"/>
  </dataFields>
  <formats count="3">
    <format dxfId="141">
      <pivotArea field="3" type="button" dataOnly="0" labelOnly="1" outline="0" axis="axisCol" fieldPosition="0"/>
    </format>
    <format dxfId="140">
      <pivotArea field="13" type="button" dataOnly="0" labelOnly="1" outline="0" axis="axisPage" fieldPosition="2"/>
    </format>
    <format dxfId="13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n="Freight" m="1" x="27"/>
        <item n="Freight2"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7" hier="-1"/>
    <pageField fld="2" item="0" hier="-1"/>
  </pageFields>
  <dataFields count="1">
    <dataField name="Count of VEHIDCODE" fld="0" subtotal="count" baseField="0" baseItem="0"/>
  </dataFields>
  <formats count="3">
    <format dxfId="138">
      <pivotArea field="3" type="button" dataOnly="0" labelOnly="1" outline="0" axis="axisCol" fieldPosition="0"/>
    </format>
    <format dxfId="137">
      <pivotArea field="7" type="button" dataOnly="0" labelOnly="1" outline="0" axis="axisPage" fieldPosition="1"/>
    </format>
    <format dxfId="136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hier="-1"/>
  </pageFields>
  <dataFields count="1">
    <dataField name="Count of VEHIDCODE" fld="0" subtotal="count" baseField="0" baseItem="0"/>
  </dataFields>
  <formats count="3">
    <format dxfId="135">
      <pivotArea field="3" type="button" dataOnly="0" labelOnly="1" outline="0" axis="axisCol" fieldPosition="0"/>
    </format>
    <format dxfId="134">
      <pivotArea field="14" type="button" dataOnly="0" labelOnly="1" outline="0" axis="axisPage" fieldPosition="2"/>
    </format>
    <format dxfId="133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n="Freight" m="1" x="27"/>
        <item n="Freight2"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32">
      <pivotArea field="3" type="button" dataOnly="0" labelOnly="1" outline="0" axis="axisCol" fieldPosition="0"/>
    </format>
    <format dxfId="131">
      <pivotArea field="10" type="button" dataOnly="0" labelOnly="1" outline="0" axis="axisPage" fieldPosition="2"/>
    </format>
    <format dxfId="13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n="Freight" m="1" x="27"/>
        <item n="Freight2"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item="1" hier="-1"/>
  </pageFields>
  <dataFields count="1">
    <dataField name="Count of VEHIDCODE" fld="0" subtotal="count" baseField="0" baseItem="0"/>
  </dataFields>
  <formats count="3">
    <format dxfId="129">
      <pivotArea field="3" type="button" dataOnly="0" labelOnly="1" outline="0" axis="axisCol" fieldPosition="0"/>
    </format>
    <format dxfId="128">
      <pivotArea field="10" type="button" dataOnly="0" labelOnly="1" outline="0"/>
    </format>
    <format dxfId="127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9" hier="-1"/>
  </pageFields>
  <dataFields count="1">
    <dataField name="Count of VEHIDCODE" fld="0" subtotal="count" baseField="0" baseItem="0"/>
  </dataFields>
  <formats count="3">
    <format dxfId="126">
      <pivotArea field="3" type="button" dataOnly="0" labelOnly="1" outline="0" axis="axisCol" fieldPosition="0"/>
    </format>
    <format dxfId="125">
      <pivotArea field="9" type="button" dataOnly="0" labelOnly="1" outline="0" axis="axisPage" fieldPosition="2"/>
    </format>
    <format dxfId="12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23">
      <pivotArea field="3" type="button" dataOnly="0" labelOnly="1" outline="0" axis="axisCol" fieldPosition="0"/>
    </format>
    <format dxfId="122">
      <pivotArea field="8" type="button" dataOnly="0" labelOnly="1" outline="0" axis="axisPage" fieldPosition="2"/>
    </format>
    <format dxfId="12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51" totalsRowShown="0" headerRowDxfId="229">
  <autoFilter ref="A1:R1051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28">
      <calculatedColumnFormula>_xlfn.TEXTAFTER(CONTROL[[#This Row],[VEHIDCODE]],"_")</calculatedColumnFormula>
    </tableColumn>
    <tableColumn id="3" xr3:uid="{58AEBD72-A51F-449B-AF75-94BF72F5E83B}" name="SAVE_TO" dataDxfId="227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26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25"/>
    <tableColumn id="17" xr3:uid="{52550B53-5A6E-4D0B-A358-FCA22B56CC77}" name="WEB"/>
    <tableColumn id="15" xr3:uid="{C9DBDDFF-A526-4383-A426-8408C4B17785}" name="IS_POWERED_UNPOWERED_SUNDRY" dataDxfId="224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23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22">
      <calculatedColumnFormula>ISNUMBER(_xlfn.XMATCH(CONTROL[[#This Row],[VEHIDCODE]],TRACK_TYPES[VEHIDCODE],0))</calculatedColumnFormula>
    </tableColumn>
    <tableColumn id="14" xr3:uid="{222C2DB1-CA5D-4369-995A-6A316AC5C947}" name="PROPERTIES" dataDxfId="221">
      <calculatedColumnFormula>ISNUMBER(_xlfn.XMATCH(CONTROL[[#This Row],[VEHIDCODE]],PROPERTIES[VEHIDCODE],0))</calculatedColumnFormula>
    </tableColumn>
    <tableColumn id="11" xr3:uid="{B1BAE31E-1DA6-4159-9020-DBAE19ECF7C3}" name="ROSTER" dataDxfId="220">
      <calculatedColumnFormula>ISNUMBER(_xlfn.XLOOKUP(CONTROL[[#This Row],[VEHIDCODE]],roster!A:A,roster!D:D))</calculatedColumnFormula>
    </tableColumn>
    <tableColumn id="10" xr3:uid="{7783F713-60B4-45CF-AEB3-EE02271B3D6F}" name="GRAPHICS_PROPERTIES" dataDxfId="219">
      <calculatedColumnFormula>ISNUMBER(_xlfn.XMATCH(CONTROL[[#This Row],[VEHIDCODE]],GRAPHICS_PROPERTIES[VEHIDCODE],0))</calculatedColumnFormula>
    </tableColumn>
    <tableColumn id="9" xr3:uid="{7B229E25-CF6B-4C5F-B4A4-FEC34CB93E9B}" name="ITEM" dataDxfId="218">
      <calculatedColumnFormula>"item_"&amp;CONTROL[[#This Row],[VEHIDCODE]]</calculatedColumnFormula>
    </tableColumn>
    <tableColumn id="8" xr3:uid="{327E5CDA-51AE-4721-ACBD-5E8C3D890998}" name="NAME" dataDxfId="217">
      <calculatedColumnFormula>"str_"&amp;CONTROL[[#This Row],[VEHIDCODE]]</calculatedColumnFormula>
    </tableColumn>
    <tableColumn id="20" xr3:uid="{88FD7161-B830-4249-99C6-ED97733BD3B5}" name="CONCEPT_READONLY" dataDxfId="216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15">
      <calculatedColumnFormula>_xlfn.XLOOKUP(CONTROL[[#This Row],[VEHIDCODE]],PROPERTIES[VEHIDCODE],PROPERTIES[EXCLUDE])</calculatedColumnFormula>
    </tableColumn>
    <tableColumn id="13" xr3:uid="{586C832A-56E8-4A49-9E08-FE14BF1C7E56}" name="TPL_READONLY" dataDxfId="214">
      <calculatedColumnFormula array="1">_xlfn.XLOOKUP(CONTROL[[#This Row],[VEHIDCODE]],GRAPHICS_PROPERTIES[VEHIDCODE],GRAPHICS_PROPERTIES[TEMPLATE_ID]&amp;GRAPHICS_PROPERTIES[TEMPLATE_AMENDMENT_CODE])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U1051" totalsRowShown="0" headerRowDxfId="213">
  <autoFilter ref="A1:AU1051" xr:uid="{B4AC46B4-8F52-465B-9AAB-A8A862C6E256}"/>
  <tableColumns count="47">
    <tableColumn id="1" xr3:uid="{173D09BF-30BA-4FF2-B4FE-F09962415DA2}" name="VEHIDCODE" dataDxfId="212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11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10">
      <calculatedColumnFormula>_xlfn.XLOOKUP(PROPERTIES[[#This Row],[VEHIDCODE]],CONTROL[VEHIDCODE],CONTROL[ENGLISH])</calculatedColumnFormula>
    </tableColumn>
    <tableColumn id="17" xr3:uid="{17B46224-9CA1-4559-B300-6B5EA9CC33A4}" name="COUNTRY" dataDxfId="209"/>
    <tableColumn id="19" xr3:uid="{FD65B400-35DE-464D-97AA-B59BB7DAE7DB}" name="COUNTRY_CODE" dataDxfId="208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07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_P1_HEAD"/>
    <tableColumn id="44" xr3:uid="{2C7FC04F-32C8-4D7F-B206-C625E26D8B05}" name="LENGTH_P2"/>
    <tableColumn id="31" xr3:uid="{26514010-6CAE-4146-9174-85EE3D7D1091}" name="LOADINGSPEED" dataDxfId="206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0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04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03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202"/>
    <tableColumn id="24" xr3:uid="{FFD5C22B-7B16-440D-91CC-48C8761050DA}" name="TE_COEFFICIENT_CALC" dataDxfId="201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00"/>
    <tableColumn id="14" xr3:uid="{123AAB87-6D4C-406A-A5E1-A61DC2DDFFEE}" name="TE_COEFFICIENT" dataDxfId="199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98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197"/>
    <tableColumn id="15" xr3:uid="{3558C882-A912-4F84-BDE6-BC0A2A676C4B}" name="LENGTH_P3_WAGON" dataDxfId="196"/>
    <tableColumn id="30" xr3:uid="{235283C1-F061-434B-8C4A-AD474FB16FE8}" name="REGION1" dataDxfId="195"/>
    <tableColumn id="29" xr3:uid="{19EC58E3-4FB9-44BC-BFFA-4C7DCCC53DA8}" name="REGION2" dataDxfId="194"/>
    <tableColumn id="35" xr3:uid="{BABD5FE4-A781-4494-9E58-0659380B54F2}" name="REGION3"/>
    <tableColumn id="34" xr3:uid="{E252F46B-9ACE-4CDD-B00A-279ACE2DE71D}" name="REGION4" dataDxfId="193"/>
    <tableColumn id="27" xr3:uid="{C00DC499-0060-4E48-A71D-AE565097985F}" name="IS_CONCEPT" dataDxfId="192"/>
    <tableColumn id="56" xr3:uid="{188F57E8-1157-47DF-9E8F-B5F737649F6C}" name="PURCHASECOST_VALUE" dataDxfId="191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90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89">
      <calculatedColumnFormula>SUBSTITUTE(SUBSTITUTE(PROPERTIES[[#This Row],[PURCHASECOST_VALUE]], "PURCHASECOST_", ""), "_VALUE", "")</calculatedColumnFormula>
    </tableColumn>
    <tableColumn id="26" xr3:uid="{E8E6C35F-41A6-42EF-BEB4-1004725D20B5}" name="POWER_SPECIAL" dataDxfId="188"/>
    <tableColumn id="37" xr3:uid="{4EA59FD5-0929-4D90-895D-440F7C1044AF}" name="HAS_CAB" dataDxfId="187"/>
    <tableColumn id="36" xr3:uid="{BAA724AA-BB03-4B6D-BE56-C2836EC6A7DF}" name="IS_TILT" dataDxfId="186"/>
    <tableColumn id="2" xr3:uid="{D95C6E98-71C9-4E8E-9221-49A3007D3EF7}" name="LOADING_STATE_COUNT" dataDxfId="185"/>
    <tableColumn id="46" xr3:uid="{CE04F357-ED23-4036-951B-48AD8AE62721}" name="HAS_DRIVING_STATE" dataDxfId="184"/>
    <tableColumn id="9" xr3:uid="{19FCF859-005A-4696-BB66-C378C763CAEF}" name="EXCLUDE" dataDxfId="183"/>
    <tableColumn id="25" xr3:uid="{967B6F30-4C08-47D0-A4C1-79DC433D9519}" name="TPL_READONLY" dataDxfId="0">
      <calculatedColumnFormula array="1">_xlfn.XLOOKUP(PROPERTIES[[#This Row],[VEHIDCODE]],GRAPHICS_PROPERTIES[VEHIDCODE],GRAPHICS_PROPERTIES[TEMPLATE_ID]&amp;GRAPHICS_PROPERTIES[TEMPLATE_AMENDMENT_CODE])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51" totalsRowShown="0" headerRowDxfId="182">
  <autoFilter ref="A1:AH1051" xr:uid="{6DCCB998-B5D1-4B0D-8701-BC0E171A94CA}"/>
  <tableColumns count="34">
    <tableColumn id="1" xr3:uid="{CDEAF13A-A986-4600-A992-A08C1CA6142C}" name="VEHIDCODE" dataDxfId="181"/>
    <tableColumn id="6" xr3:uid="{80742CDB-5E6B-4140-B4FD-5D968A6B8D5E}" name="ENGLISH_READONLY" dataDxfId="180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79"/>
    <tableColumn id="54" xr3:uid="{5D83FD10-ABCB-4FE7-A7DB-4A857A58D719}" name="TRACK_TYPE_STANDARD_GAUGE_RAILTYPE_25KV" dataDxfId="178"/>
    <tableColumn id="53" xr3:uid="{56183170-0B7F-45FB-91B4-356C62C246AD}" name="TRACK_TYPE_STANDARD_GAUGE_RAILTYPE_15KV" dataDxfId="177"/>
    <tableColumn id="52" xr3:uid="{5B71BE07-0EB9-4DEB-A8E8-252C9D979AC2}" name="TRACK_TYPE_STANDARD_GAUGE_RAILTYPE_3KV" dataDxfId="176"/>
    <tableColumn id="51" xr3:uid="{5A6435EB-111E-4AED-A8E1-AEFF82C34393}" name="TRACK_TYPE_STANDARD_GAUGE_RAILTYPE_1500V" dataDxfId="175"/>
    <tableColumn id="50" xr3:uid="{14CA70EA-0EE7-44BA-9D77-FC902C0596DD}" name="TRACK_TYPE_STANDARD_GAUGE_RAILTYPE_3RD" dataDxfId="174"/>
    <tableColumn id="49" xr3:uid="{3A15447A-9663-43FB-8EFF-8F8034548FB0}" name="TRACK_TYPE_STANDARD_GAUGE_RAILTYPE_4TH" dataDxfId="173"/>
    <tableColumn id="47" xr3:uid="{FE3223C6-E685-4456-91E9-10AEB3B699E7}" name="TRACK_TYPE_STANDARD_GAUGE_RAILTYPE_NONE" dataDxfId="172"/>
    <tableColumn id="46" xr3:uid="{D39969E8-C0CA-4A59-A556-D29019991069}" name="TRACK_TYPE_NARROW_GAUGE_RAILTYPE_OHLE" dataDxfId="171"/>
    <tableColumn id="45" xr3:uid="{5266A9E9-D840-4460-AB81-A081897372F3}" name="TRACK_TYPE_NARROW_GAUGE_RAILTYPE_25KV" dataDxfId="170"/>
    <tableColumn id="44" xr3:uid="{7B4C44D1-C745-4291-86A0-777579742A84}" name="TRACK_TYPE_NARROW_GAUGE_RAILTYPE_15KV" dataDxfId="169"/>
    <tableColumn id="43" xr3:uid="{8736D285-A163-4DBE-84E1-870118B47F14}" name="TRACK_TYPE_NARROW_GAUGE_RAILTYPE_3KV" dataDxfId="168"/>
    <tableColumn id="42" xr3:uid="{6FBBA2FB-4743-4072-B4E0-C42BBDA1CC47}" name="TRACK_TYPE_NARROW_GAUGE_RAILTYPE_1500V" dataDxfId="167"/>
    <tableColumn id="41" xr3:uid="{D3ED2E70-19BF-4D92-A76B-0F0F03D31947}" name="TRACK_TYPE_NARROW_GAUGE_RAILTYPE_3RD" dataDxfId="166"/>
    <tableColumn id="40" xr3:uid="{F38AE7AF-B798-40A5-992A-13685296E710}" name="TRACK_TYPE_NARROW_GAUGE_RAILTYPE_4TH" dataDxfId="165"/>
    <tableColumn id="38" xr3:uid="{97037A15-9172-4057-863E-582804353817}" name="TRACK_TYPE_NARROW_GAUGE_RAILTYPE_NONE" dataDxfId="164"/>
    <tableColumn id="37" xr3:uid="{24999D59-5A4F-4A21-B8B4-EBDBF9F8BF1E}" name="TRACK_TYPE_BROAD_GAUGE_RAILTYPE_OHLE" dataDxfId="163"/>
    <tableColumn id="36" xr3:uid="{31AB3927-D18B-49AD-8EF5-C7E9FF4CEDF3}" name="TRACK_TYPE_BROAD_GAUGE_RAILTYPE_25KV" dataDxfId="162"/>
    <tableColumn id="35" xr3:uid="{CB3432E7-4DAE-4807-9CE5-4CB1ACECD395}" name="TRACK_TYPE_BROAD_GAUGE_RAILTYPE_15KV" dataDxfId="161"/>
    <tableColumn id="34" xr3:uid="{E3936FE4-2B46-4DC0-84C0-44C7892A0927}" name="TRACK_TYPE_BROAD_GAUGE_RAILTYPE_3KV" dataDxfId="160"/>
    <tableColumn id="33" xr3:uid="{A5FAA105-CF81-4A75-8967-5721104454E8}" name="TRACK_TYPE_BROAD_GAUGE_RAILTYPE_1500V" dataDxfId="159"/>
    <tableColumn id="32" xr3:uid="{439CDFDE-6BFC-446C-87CF-28C8FF65FCE0}" name="TRACK_TYPE_BROAD_GAUGE_RAILTYPE_3RD" dataDxfId="158"/>
    <tableColumn id="31" xr3:uid="{219AB5E3-CDFF-41B3-BD58-F7427606D15F}" name="TRACK_TYPE_BROAD_GAUGE_RAILTYPE_4TH" dataDxfId="157"/>
    <tableColumn id="29" xr3:uid="{32C384AB-18DB-4161-B29B-A363A2547BB2}" name="TRACK_TYPE_BROAD_GAUGE_RAILTYPE_NONE" dataDxfId="156"/>
    <tableColumn id="26" xr3:uid="{1CFC6F26-22A8-42EE-972B-0F7ED6623B5A}" name="TRACK_TYPE_MONO" dataDxfId="155"/>
    <tableColumn id="25" xr3:uid="{62939270-15C1-494E-9C53-6EA9E8209C3B}" name="TRACK_TYPE_MGLV" dataDxfId="154"/>
    <tableColumn id="24" xr3:uid="{9DA86EDA-F2AB-4C2D-918E-5260313FD8B3}" name="TRACK_TYPE_MTRO" dataDxfId="153"/>
    <tableColumn id="21" xr3:uid="{E6F11214-E912-4D1C-980D-A111C93B0BED}" name="CHECK_ANY_TT" dataDxfId="152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51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50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49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8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E1244" totalsRowShown="0" headerRowDxfId="231">
  <autoFilter ref="A1:E1244" xr:uid="{6DCCB998-B5D1-4B0D-8701-BC0E171A94CA}"/>
  <tableColumns count="5">
    <tableColumn id="1" xr3:uid="{0B6094CF-6CA6-410A-A041-C85FACC0820E}" name="VEHIDCODE"/>
    <tableColumn id="2" xr3:uid="{D5F692EC-BD97-49EB-B5E2-A1AC97685811}" name="VISUAL_EFFECT_2" dataDxfId="230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20" headerRowBorderDxfId="119" tableBorderDxfId="11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7" headerRowBorderDxfId="116" tableBorderDxfId="11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14" dataDxfId="11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12"/>
    <tableColumn id="2" xr3:uid="{CCC9A744-4F42-4023-A516-9395213016EB}" name="COUNTRY_DESCRIPTION" dataDxfId="111"/>
    <tableColumn id="3" xr3:uid="{01E32DA0-BF93-49AA-BE03-33EF914A0BCC}" name="COUNTS" dataDxfId="110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8" headerRowBorderDxfId="109" tableBorderDxfId="107" totalsRowBorderDxfId="106">
  <autoFilter ref="K1:K24" xr:uid="{686D0694-AFBC-4B91-A3D3-72E1CCF00B7D}"/>
  <tableColumns count="1">
    <tableColumn id="1" xr3:uid="{7F0999BD-E0C9-463F-A054-2DA49D41A9EE}" name="VEHID_ID_CATEGORY" dataDxfId="10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7" totalsRowShown="0" headerRowDxfId="104">
  <autoFilter ref="Q1:Q27" xr:uid="{0F1B9135-58AA-44F7-B562-C3350CC41E59}"/>
  <sortState xmlns:xlrd2="http://schemas.microsoft.com/office/spreadsheetml/2017/richdata2" ref="Q2:Q27">
    <sortCondition ref="Q1:Q27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3:E24">
    <sortCondition ref="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03"/>
    <tableColumn id="4" xr3:uid="{3DDC8685-BA3D-40E8-A910-1E59013A762D}" name="Range End" dataDxfId="102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51"/>
  <sheetViews>
    <sheetView zoomScaleNormal="100" workbookViewId="0">
      <pane xSplit="1" ySplit="1" topLeftCell="B158" activePane="bottomRight" state="frozen"/>
      <selection pane="topRight" activeCell="B1" sqref="B1"/>
      <selection pane="bottomLeft" activeCell="A2" sqref="A2"/>
      <selection pane="bottomRight" activeCell="G184" sqref="G184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2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8" ht="43.5" x14ac:dyDescent="0.35">
      <c r="A1" s="1" t="s">
        <v>0</v>
      </c>
      <c r="B1" s="4" t="s">
        <v>228</v>
      </c>
      <c r="C1" s="4" t="s">
        <v>49</v>
      </c>
      <c r="D1" s="4" t="s">
        <v>293</v>
      </c>
      <c r="E1" s="4" t="s">
        <v>249</v>
      </c>
      <c r="F1" s="31" t="s">
        <v>1213</v>
      </c>
      <c r="G1" s="3" t="s">
        <v>1056</v>
      </c>
      <c r="H1" s="4" t="s">
        <v>353</v>
      </c>
      <c r="I1" s="4" t="s">
        <v>246</v>
      </c>
      <c r="J1" s="4" t="s">
        <v>350</v>
      </c>
      <c r="K1" s="4" t="s">
        <v>352</v>
      </c>
      <c r="L1" s="4" t="s">
        <v>1701</v>
      </c>
      <c r="M1" s="4" t="s">
        <v>351</v>
      </c>
      <c r="N1" s="4" t="s">
        <v>50</v>
      </c>
      <c r="O1" s="4" t="s">
        <v>51</v>
      </c>
      <c r="P1" s="4" t="s">
        <v>2576</v>
      </c>
      <c r="Q1" s="4" t="s">
        <v>1890</v>
      </c>
      <c r="R1" s="3" t="s">
        <v>3698</v>
      </c>
    </row>
    <row r="2" spans="1:18" x14ac:dyDescent="0.35">
      <c r="A2" s="2" t="s">
        <v>71</v>
      </c>
      <c r="B2" s="21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2" t="s">
        <v>354</v>
      </c>
      <c r="G2" t="s">
        <v>523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1" t="str">
        <f>"item_"&amp;CONTROL[[#This Row],[VEHIDCODE]]</f>
        <v>item_mglv_Maglev_Wagon_Powered</v>
      </c>
      <c r="O2" s="21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  <c r="R2" t="str" cm="1">
        <f t="array" ref="R2">_xlfn.XLOOKUP(CONTROL[[#This Row],[VEHIDCODE]],GRAPHICS_PROPERTIES[VEHIDCODE],GRAPHICS_PROPERTIES[TEMPLATE_ID]&amp;GRAPHICS_PROPERTIES[TEMPLATE_AMENDMENT_CODE])</f>
        <v>TPL_01F</v>
      </c>
    </row>
    <row r="3" spans="1:18" x14ac:dyDescent="0.35">
      <c r="A3" s="2" t="s">
        <v>72</v>
      </c>
      <c r="B3" s="21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2" t="s">
        <v>354</v>
      </c>
      <c r="G3" t="s">
        <v>523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1" t="str">
        <f>"item_"&amp;CONTROL[[#This Row],[VEHIDCODE]]</f>
        <v>item_mglv_Maglev_Wagon_Unpowered</v>
      </c>
      <c r="O3" s="21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  <c r="R3" t="str" cm="1">
        <f t="array" ref="R3">_xlfn.XLOOKUP(CONTROL[[#This Row],[VEHIDCODE]],GRAPHICS_PROPERTIES[VEHIDCODE],GRAPHICS_PROPERTIES[TEMPLATE_ID]&amp;GRAPHICS_PROPERTIES[TEMPLATE_AMENDMENT_CODE])</f>
        <v>TPL_01F</v>
      </c>
    </row>
    <row r="4" spans="1:18" x14ac:dyDescent="0.35">
      <c r="A4" s="2" t="s">
        <v>2649</v>
      </c>
      <c r="B4" s="21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2" t="s">
        <v>2052</v>
      </c>
      <c r="G4" t="s">
        <v>1040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1" t="str">
        <f>"item_"&amp;CONTROL[[#This Row],[VEHIDCODE]]</f>
        <v>item_rbs_Komarek_NOLB_1</v>
      </c>
      <c r="O4" s="21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  <c r="R4" t="str" cm="1">
        <f t="array" ref="R4">_xlfn.XLOOKUP(CONTROL[[#This Row],[VEHIDCODE]],GRAPHICS_PROPERTIES[VEHIDCODE],GRAPHICS_PROPERTIES[TEMPLATE_ID]&amp;GRAPHICS_PROPERTIES[TEMPLATE_AMENDMENT_CODE])</f>
        <v>TPL_01B</v>
      </c>
    </row>
    <row r="5" spans="1:18" x14ac:dyDescent="0.35">
      <c r="A5" s="2" t="s">
        <v>2650</v>
      </c>
      <c r="B5" s="21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2" t="s">
        <v>2053</v>
      </c>
      <c r="G5" t="s">
        <v>1041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1" t="str">
        <f>"item_"&amp;CONTROL[[#This Row],[VEHIDCODE]]</f>
        <v>item_rbs_Kerr__Stuart___Co__86</v>
      </c>
      <c r="O5" s="21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  <c r="R5" t="str" cm="1">
        <f t="array" ref="R5">_xlfn.XLOOKUP(CONTROL[[#This Row],[VEHIDCODE]],GRAPHICS_PROPERTIES[VEHIDCODE],GRAPHICS_PROPERTIES[TEMPLATE_ID]&amp;GRAPHICS_PROPERTIES[TEMPLATE_AMENDMENT_CODE])</f>
        <v>TPL_03C</v>
      </c>
    </row>
    <row r="6" spans="1:18" x14ac:dyDescent="0.35">
      <c r="A6" s="2" t="s">
        <v>2651</v>
      </c>
      <c r="B6" s="21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2" t="s">
        <v>355</v>
      </c>
      <c r="G6" t="s">
        <v>1042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1" t="str">
        <f>"item_"&amp;CONTROL[[#This Row],[VEHIDCODE]]</f>
        <v>item_rbs_Victorian_Railways_Rowan_Railmotor</v>
      </c>
      <c r="O6" s="21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  <c r="R6" t="str" cm="1">
        <f t="array" ref="R6">_xlfn.XLOOKUP(CONTROL[[#This Row],[VEHIDCODE]],GRAPHICS_PROPERTIES[VEHIDCODE],GRAPHICS_PROPERTIES[TEMPLATE_ID]&amp;GRAPHICS_PROPERTIES[TEMPLATE_AMENDMENT_CODE])</f>
        <v>TPL_03C</v>
      </c>
    </row>
    <row r="7" spans="1:18" x14ac:dyDescent="0.35">
      <c r="A7" s="2" t="s">
        <v>2652</v>
      </c>
      <c r="B7" s="21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2" t="s">
        <v>2054</v>
      </c>
      <c r="G7" t="s">
        <v>1043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1" t="str">
        <f>"item_"&amp;CONTROL[[#This Row],[VEHIDCODE]]</f>
        <v>item_rbs_Esslingen_Czm_1_2</v>
      </c>
      <c r="O7" s="21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  <c r="R7" t="str" cm="1">
        <f t="array" ref="R7">_xlfn.XLOOKUP(CONTROL[[#This Row],[VEHIDCODE]],GRAPHICS_PROPERTIES[VEHIDCODE],GRAPHICS_PROPERTIES[TEMPLATE_ID]&amp;GRAPHICS_PROPERTIES[TEMPLATE_AMENDMENT_CODE])</f>
        <v>TPL_03C</v>
      </c>
    </row>
    <row r="8" spans="1:18" x14ac:dyDescent="0.35">
      <c r="A8" s="2" t="s">
        <v>2653</v>
      </c>
      <c r="B8" s="21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2" t="s">
        <v>2055</v>
      </c>
      <c r="G8" t="s">
        <v>1045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1" t="str">
        <f>"item_"&amp;CONTROL[[#This Row],[VEHIDCODE]]</f>
        <v>item_rbs_Maffei_MCCi</v>
      </c>
      <c r="O8" s="21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  <c r="R8" t="str" cm="1">
        <f t="array" ref="R8">_xlfn.XLOOKUP(CONTROL[[#This Row],[VEHIDCODE]],GRAPHICS_PROPERTIES[VEHIDCODE],GRAPHICS_PROPERTIES[TEMPLATE_ID]&amp;GRAPHICS_PROPERTIES[TEMPLATE_AMENDMENT_CODE])</f>
        <v>TPL_01B</v>
      </c>
    </row>
    <row r="9" spans="1:18" x14ac:dyDescent="0.35">
      <c r="A9" s="2" t="s">
        <v>2654</v>
      </c>
      <c r="B9" s="21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2" t="s">
        <v>3679</v>
      </c>
      <c r="G9" t="s">
        <v>1044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1" t="str">
        <f>"item_"&amp;CONTROL[[#This Row],[VEHIDCODE]]</f>
        <v>item_rbs_Kitson___Co_CSAR_Railmotor</v>
      </c>
      <c r="O9" s="21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  <c r="R9" t="str" cm="1">
        <f t="array" ref="R9">_xlfn.XLOOKUP(CONTROL[[#This Row],[VEHIDCODE]],GRAPHICS_PROPERTIES[VEHIDCODE],GRAPHICS_PROPERTIES[TEMPLATE_ID]&amp;GRAPHICS_PROPERTIES[TEMPLATE_AMENDMENT_CODE])</f>
        <v>TPL_32B</v>
      </c>
    </row>
    <row r="10" spans="1:18" x14ac:dyDescent="0.35">
      <c r="A10" s="2" t="s">
        <v>2655</v>
      </c>
      <c r="B10" s="21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2" t="s">
        <v>3695</v>
      </c>
      <c r="G10" t="s">
        <v>1046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1" t="str">
        <f>"item_"&amp;CONTROL[[#This Row],[VEHIDCODE]]</f>
        <v>item_rbs_Kerr_Stuart_steam_railmotor</v>
      </c>
      <c r="O10" s="21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  <c r="R10" t="str" cm="1">
        <f t="array" ref="R10">_xlfn.XLOOKUP(CONTROL[[#This Row],[VEHIDCODE]],GRAPHICS_PROPERTIES[VEHIDCODE],GRAPHICS_PROPERTIES[TEMPLATE_ID]&amp;GRAPHICS_PROPERTIES[TEMPLATE_AMENDMENT_CODE])</f>
        <v>TPL_03C</v>
      </c>
    </row>
    <row r="11" spans="1:18" x14ac:dyDescent="0.35">
      <c r="A11" s="2" t="s">
        <v>2656</v>
      </c>
      <c r="B11" s="21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2" t="s">
        <v>1704</v>
      </c>
      <c r="G11" t="s">
        <v>1048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1" t="str">
        <f>"item_"&amp;CONTROL[[#This Row],[VEHIDCODE]]</f>
        <v>item_rbs_KkStB_4_0</v>
      </c>
      <c r="O11" s="21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  <c r="R11" t="str" cm="1">
        <f t="array" ref="R11">_xlfn.XLOOKUP(CONTROL[[#This Row],[VEHIDCODE]],GRAPHICS_PROPERTIES[VEHIDCODE],GRAPHICS_PROPERTIES[TEMPLATE_ID]&amp;GRAPHICS_PROPERTIES[TEMPLATE_AMENDMENT_CODE])</f>
        <v>TPL_03C</v>
      </c>
    </row>
    <row r="12" spans="1:18" x14ac:dyDescent="0.35">
      <c r="A12" s="2" t="s">
        <v>2657</v>
      </c>
      <c r="B12" s="21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2" t="s">
        <v>3677</v>
      </c>
      <c r="G12" t="s">
        <v>1047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1" t="str">
        <f>"item_"&amp;CONTROL[[#This Row],[VEHIDCODE]]</f>
        <v>item_rbd_AEC_railmotor_RM1</v>
      </c>
      <c r="O12" s="21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  <c r="R12" t="str" cm="1">
        <f t="array" ref="R12">_xlfn.XLOOKUP(CONTROL[[#This Row],[VEHIDCODE]],GRAPHICS_PROPERTIES[VEHIDCODE],GRAPHICS_PROPERTIES[TEMPLATE_ID]&amp;GRAPHICS_PROPERTIES[TEMPLATE_AMENDMENT_CODE])</f>
        <v>TPL_01B</v>
      </c>
    </row>
    <row r="13" spans="1:18" x14ac:dyDescent="0.35">
      <c r="A13" s="2" t="s">
        <v>2658</v>
      </c>
      <c r="B13" s="21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2" t="s">
        <v>2629</v>
      </c>
      <c r="G13" t="s">
        <v>1049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1" t="str">
        <f>"item_"&amp;CONTROL[[#This Row],[VEHIDCODE]]</f>
        <v>item_rbd_VT133_Wismar_Railcar</v>
      </c>
      <c r="O13" s="21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  <c r="R13" t="str" cm="1">
        <f t="array" ref="R13">_xlfn.XLOOKUP(CONTROL[[#This Row],[VEHIDCODE]],GRAPHICS_PROPERTIES[VEHIDCODE],GRAPHICS_PROPERTIES[TEMPLATE_ID]&amp;GRAPHICS_PROPERTIES[TEMPLATE_AMENDMENT_CODE])</f>
        <v>TPL_01B</v>
      </c>
    </row>
    <row r="14" spans="1:18" x14ac:dyDescent="0.35">
      <c r="A14" s="2" t="s">
        <v>2659</v>
      </c>
      <c r="B14" s="21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2" t="s">
        <v>2056</v>
      </c>
      <c r="G14" t="s">
        <v>1050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1" t="str">
        <f>"item_"&amp;CONTROL[[#This Row],[VEHIDCODE]]</f>
        <v>item_rbd_AEC_Railcar</v>
      </c>
      <c r="O14" s="21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  <c r="R14" t="str" cm="1">
        <f t="array" ref="R14">_xlfn.XLOOKUP(CONTROL[[#This Row],[VEHIDCODE]],GRAPHICS_PROPERTIES[VEHIDCODE],GRAPHICS_PROPERTIES[TEMPLATE_ID]&amp;GRAPHICS_PROPERTIES[TEMPLATE_AMENDMENT_CODE])</f>
        <v>TPL_01B</v>
      </c>
    </row>
    <row r="15" spans="1:18" x14ac:dyDescent="0.35">
      <c r="A15" s="2" t="s">
        <v>2660</v>
      </c>
      <c r="B15" s="21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2" t="s">
        <v>2057</v>
      </c>
      <c r="G15" t="s">
        <v>1051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1" t="str">
        <f>"item_"&amp;CONTROL[[#This Row],[VEHIDCODE]]</f>
        <v>item_rbd_Simmering_VT42</v>
      </c>
      <c r="O15" s="21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  <c r="R15" t="str" cm="1">
        <f t="array" ref="R15">_xlfn.XLOOKUP(CONTROL[[#This Row],[VEHIDCODE]],GRAPHICS_PROPERTIES[VEHIDCODE],GRAPHICS_PROPERTIES[TEMPLATE_ID]&amp;GRAPHICS_PROPERTIES[TEMPLATE_AMENDMENT_CODE])</f>
        <v>TPL_01B</v>
      </c>
    </row>
    <row r="16" spans="1:18" x14ac:dyDescent="0.35">
      <c r="A16" s="2" t="s">
        <v>2661</v>
      </c>
      <c r="B16" s="21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2" t="s">
        <v>2058</v>
      </c>
      <c r="G16" t="s">
        <v>1052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1" t="str">
        <f>"item_"&amp;CONTROL[[#This Row],[VEHIDCODE]]</f>
        <v>item_rbd_Hutt_RM31</v>
      </c>
      <c r="O16" s="21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  <c r="R16" t="str" cm="1">
        <f t="array" ref="R16">_xlfn.XLOOKUP(CONTROL[[#This Row],[VEHIDCODE]],GRAPHICS_PROPERTIES[VEHIDCODE],GRAPHICS_PROPERTIES[TEMPLATE_ID]&amp;GRAPHICS_PROPERTIES[TEMPLATE_AMENDMENT_CODE])</f>
        <v>TPL_01B</v>
      </c>
    </row>
    <row r="17" spans="1:18" x14ac:dyDescent="0.35">
      <c r="A17" s="2" t="s">
        <v>2662</v>
      </c>
      <c r="B17" s="21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2" t="s">
        <v>2059</v>
      </c>
      <c r="G17" t="s">
        <v>1053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1" t="str">
        <f>"item_"&amp;CONTROL[[#This Row],[VEHIDCODE]]</f>
        <v>item_rbd_NOHAB_CP_0100</v>
      </c>
      <c r="O17" s="21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  <c r="R17" t="str" cm="1">
        <f t="array" ref="R17">_xlfn.XLOOKUP(CONTROL[[#This Row],[VEHIDCODE]],GRAPHICS_PROPERTIES[VEHIDCODE],GRAPHICS_PROPERTIES[TEMPLATE_ID]&amp;GRAPHICS_PROPERTIES[TEMPLATE_AMENDMENT_CODE])</f>
        <v>TPL_01B</v>
      </c>
    </row>
    <row r="18" spans="1:18" x14ac:dyDescent="0.35">
      <c r="A18" s="2" t="s">
        <v>2663</v>
      </c>
      <c r="B18" s="21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2" t="s">
        <v>2019</v>
      </c>
      <c r="G18" t="s">
        <v>1054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1" t="str">
        <f>"item_"&amp;CONTROL[[#This Row],[VEHIDCODE]]</f>
        <v>item_rbd_Budd_RDC</v>
      </c>
      <c r="O18" s="21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  <c r="R18" t="str" cm="1">
        <f t="array" ref="R18">_xlfn.XLOOKUP(CONTROL[[#This Row],[VEHIDCODE]],GRAPHICS_PROPERTIES[VEHIDCODE],GRAPHICS_PROPERTIES[TEMPLATE_ID]&amp;GRAPHICS_PROPERTIES[TEMPLATE_AMENDMENT_CODE])</f>
        <v>TPL_01B</v>
      </c>
    </row>
    <row r="19" spans="1:18" x14ac:dyDescent="0.35">
      <c r="A19" s="2" t="s">
        <v>2664</v>
      </c>
      <c r="B19" s="21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2" t="s">
        <v>2060</v>
      </c>
      <c r="G19" t="s">
        <v>1055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1" t="str">
        <f>"item_"&amp;CONTROL[[#This Row],[VEHIDCODE]]</f>
        <v>item_rbd_Uerdingen_railbus</v>
      </c>
      <c r="O19" s="21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  <c r="R19" t="str" cm="1">
        <f t="array" ref="R19">_xlfn.XLOOKUP(CONTROL[[#This Row],[VEHIDCODE]],GRAPHICS_PROPERTIES[VEHIDCODE],GRAPHICS_PROPERTIES[TEMPLATE_ID]&amp;GRAPHICS_PROPERTIES[TEMPLATE_AMENDMENT_CODE])</f>
        <v>TPL_01B</v>
      </c>
    </row>
    <row r="20" spans="1:18" x14ac:dyDescent="0.35">
      <c r="A20" s="2" t="s">
        <v>2665</v>
      </c>
      <c r="B20" s="21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2" t="s">
        <v>2061</v>
      </c>
      <c r="G20" t="s">
        <v>1057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1" t="str">
        <f>"item_"&amp;CONTROL[[#This Row],[VEHIDCODE]]</f>
        <v>item_rbd_MaK_GDT</v>
      </c>
      <c r="O20" s="21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  <c r="R20" t="str" cm="1">
        <f t="array" ref="R20">_xlfn.XLOOKUP(CONTROL[[#This Row],[VEHIDCODE]],GRAPHICS_PROPERTIES[VEHIDCODE],GRAPHICS_PROPERTIES[TEMPLATE_ID]&amp;GRAPHICS_PROPERTIES[TEMPLATE_AMENDMENT_CODE])</f>
        <v>TPL_01B</v>
      </c>
    </row>
    <row r="21" spans="1:18" x14ac:dyDescent="0.35">
      <c r="A21" s="2" t="s">
        <v>2666</v>
      </c>
      <c r="B21" s="21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2" t="s">
        <v>2062</v>
      </c>
      <c r="G21" t="s">
        <v>1058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1" t="str">
        <f>"item_"&amp;CONTROL[[#This Row],[VEHIDCODE]]</f>
        <v>item_rbd_Allan_Kameel</v>
      </c>
      <c r="O21" s="21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  <c r="R21" t="str" cm="1">
        <f t="array" ref="R21">_xlfn.XLOOKUP(CONTROL[[#This Row],[VEHIDCODE]],GRAPHICS_PROPERTIES[VEHIDCODE],GRAPHICS_PROPERTIES[TEMPLATE_ID]&amp;GRAPHICS_PROPERTIES[TEMPLATE_AMENDMENT_CODE])</f>
        <v>TPL_01B</v>
      </c>
    </row>
    <row r="22" spans="1:18" x14ac:dyDescent="0.35">
      <c r="A22" s="2" t="s">
        <v>2667</v>
      </c>
      <c r="B22" s="21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2" t="s">
        <v>356</v>
      </c>
      <c r="G22" t="s">
        <v>1059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1" t="str">
        <f>"item_"&amp;CONTROL[[#This Row],[VEHIDCODE]]</f>
        <v>item_rbd_NS_DH1</v>
      </c>
      <c r="O22" s="21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  <c r="R22" t="str" cm="1">
        <f t="array" ref="R22">_xlfn.XLOOKUP(CONTROL[[#This Row],[VEHIDCODE]],GRAPHICS_PROPERTIES[VEHIDCODE],GRAPHICS_PROPERTIES[TEMPLATE_ID]&amp;GRAPHICS_PROPERTIES[TEMPLATE_AMENDMENT_CODE])</f>
        <v>TPL_01B</v>
      </c>
    </row>
    <row r="23" spans="1:18" x14ac:dyDescent="0.35">
      <c r="A23" s="2" t="s">
        <v>2668</v>
      </c>
      <c r="B23" s="21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2" t="s">
        <v>2063</v>
      </c>
      <c r="G23" t="s">
        <v>1060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1" t="str">
        <f>"item_"&amp;CONTROL[[#This Row],[VEHIDCODE]]</f>
        <v>item_rbd_Jenbacher_Werke_5047</v>
      </c>
      <c r="O23" s="21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  <c r="R23" t="str" cm="1">
        <f t="array" ref="R23">_xlfn.XLOOKUP(CONTROL[[#This Row],[VEHIDCODE]],GRAPHICS_PROPERTIES[VEHIDCODE],GRAPHICS_PROPERTIES[TEMPLATE_ID]&amp;GRAPHICS_PROPERTIES[TEMPLATE_AMENDMENT_CODE])</f>
        <v>TPL_01B</v>
      </c>
    </row>
    <row r="24" spans="1:18" x14ac:dyDescent="0.35">
      <c r="A24" s="2" t="s">
        <v>2669</v>
      </c>
      <c r="B24" s="21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2" t="s">
        <v>2064</v>
      </c>
      <c r="G24" t="s">
        <v>1061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1" t="str">
        <f>"item_"&amp;CONTROL[[#This Row],[VEHIDCODE]]</f>
        <v>item_rbd_Hunslet_Barclay_Super_Sprinter</v>
      </c>
      <c r="O24" s="21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  <c r="R24" t="str" cm="1">
        <f t="array" ref="R24">_xlfn.XLOOKUP(CONTROL[[#This Row],[VEHIDCODE]],GRAPHICS_PROPERTIES[VEHIDCODE],GRAPHICS_PROPERTIES[TEMPLATE_ID]&amp;GRAPHICS_PROPERTIES[TEMPLATE_AMENDMENT_CODE])</f>
        <v>TPL_01B</v>
      </c>
    </row>
    <row r="25" spans="1:18" x14ac:dyDescent="0.35">
      <c r="A25" s="2" t="s">
        <v>2670</v>
      </c>
      <c r="B25" s="21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2" t="s">
        <v>2065</v>
      </c>
      <c r="G25" t="s">
        <v>1062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1" t="str">
        <f>"item_"&amp;CONTROL[[#This Row],[VEHIDCODE]]</f>
        <v>item_rbd_Vagonka_Studenka_809</v>
      </c>
      <c r="O25" s="21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  <c r="R25" t="str" cm="1">
        <f t="array" ref="R25">_xlfn.XLOOKUP(CONTROL[[#This Row],[VEHIDCODE]],GRAPHICS_PROPERTIES[VEHIDCODE],GRAPHICS_PROPERTIES[TEMPLATE_ID]&amp;GRAPHICS_PROPERTIES[TEMPLATE_AMENDMENT_CODE])</f>
        <v>TPL_01B</v>
      </c>
    </row>
    <row r="26" spans="1:18" x14ac:dyDescent="0.35">
      <c r="A26" s="2" t="s">
        <v>2671</v>
      </c>
      <c r="B26" s="21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2" t="s">
        <v>2066</v>
      </c>
      <c r="G26" t="s">
        <v>1063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1" t="str">
        <f>"item_"&amp;CONTROL[[#This Row],[VEHIDCODE]]</f>
        <v>item_rbd_DWA_670</v>
      </c>
      <c r="O26" s="21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  <c r="R26" t="str" cm="1">
        <f t="array" ref="R26">_xlfn.XLOOKUP(CONTROL[[#This Row],[VEHIDCODE]],GRAPHICS_PROPERTIES[VEHIDCODE],GRAPHICS_PROPERTIES[TEMPLATE_ID]&amp;GRAPHICS_PROPERTIES[TEMPLATE_AMENDMENT_CODE])</f>
        <v>TPL_01B</v>
      </c>
    </row>
    <row r="27" spans="1:18" x14ac:dyDescent="0.35">
      <c r="A27" s="2" t="s">
        <v>2672</v>
      </c>
      <c r="B27" s="21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2" t="s">
        <v>2020</v>
      </c>
      <c r="G27" t="s">
        <v>2067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1" t="str">
        <f>"item_"&amp;CONTROL[[#This Row],[VEHIDCODE]]</f>
        <v>item_rbd_RVR_AR2</v>
      </c>
      <c r="O27" s="21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  <c r="R27" t="str" cm="1">
        <f t="array" ref="R27">_xlfn.XLOOKUP(CONTROL[[#This Row],[VEHIDCODE]],GRAPHICS_PROPERTIES[VEHIDCODE],GRAPHICS_PROPERTIES[TEMPLATE_ID]&amp;GRAPHICS_PROPERTIES[TEMPLATE_AMENDMENT_CODE])</f>
        <v>TPL_01B</v>
      </c>
    </row>
    <row r="28" spans="1:18" x14ac:dyDescent="0.35">
      <c r="A28" s="2" t="s">
        <v>2673</v>
      </c>
      <c r="B28" s="21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2" t="s">
        <v>2068</v>
      </c>
      <c r="G28" t="s">
        <v>1064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1" t="str">
        <f>"item_"&amp;CONTROL[[#This Row],[VEHIDCODE]]</f>
        <v>item_rbd_Austro_Daimler_Z1</v>
      </c>
      <c r="O28" s="21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  <c r="R28" t="str" cm="1">
        <f t="array" ref="R28">_xlfn.XLOOKUP(CONTROL[[#This Row],[VEHIDCODE]],GRAPHICS_PROPERTIES[VEHIDCODE],GRAPHICS_PROPERTIES[TEMPLATE_ID]&amp;GRAPHICS_PROPERTIES[TEMPLATE_AMENDMENT_CODE])</f>
        <v>TPL_01B</v>
      </c>
    </row>
    <row r="29" spans="1:18" x14ac:dyDescent="0.35">
      <c r="A29" s="2" t="s">
        <v>2674</v>
      </c>
      <c r="B29" s="21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2" t="s">
        <v>2069</v>
      </c>
      <c r="G29" t="s">
        <v>1065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1" t="str">
        <f>"item_"&amp;CONTROL[[#This Row],[VEHIDCODE]]</f>
        <v>item_rbd_McKeen_Motor_Car_70</v>
      </c>
      <c r="O29" s="21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  <c r="R29" t="str" cm="1">
        <f t="array" ref="R29">_xlfn.XLOOKUP(CONTROL[[#This Row],[VEHIDCODE]],GRAPHICS_PROPERTIES[VEHIDCODE],GRAPHICS_PROPERTIES[TEMPLATE_ID]&amp;GRAPHICS_PROPERTIES[TEMPLATE_AMENDMENT_CODE])</f>
        <v>TPL_01B</v>
      </c>
    </row>
    <row r="30" spans="1:18" x14ac:dyDescent="0.35">
      <c r="A30" s="2" t="s">
        <v>2675</v>
      </c>
      <c r="B30" s="21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2" t="s">
        <v>2070</v>
      </c>
      <c r="G30" t="s">
        <v>1066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1" t="str">
        <f>"item_"&amp;CONTROL[[#This Row],[VEHIDCODE]]</f>
        <v>item_rbd_BBC_DET_1_2_Sachsischer</v>
      </c>
      <c r="O30" s="21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  <c r="R30" t="str" cm="1">
        <f t="array" ref="R30">_xlfn.XLOOKUP(CONTROL[[#This Row],[VEHIDCODE]],GRAPHICS_PROPERTIES[VEHIDCODE],GRAPHICS_PROPERTIES[TEMPLATE_ID]&amp;GRAPHICS_PROPERTIES[TEMPLATE_AMENDMENT_CODE])</f>
        <v>TPL_16A</v>
      </c>
    </row>
    <row r="31" spans="1:18" x14ac:dyDescent="0.35">
      <c r="A31" s="2" t="s">
        <v>2676</v>
      </c>
      <c r="B31" s="21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2" t="s">
        <v>357</v>
      </c>
      <c r="G31" t="s">
        <v>1067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1" t="str">
        <f>"item_"&amp;CONTROL[[#This Row],[VEHIDCODE]]</f>
        <v>item_rbd_WC_PR_Drewry_Railcar</v>
      </c>
      <c r="O31" s="21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  <c r="R31" t="str" cm="1">
        <f t="array" ref="R31">_xlfn.XLOOKUP(CONTROL[[#This Row],[VEHIDCODE]],GRAPHICS_PROPERTIES[VEHIDCODE],GRAPHICS_PROPERTIES[TEMPLATE_ID]&amp;GRAPHICS_PROPERTIES[TEMPLATE_AMENDMENT_CODE])</f>
        <v>TPL_01B</v>
      </c>
    </row>
    <row r="32" spans="1:18" x14ac:dyDescent="0.35">
      <c r="A32" s="2" t="s">
        <v>2677</v>
      </c>
      <c r="B32" s="21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2" t="s">
        <v>2071</v>
      </c>
      <c r="G32" t="s">
        <v>1068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1" t="str">
        <f>"item_"&amp;CONTROL[[#This Row],[VEHIDCODE]]</f>
        <v>item_rbd_LHW_BSt_6001</v>
      </c>
      <c r="O32" s="21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  <c r="R32" t="str" cm="1">
        <f t="array" ref="R32">_xlfn.XLOOKUP(CONTROL[[#This Row],[VEHIDCODE]],GRAPHICS_PROPERTIES[VEHIDCODE],GRAPHICS_PROPERTIES[TEMPLATE_ID]&amp;GRAPHICS_PROPERTIES[TEMPLATE_AMENDMENT_CODE])</f>
        <v>TPL_01B</v>
      </c>
    </row>
    <row r="33" spans="1:18" x14ac:dyDescent="0.35">
      <c r="A33" s="2" t="s">
        <v>2678</v>
      </c>
      <c r="B33" s="21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2" t="s">
        <v>2072</v>
      </c>
      <c r="G33" t="s">
        <v>1069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1" t="str">
        <f>"item_"&amp;CONTROL[[#This Row],[VEHIDCODE]]</f>
        <v>item_rbd_EMC_DERM</v>
      </c>
      <c r="O33" s="21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  <c r="R33" t="str" cm="1">
        <f t="array" ref="R33">_xlfn.XLOOKUP(CONTROL[[#This Row],[VEHIDCODE]],GRAPHICS_PROPERTIES[VEHIDCODE],GRAPHICS_PROPERTIES[TEMPLATE_ID]&amp;GRAPHICS_PROPERTIES[TEMPLATE_AMENDMENT_CODE])</f>
        <v>TPL_01B</v>
      </c>
    </row>
    <row r="34" spans="1:18" x14ac:dyDescent="0.35">
      <c r="A34" s="2" t="s">
        <v>2679</v>
      </c>
      <c r="B34" s="21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2" t="s">
        <v>2076</v>
      </c>
      <c r="G34" t="s">
        <v>1070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1" t="str">
        <f>"item_"&amp;CONTROL[[#This Row],[VEHIDCODE]]</f>
        <v>item_rbd_Tatra_M120_4</v>
      </c>
      <c r="O34" s="21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  <c r="R34" t="str" cm="1">
        <f t="array" ref="R34">_xlfn.XLOOKUP(CONTROL[[#This Row],[VEHIDCODE]],GRAPHICS_PROPERTIES[VEHIDCODE],GRAPHICS_PROPERTIES[TEMPLATE_ID]&amp;GRAPHICS_PROPERTIES[TEMPLATE_AMENDMENT_CODE])</f>
        <v>TPL_01B</v>
      </c>
    </row>
    <row r="35" spans="1:18" x14ac:dyDescent="0.35">
      <c r="A35" s="2" t="s">
        <v>2680</v>
      </c>
      <c r="B35" s="21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2" t="s">
        <v>2073</v>
      </c>
      <c r="G35" t="s">
        <v>1071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1" t="str">
        <f>"item_"&amp;CONTROL[[#This Row],[VEHIDCODE]]</f>
        <v>item_rbd_Franz_Kruckenberg_Schienenzeppelin</v>
      </c>
      <c r="O35" s="21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  <c r="R35" t="str" cm="1">
        <f t="array" ref="R35">_xlfn.XLOOKUP(CONTROL[[#This Row],[VEHIDCODE]],GRAPHICS_PROPERTIES[VEHIDCODE],GRAPHICS_PROPERTIES[TEMPLATE_ID]&amp;GRAPHICS_PROPERTIES[TEMPLATE_AMENDMENT_CODE])</f>
        <v>TPL_03C</v>
      </c>
    </row>
    <row r="36" spans="1:18" x14ac:dyDescent="0.35">
      <c r="A36" s="2" t="s">
        <v>2681</v>
      </c>
      <c r="B36" s="21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2" t="s">
        <v>1074</v>
      </c>
      <c r="G36" t="s">
        <v>1073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1" t="str">
        <f>"item_"&amp;CONTROL[[#This Row],[VEHIDCODE]]</f>
        <v>item_rbd_DSB_MO_Serie_1</v>
      </c>
      <c r="O36" s="21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  <c r="R36" t="str" cm="1">
        <f t="array" ref="R36">_xlfn.XLOOKUP(CONTROL[[#This Row],[VEHIDCODE]],GRAPHICS_PROPERTIES[VEHIDCODE],GRAPHICS_PROPERTIES[TEMPLATE_ID]&amp;GRAPHICS_PROPERTIES[TEMPLATE_AMENDMENT_CODE])</f>
        <v>TPL_01B</v>
      </c>
    </row>
    <row r="37" spans="1:18" x14ac:dyDescent="0.35">
      <c r="A37" s="2" t="s">
        <v>2682</v>
      </c>
      <c r="B37" s="21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2" t="s">
        <v>2074</v>
      </c>
      <c r="G37" t="s">
        <v>1072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1" t="str">
        <f>"item_"&amp;CONTROL[[#This Row],[VEHIDCODE]]</f>
        <v>item_rbd_Strommens_Kristine_Valdresdatter</v>
      </c>
      <c r="O37" s="21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  <c r="R37" t="str" cm="1">
        <f t="array" ref="R37">_xlfn.XLOOKUP(CONTROL[[#This Row],[VEHIDCODE]],GRAPHICS_PROPERTIES[VEHIDCODE],GRAPHICS_PROPERTIES[TEMPLATE_ID]&amp;GRAPHICS_PROPERTIES[TEMPLATE_AMENDMENT_CODE])</f>
        <v>TPL_01B</v>
      </c>
    </row>
    <row r="38" spans="1:18" x14ac:dyDescent="0.35">
      <c r="A38" s="2" t="s">
        <v>2683</v>
      </c>
      <c r="B38" s="21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2" t="s">
        <v>2075</v>
      </c>
      <c r="G38" t="s">
        <v>1075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1" t="str">
        <f>"item_"&amp;CONTROL[[#This Row],[VEHIDCODE]]</f>
        <v>item_rbd_Tatra_M290</v>
      </c>
      <c r="O38" s="21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  <c r="R38" t="str" cm="1">
        <f t="array" ref="R38">_xlfn.XLOOKUP(CONTROL[[#This Row],[VEHIDCODE]],GRAPHICS_PROPERTIES[VEHIDCODE],GRAPHICS_PROPERTIES[TEMPLATE_ID]&amp;GRAPHICS_PROPERTIES[TEMPLATE_AMENDMENT_CODE])</f>
        <v>TPL_01B</v>
      </c>
    </row>
    <row r="39" spans="1:18" x14ac:dyDescent="0.35">
      <c r="A39" s="2" t="s">
        <v>2684</v>
      </c>
      <c r="B39" s="21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2" t="s">
        <v>2077</v>
      </c>
      <c r="G39" t="s">
        <v>1076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1" t="str">
        <f>"item_"&amp;CONTROL[[#This Row],[VEHIDCODE]]</f>
        <v>item_rbd_Werkspoor_DM37</v>
      </c>
      <c r="O39" s="21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  <c r="R39" t="str" cm="1">
        <f t="array" ref="R39">_xlfn.XLOOKUP(CONTROL[[#This Row],[VEHIDCODE]],GRAPHICS_PROPERTIES[VEHIDCODE],GRAPHICS_PROPERTIES[TEMPLATE_ID]&amp;GRAPHICS_PROPERTIES[TEMPLATE_AMENDMENT_CODE])</f>
        <v>TPL_01B</v>
      </c>
    </row>
    <row r="40" spans="1:18" x14ac:dyDescent="0.35">
      <c r="A40" s="2" t="s">
        <v>2685</v>
      </c>
      <c r="B40" s="21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2" t="s">
        <v>2078</v>
      </c>
      <c r="G40" t="s">
        <v>1077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1" t="str">
        <f>"item_"&amp;CONTROL[[#This Row],[VEHIDCODE]]</f>
        <v>item_rbd_Eveleigh_400_Class</v>
      </c>
      <c r="O40" s="21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  <c r="R40" t="str" cm="1">
        <f t="array" ref="R40">_xlfn.XLOOKUP(CONTROL[[#This Row],[VEHIDCODE]],GRAPHICS_PROPERTIES[VEHIDCODE],GRAPHICS_PROPERTIES[TEMPLATE_ID]&amp;GRAPHICS_PROPERTIES[TEMPLATE_AMENDMENT_CODE])</f>
        <v>TPL_01B</v>
      </c>
    </row>
    <row r="41" spans="1:18" x14ac:dyDescent="0.35">
      <c r="A41" s="2" t="s">
        <v>2686</v>
      </c>
      <c r="B41" s="21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2" t="s">
        <v>2079</v>
      </c>
      <c r="G41" t="s">
        <v>1078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1" t="str">
        <f>"item_"&amp;CONTROL[[#This Row],[VEHIDCODE]]</f>
        <v>item_rbd_Vale_do_Vouga_ME51_55</v>
      </c>
      <c r="O41" s="21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  <c r="R41" t="str" cm="1">
        <f t="array" ref="R41">_xlfn.XLOOKUP(CONTROL[[#This Row],[VEHIDCODE]],GRAPHICS_PROPERTIES[VEHIDCODE],GRAPHICS_PROPERTIES[TEMPLATE_ID]&amp;GRAPHICS_PROPERTIES[TEMPLATE_AMENDMENT_CODE])</f>
        <v>TPL_01B</v>
      </c>
    </row>
    <row r="42" spans="1:18" x14ac:dyDescent="0.35">
      <c r="A42" s="2" t="s">
        <v>2687</v>
      </c>
      <c r="B42" s="21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2" t="s">
        <v>2080</v>
      </c>
      <c r="G42" t="s">
        <v>1079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1" t="str">
        <f>"item_"&amp;CONTROL[[#This Row],[VEHIDCODE]]</f>
        <v>item_rbd_Ateliers_Germain_42_43</v>
      </c>
      <c r="O42" s="21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  <c r="R42" t="str" cm="1">
        <f t="array" ref="R42">_xlfn.XLOOKUP(CONTROL[[#This Row],[VEHIDCODE]],GRAPHICS_PROPERTIES[VEHIDCODE],GRAPHICS_PROPERTIES[TEMPLATE_ID]&amp;GRAPHICS_PROPERTIES[TEMPLATE_AMENDMENT_CODE])</f>
        <v>TPL_01B</v>
      </c>
    </row>
    <row r="43" spans="1:18" x14ac:dyDescent="0.35">
      <c r="A43" s="2" t="s">
        <v>2688</v>
      </c>
      <c r="B43" s="21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2" t="s">
        <v>2081</v>
      </c>
      <c r="G43" t="s">
        <v>1080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1" t="str">
        <f>"item_"&amp;CONTROL[[#This Row],[VEHIDCODE]]</f>
        <v>item_rbd_SGP_77783_1960</v>
      </c>
      <c r="O43" s="21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  <c r="R43" t="str" cm="1">
        <f t="array" ref="R43">_xlfn.XLOOKUP(CONTROL[[#This Row],[VEHIDCODE]],GRAPHICS_PROPERTIES[VEHIDCODE],GRAPHICS_PROPERTIES[TEMPLATE_ID]&amp;GRAPHICS_PROPERTIES[TEMPLATE_AMENDMENT_CODE])</f>
        <v>TPL_01B</v>
      </c>
    </row>
    <row r="44" spans="1:18" x14ac:dyDescent="0.35">
      <c r="A44" s="2" t="s">
        <v>2689</v>
      </c>
      <c r="B44" s="21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2" t="s">
        <v>2082</v>
      </c>
      <c r="G44" t="s">
        <v>1081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1" t="str">
        <f>"item_"&amp;CONTROL[[#This Row],[VEHIDCODE]]</f>
        <v>item_rbd_Ferrostaal_Esslingen_AA_71</v>
      </c>
      <c r="O44" s="21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  <c r="R44" t="str" cm="1">
        <f t="array" ref="R44">_xlfn.XLOOKUP(CONTROL[[#This Row],[VEHIDCODE]],GRAPHICS_PROPERTIES[VEHIDCODE],GRAPHICS_PROPERTIES[TEMPLATE_ID]&amp;GRAPHICS_PROPERTIES[TEMPLATE_AMENDMENT_CODE])</f>
        <v>TPL_01B</v>
      </c>
    </row>
    <row r="45" spans="1:18" x14ac:dyDescent="0.35">
      <c r="A45" s="2" t="s">
        <v>2690</v>
      </c>
      <c r="B45" s="21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2" t="s">
        <v>2545</v>
      </c>
      <c r="G45" t="s">
        <v>1082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1" t="str">
        <f>"item_"&amp;CONTROL[[#This Row],[VEHIDCODE]]</f>
        <v>item_rbd_Alsthom_Z_431</v>
      </c>
      <c r="O45" s="21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  <c r="R45" t="str" cm="1">
        <f t="array" ref="R45">_xlfn.XLOOKUP(CONTROL[[#This Row],[VEHIDCODE]],GRAPHICS_PROPERTIES[VEHIDCODE],GRAPHICS_PROPERTIES[TEMPLATE_ID]&amp;GRAPHICS_PROPERTIES[TEMPLATE_AMENDMENT_CODE])</f>
        <v>TPL_01B</v>
      </c>
    </row>
    <row r="46" spans="1:18" x14ac:dyDescent="0.35">
      <c r="A46" s="2" t="s">
        <v>2691</v>
      </c>
      <c r="B46" s="21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2" t="s">
        <v>2021</v>
      </c>
      <c r="G46" t="s">
        <v>1083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1" t="str">
        <f>"item_"&amp;CONTROL[[#This Row],[VEHIDCODE]]</f>
        <v>item_rbd_Budd_SPV_2000</v>
      </c>
      <c r="O46" s="21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  <c r="R46" t="str" cm="1">
        <f t="array" ref="R46">_xlfn.XLOOKUP(CONTROL[[#This Row],[VEHIDCODE]],GRAPHICS_PROPERTIES[VEHIDCODE],GRAPHICS_PROPERTIES[TEMPLATE_ID]&amp;GRAPHICS_PROPERTIES[TEMPLATE_AMENDMENT_CODE])</f>
        <v>TPL_01B</v>
      </c>
    </row>
    <row r="47" spans="1:18" x14ac:dyDescent="0.35">
      <c r="A47" s="2" t="s">
        <v>2692</v>
      </c>
      <c r="B47" s="21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2" t="s">
        <v>2083</v>
      </c>
      <c r="G47" t="s">
        <v>1084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1" t="str">
        <f>"item_"&amp;CONTROL[[#This Row],[VEHIDCODE]]</f>
        <v>item_rbd_CKD_Vagonka_Dm12</v>
      </c>
      <c r="O47" s="21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  <c r="R47" t="str" cm="1">
        <f t="array" ref="R47">_xlfn.XLOOKUP(CONTROL[[#This Row],[VEHIDCODE]],GRAPHICS_PROPERTIES[VEHIDCODE],GRAPHICS_PROPERTIES[TEMPLATE_ID]&amp;GRAPHICS_PROPERTIES[TEMPLATE_AMENDMENT_CODE])</f>
        <v>TPL_01B</v>
      </c>
    </row>
    <row r="48" spans="1:18" x14ac:dyDescent="0.35">
      <c r="A48" s="2" t="s">
        <v>3454</v>
      </c>
      <c r="B48" s="21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2" t="s">
        <v>3461</v>
      </c>
      <c r="G48" t="s">
        <v>1085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1" t="str">
        <f>"item_"&amp;CONTROL[[#This Row],[VEHIDCODE]]</f>
        <v>item_rbd_Stadler_Regio_Shuttle_RS1</v>
      </c>
      <c r="O48" s="21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  <c r="R48" t="str" cm="1">
        <f t="array" ref="R48">_xlfn.XLOOKUP(CONTROL[[#This Row],[VEHIDCODE]],GRAPHICS_PROPERTIES[VEHIDCODE],GRAPHICS_PROPERTIES[TEMPLATE_ID]&amp;GRAPHICS_PROPERTIES[TEMPLATE_AMENDMENT_CODE])</f>
        <v>TPL_01B</v>
      </c>
    </row>
    <row r="49" spans="1:18" x14ac:dyDescent="0.35">
      <c r="A49" s="2" t="s">
        <v>2693</v>
      </c>
      <c r="B49" s="21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2" t="s">
        <v>2084</v>
      </c>
      <c r="G49" t="s">
        <v>1086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1" t="str">
        <f>"item_"&amp;CONTROL[[#This Row],[VEHIDCODE]]</f>
        <v>item_rbd_Fiat_Ferroviaria_ALn_668_1400</v>
      </c>
      <c r="O49" s="21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  <c r="R49" t="str" cm="1">
        <f t="array" ref="R49">_xlfn.XLOOKUP(CONTROL[[#This Row],[VEHIDCODE]],GRAPHICS_PROPERTIES[VEHIDCODE],GRAPHICS_PROPERTIES[TEMPLATE_ID]&amp;GRAPHICS_PROPERTIES[TEMPLATE_AMENDMENT_CODE])</f>
        <v>TPL_01B</v>
      </c>
    </row>
    <row r="50" spans="1:18" x14ac:dyDescent="0.35">
      <c r="A50" s="2" t="s">
        <v>2694</v>
      </c>
      <c r="B50" s="21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2" t="s">
        <v>2085</v>
      </c>
      <c r="G50" t="s">
        <v>1087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1" t="str">
        <f>"item_"&amp;CONTROL[[#This Row],[VEHIDCODE]]</f>
        <v>item_rbe_Ringhoffer_40_001</v>
      </c>
      <c r="O50" s="21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  <c r="R50" t="str" cm="1">
        <f t="array" ref="R50">_xlfn.XLOOKUP(CONTROL[[#This Row],[VEHIDCODE]],GRAPHICS_PROPERTIES[VEHIDCODE],GRAPHICS_PROPERTIES[TEMPLATE_ID]&amp;GRAPHICS_PROPERTIES[TEMPLATE_AMENDMENT_CODE])</f>
        <v>TPL_01B</v>
      </c>
    </row>
    <row r="51" spans="1:18" x14ac:dyDescent="0.35">
      <c r="A51" s="2" t="s">
        <v>2695</v>
      </c>
      <c r="B51" s="21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2" t="s">
        <v>2086</v>
      </c>
      <c r="G51" t="s">
        <v>1088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1" t="str">
        <f>"item_"&amp;CONTROL[[#This Row],[VEHIDCODE]]</f>
        <v>item_rbe_Decauville_Z_7100</v>
      </c>
      <c r="O51" s="21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  <c r="R51" t="str" cm="1">
        <f t="array" ref="R51">_xlfn.XLOOKUP(CONTROL[[#This Row],[VEHIDCODE]],GRAPHICS_PROPERTIES[VEHIDCODE],GRAPHICS_PROPERTIES[TEMPLATE_ID]&amp;GRAPHICS_PROPERTIES[TEMPLATE_AMENDMENT_CODE])</f>
        <v>TPL_01B</v>
      </c>
    </row>
    <row r="52" spans="1:18" x14ac:dyDescent="0.35">
      <c r="A52" s="2" t="s">
        <v>2696</v>
      </c>
      <c r="B52" s="21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2" t="s">
        <v>2087</v>
      </c>
      <c r="G52" t="s">
        <v>1089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1" t="str">
        <f>"item_"&amp;CONTROL[[#This Row],[VEHIDCODE]]</f>
        <v>item_rbe_HAWA_AEG_Kleinbahn_Nr__1_3</v>
      </c>
      <c r="O52" s="21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  <c r="R52" t="str" cm="1">
        <f t="array" ref="R52">_xlfn.XLOOKUP(CONTROL[[#This Row],[VEHIDCODE]],GRAPHICS_PROPERTIES[VEHIDCODE],GRAPHICS_PROPERTIES[TEMPLATE_ID]&amp;GRAPHICS_PROPERTIES[TEMPLATE_AMENDMENT_CODE])</f>
        <v>TPL_01B</v>
      </c>
    </row>
    <row r="53" spans="1:18" x14ac:dyDescent="0.35">
      <c r="A53" s="2" t="s">
        <v>3471</v>
      </c>
      <c r="B53" s="21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2" t="s">
        <v>3697</v>
      </c>
      <c r="G53" t="s">
        <v>1091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1" t="str">
        <f>"item_"&amp;CONTROL[[#This Row],[VEHIDCODE]]</f>
        <v>item_rbe_Raw_Schoneweide_479_201</v>
      </c>
      <c r="O53" s="21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  <c r="R53" t="str" cm="1">
        <f t="array" ref="R53">_xlfn.XLOOKUP(CONTROL[[#This Row],[VEHIDCODE]],GRAPHICS_PROPERTIES[VEHIDCODE],GRAPHICS_PROPERTIES[TEMPLATE_ID]&amp;GRAPHICS_PROPERTIES[TEMPLATE_AMENDMENT_CODE])</f>
        <v>TPL_01B</v>
      </c>
    </row>
    <row r="54" spans="1:18" x14ac:dyDescent="0.35">
      <c r="A54" s="2" t="s">
        <v>2697</v>
      </c>
      <c r="B54" s="21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2" t="s">
        <v>2088</v>
      </c>
      <c r="G54" t="s">
        <v>1090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1" t="str">
        <f>"item_"&amp;CONTROL[[#This Row],[VEHIDCODE]]</f>
        <v>item_rbe_Studenka_425_95</v>
      </c>
      <c r="O54" s="21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  <c r="R54" t="str" cm="1">
        <f t="array" ref="R54">_xlfn.XLOOKUP(CONTROL[[#This Row],[VEHIDCODE]],GRAPHICS_PROPERTIES[VEHIDCODE],GRAPHICS_PROPERTIES[TEMPLATE_ID]&amp;GRAPHICS_PROPERTIES[TEMPLATE_AMENDMENT_CODE])</f>
        <v>TPL_01B</v>
      </c>
    </row>
    <row r="55" spans="1:18" x14ac:dyDescent="0.35">
      <c r="A55" s="2" t="s">
        <v>2698</v>
      </c>
      <c r="B55" s="21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2" t="s">
        <v>2089</v>
      </c>
      <c r="G55" t="s">
        <v>1092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1" t="str">
        <f>"item_"&amp;CONTROL[[#This Row],[VEHIDCODE]]</f>
        <v>item_rbe_Pozzuoli___OCREN_OM_ALe_840</v>
      </c>
      <c r="O55" s="21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  <c r="R55" t="str" cm="1">
        <f t="array" ref="R55">_xlfn.XLOOKUP(CONTROL[[#This Row],[VEHIDCODE]],GRAPHICS_PROPERTIES[VEHIDCODE],GRAPHICS_PROPERTIES[TEMPLATE_ID]&amp;GRAPHICS_PROPERTIES[TEMPLATE_AMENDMENT_CODE])</f>
        <v>TPL_01B</v>
      </c>
    </row>
    <row r="56" spans="1:18" x14ac:dyDescent="0.35">
      <c r="A56" s="2" t="s">
        <v>2699</v>
      </c>
      <c r="B56" s="21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2" t="s">
        <v>2090</v>
      </c>
      <c r="G56" t="s">
        <v>1093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1" t="str">
        <f>"item_"&amp;CONTROL[[#This Row],[VEHIDCODE]]</f>
        <v>item_rbe_Stanga_ALe_80</v>
      </c>
      <c r="O56" s="21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  <c r="R56" t="str" cm="1">
        <f t="array" ref="R56">_xlfn.XLOOKUP(CONTROL[[#This Row],[VEHIDCODE]],GRAPHICS_PROPERTIES[VEHIDCODE],GRAPHICS_PROPERTIES[TEMPLATE_ID]&amp;GRAPHICS_PROPERTIES[TEMPLATE_AMENDMENT_CODE])</f>
        <v>TPL_01B</v>
      </c>
    </row>
    <row r="57" spans="1:18" x14ac:dyDescent="0.35">
      <c r="A57" s="2" t="s">
        <v>2700</v>
      </c>
      <c r="B57" s="21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2" t="s">
        <v>358</v>
      </c>
      <c r="G57" t="s">
        <v>1094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1" t="str">
        <f>"item_"&amp;CONTROL[[#This Row],[VEHIDCODE]]</f>
        <v>item_rbe_FS_E_623</v>
      </c>
      <c r="O57" s="21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  <c r="R57" t="str" cm="1">
        <f t="array" ref="R57">_xlfn.XLOOKUP(CONTROL[[#This Row],[VEHIDCODE]],GRAPHICS_PROPERTIES[VEHIDCODE],GRAPHICS_PROPERTIES[TEMPLATE_ID]&amp;GRAPHICS_PROPERTIES[TEMPLATE_AMENDMENT_CODE])</f>
        <v>TPL_01B</v>
      </c>
    </row>
    <row r="58" spans="1:18" x14ac:dyDescent="0.35">
      <c r="A58" s="2" t="s">
        <v>2701</v>
      </c>
      <c r="B58" s="21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2" t="s">
        <v>527</v>
      </c>
      <c r="G58" t="s">
        <v>1095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1" t="str">
        <f>"item_"&amp;CONTROL[[#This Row],[VEHIDCODE]]</f>
        <v>item_rbe_ONCF_ZAB1000</v>
      </c>
      <c r="O58" s="21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  <c r="R58" t="str" cm="1">
        <f t="array" ref="R58">_xlfn.XLOOKUP(CONTROL[[#This Row],[VEHIDCODE]],GRAPHICS_PROPERTIES[VEHIDCODE],GRAPHICS_PROPERTIES[TEMPLATE_ID]&amp;GRAPHICS_PROPERTIES[TEMPLATE_AMENDMENT_CODE])</f>
        <v>TPL_01B</v>
      </c>
    </row>
    <row r="59" spans="1:18" x14ac:dyDescent="0.35">
      <c r="A59" s="2" t="s">
        <v>2702</v>
      </c>
      <c r="B59" s="21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2" t="s">
        <v>1965</v>
      </c>
      <c r="G59" t="s">
        <v>1096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1" t="str">
        <f>"item_"&amp;CONTROL[[#This Row],[VEHIDCODE]]</f>
        <v>item_rbe_Pesa_308B</v>
      </c>
      <c r="O59" s="21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  <c r="R59" t="str" cm="1">
        <f t="array" ref="R59">_xlfn.XLOOKUP(CONTROL[[#This Row],[VEHIDCODE]],GRAPHICS_PROPERTIES[VEHIDCODE],GRAPHICS_PROPERTIES[TEMPLATE_ID]&amp;GRAPHICS_PROPERTIES[TEMPLATE_AMENDMENT_CODE])</f>
        <v>TPL_01B</v>
      </c>
    </row>
    <row r="60" spans="1:18" x14ac:dyDescent="0.35">
      <c r="A60" s="2" t="s">
        <v>2703</v>
      </c>
      <c r="B60" s="21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2" t="s">
        <v>2091</v>
      </c>
      <c r="G60" t="s">
        <v>1097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1" t="str">
        <f>"item_"&amp;CONTROL[[#This Row],[VEHIDCODE]]</f>
        <v>item_rbe_Franz_Knotz_4855</v>
      </c>
      <c r="O60" s="21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  <c r="R60" t="str" cm="1">
        <f t="array" ref="R60">_xlfn.XLOOKUP(CONTROL[[#This Row],[VEHIDCODE]],GRAPHICS_PROPERTIES[VEHIDCODE],GRAPHICS_PROPERTIES[TEMPLATE_ID]&amp;GRAPHICS_PROPERTIES[TEMPLATE_AMENDMENT_CODE])</f>
        <v>TPL_01B</v>
      </c>
    </row>
    <row r="61" spans="1:18" x14ac:dyDescent="0.35">
      <c r="A61" s="2" t="s">
        <v>2704</v>
      </c>
      <c r="B61" s="21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2" t="s">
        <v>2092</v>
      </c>
      <c r="G61" t="s">
        <v>1098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1" t="str">
        <f>"item_"&amp;CONTROL[[#This Row],[VEHIDCODE]]</f>
        <v>item_rbe_Lindner_Talbot_ET_10_109</v>
      </c>
      <c r="O61" s="21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  <c r="R61" t="str" cm="1">
        <f t="array" ref="R61">_xlfn.XLOOKUP(CONTROL[[#This Row],[VEHIDCODE]],GRAPHICS_PROPERTIES[VEHIDCODE],GRAPHICS_PROPERTIES[TEMPLATE_ID]&amp;GRAPHICS_PROPERTIES[TEMPLATE_AMENDMENT_CODE])</f>
        <v>TPL_01B</v>
      </c>
    </row>
    <row r="62" spans="1:18" x14ac:dyDescent="0.35">
      <c r="A62" s="2" t="s">
        <v>2705</v>
      </c>
      <c r="B62" s="21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2" t="s">
        <v>2093</v>
      </c>
      <c r="G62" t="s">
        <v>1099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1" t="str">
        <f>"item_"&amp;CONTROL[[#This Row],[VEHIDCODE]]</f>
        <v>item_rbe_Waggonfabrik_Fuchs_ET_85</v>
      </c>
      <c r="O62" s="21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  <c r="R62" t="str" cm="1">
        <f t="array" ref="R62">_xlfn.XLOOKUP(CONTROL[[#This Row],[VEHIDCODE]],GRAPHICS_PROPERTIES[VEHIDCODE],GRAPHICS_PROPERTIES[TEMPLATE_ID]&amp;GRAPHICS_PROPERTIES[TEMPLATE_AMENDMENT_CODE])</f>
        <v>TPL_01B</v>
      </c>
    </row>
    <row r="63" spans="1:18" x14ac:dyDescent="0.35">
      <c r="A63" s="2" t="s">
        <v>2706</v>
      </c>
      <c r="B63" s="21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2" t="s">
        <v>2094</v>
      </c>
      <c r="G63" t="s">
        <v>1100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1" t="str">
        <f>"item_"&amp;CONTROL[[#This Row],[VEHIDCODE]]</f>
        <v>item_rbe_ASJ_Y6</v>
      </c>
      <c r="O63" s="21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  <c r="R63" t="str" cm="1">
        <f t="array" ref="R63">_xlfn.XLOOKUP(CONTROL[[#This Row],[VEHIDCODE]],GRAPHICS_PROPERTIES[VEHIDCODE],GRAPHICS_PROPERTIES[TEMPLATE_ID]&amp;GRAPHICS_PROPERTIES[TEMPLATE_AMENDMENT_CODE])</f>
        <v>TPL_01B</v>
      </c>
    </row>
    <row r="64" spans="1:18" x14ac:dyDescent="0.35">
      <c r="A64" s="2" t="s">
        <v>2707</v>
      </c>
      <c r="B64" s="21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2" t="s">
        <v>2095</v>
      </c>
      <c r="G64" t="s">
        <v>1101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1" t="str">
        <f>"item_"&amp;CONTROL[[#This Row],[VEHIDCODE]]</f>
        <v>item_rbe_Budd_Silverliner_II</v>
      </c>
      <c r="O64" s="21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  <c r="R64" t="str" cm="1">
        <f t="array" ref="R64">_xlfn.XLOOKUP(CONTROL[[#This Row],[VEHIDCODE]],GRAPHICS_PROPERTIES[VEHIDCODE],GRAPHICS_PROPERTIES[TEMPLATE_ID]&amp;GRAPHICS_PROPERTIES[TEMPLATE_AMENDMENT_CODE])</f>
        <v>TPL_01B</v>
      </c>
    </row>
    <row r="65" spans="1:18" x14ac:dyDescent="0.35">
      <c r="A65" s="2" t="s">
        <v>2708</v>
      </c>
      <c r="B65" s="21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2" t="s">
        <v>2096</v>
      </c>
      <c r="G65" t="s">
        <v>1102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1" t="str">
        <f>"item_"&amp;CONTROL[[#This Row],[VEHIDCODE]]</f>
        <v>item_rbe_Hyundai_Rotem_Silverliner_V</v>
      </c>
      <c r="O65" s="21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  <c r="R65" t="str" cm="1">
        <f t="array" ref="R65">_xlfn.XLOOKUP(CONTROL[[#This Row],[VEHIDCODE]],GRAPHICS_PROPERTIES[VEHIDCODE],GRAPHICS_PROPERTIES[TEMPLATE_ID]&amp;GRAPHICS_PROPERTIES[TEMPLATE_AMENDMENT_CODE])</f>
        <v>TPL_01B</v>
      </c>
    </row>
    <row r="66" spans="1:18" x14ac:dyDescent="0.35">
      <c r="A66" s="2" t="s">
        <v>2709</v>
      </c>
      <c r="B66" s="21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2" t="s">
        <v>2097</v>
      </c>
      <c r="G66" t="s">
        <v>1103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1" t="str">
        <f>"item_"&amp;CONTROL[[#This Row],[VEHIDCODE]]</f>
        <v>item_steam_John_Cockerill___Cie__Le_Belge</v>
      </c>
      <c r="O66" s="21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  <c r="R66" t="str" cm="1">
        <f t="array" ref="R66">_xlfn.XLOOKUP(CONTROL[[#This Row],[VEHIDCODE]],GRAPHICS_PROPERTIES[VEHIDCODE],GRAPHICS_PROPERTIES[TEMPLATE_ID]&amp;GRAPHICS_PROPERTIES[TEMPLATE_AMENDMENT_CODE])</f>
        <v>TPL_03C</v>
      </c>
    </row>
    <row r="67" spans="1:18" x14ac:dyDescent="0.35">
      <c r="A67" s="2" t="s">
        <v>2710</v>
      </c>
      <c r="B67" s="21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2" t="s">
        <v>3680</v>
      </c>
      <c r="G67" t="s">
        <v>3509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1" t="str">
        <f>"item_"&amp;CONTROL[[#This Row],[VEHIDCODE]]</f>
        <v>item_steam_GWR_4_4_0_American</v>
      </c>
      <c r="O67" s="21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  <c r="R67" t="str" cm="1">
        <f t="array" ref="R67">_xlfn.XLOOKUP(CONTROL[[#This Row],[VEHIDCODE]],GRAPHICS_PROPERTIES[VEHIDCODE],GRAPHICS_PROPERTIES[TEMPLATE_ID]&amp;GRAPHICS_PROPERTIES[TEMPLATE_AMENDMENT_CODE])</f>
        <v>TPL_03A</v>
      </c>
    </row>
    <row r="68" spans="1:18" x14ac:dyDescent="0.35">
      <c r="A68" s="2" t="s">
        <v>2711</v>
      </c>
      <c r="B68" s="21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2" t="s">
        <v>2098</v>
      </c>
      <c r="G68" t="s">
        <v>1104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1" t="str">
        <f>"item_"&amp;CONTROL[[#This Row],[VEHIDCODE]]</f>
        <v>item_steam_Esslingen_Ec_2_5</v>
      </c>
      <c r="O68" s="21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  <c r="R68" t="str" cm="1">
        <f t="array" ref="R68">_xlfn.XLOOKUP(CONTROL[[#This Row],[VEHIDCODE]],GRAPHICS_PROPERTIES[VEHIDCODE],GRAPHICS_PROPERTIES[TEMPLATE_ID]&amp;GRAPHICS_PROPERTIES[TEMPLATE_AMENDMENT_CODE])</f>
        <v>TPL_03C</v>
      </c>
    </row>
    <row r="69" spans="1:18" x14ac:dyDescent="0.35">
      <c r="A69" s="2" t="s">
        <v>2712</v>
      </c>
      <c r="B69" s="21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2" t="s">
        <v>3510</v>
      </c>
      <c r="G69" t="s">
        <v>3511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1" t="str">
        <f>"item_"&amp;CONTROL[[#This Row],[VEHIDCODE]]</f>
        <v>item_steam_Norris_4_6_0_Ten_wheeler</v>
      </c>
      <c r="O69" s="21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  <c r="R69" t="str" cm="1">
        <f t="array" ref="R69">_xlfn.XLOOKUP(CONTROL[[#This Row],[VEHIDCODE]],GRAPHICS_PROPERTIES[VEHIDCODE],GRAPHICS_PROPERTIES[TEMPLATE_ID]&amp;GRAPHICS_PROPERTIES[TEMPLATE_AMENDMENT_CODE])</f>
        <v>TPL_03A</v>
      </c>
    </row>
    <row r="70" spans="1:18" x14ac:dyDescent="0.35">
      <c r="A70" s="2" t="s">
        <v>2713</v>
      </c>
      <c r="B70" s="21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2" t="s">
        <v>2099</v>
      </c>
      <c r="G70" t="s">
        <v>3512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1" t="str">
        <f>"item_"&amp;CONTROL[[#This Row],[VEHIDCODE]]</f>
        <v>item_steam_Baldwin_2_8_0_Consolidation</v>
      </c>
      <c r="O70" s="21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  <c r="R70" t="str" cm="1">
        <f t="array" ref="R70">_xlfn.XLOOKUP(CONTROL[[#This Row],[VEHIDCODE]],GRAPHICS_PROPERTIES[VEHIDCODE],GRAPHICS_PROPERTIES[TEMPLATE_ID]&amp;GRAPHICS_PROPERTIES[TEMPLATE_AMENDMENT_CODE])</f>
        <v>TPL_03A</v>
      </c>
    </row>
    <row r="71" spans="1:18" x14ac:dyDescent="0.35">
      <c r="A71" s="2" t="s">
        <v>2714</v>
      </c>
      <c r="B71" s="21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2" t="s">
        <v>1702</v>
      </c>
      <c r="G71" t="s">
        <v>1105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1" t="str">
        <f>"item_"&amp;CONTROL[[#This Row],[VEHIDCODE]]</f>
        <v>item_steam_MAV_377</v>
      </c>
      <c r="O71" s="21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  <c r="R71" t="str" cm="1">
        <f t="array" ref="R71">_xlfn.XLOOKUP(CONTROL[[#This Row],[VEHIDCODE]],GRAPHICS_PROPERTIES[VEHIDCODE],GRAPHICS_PROPERTIES[TEMPLATE_ID]&amp;GRAPHICS_PROPERTIES[TEMPLATE_AMENDMENT_CODE])</f>
        <v>TPL_03C</v>
      </c>
    </row>
    <row r="72" spans="1:18" x14ac:dyDescent="0.35">
      <c r="A72" s="2" t="s">
        <v>2715</v>
      </c>
      <c r="B72" s="21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2" t="s">
        <v>2100</v>
      </c>
      <c r="G72" t="s">
        <v>1106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1" t="str">
        <f>"item_"&amp;CONTROL[[#This Row],[VEHIDCODE]]</f>
        <v>item_steam_Krauss_KkStB_99</v>
      </c>
      <c r="O72" s="21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  <c r="R72" t="str" cm="1">
        <f t="array" ref="R72">_xlfn.XLOOKUP(CONTROL[[#This Row],[VEHIDCODE]],GRAPHICS_PROPERTIES[VEHIDCODE],GRAPHICS_PROPERTIES[TEMPLATE_ID]&amp;GRAPHICS_PROPERTIES[TEMPLATE_AMENDMENT_CODE])</f>
        <v>TPL_03C</v>
      </c>
    </row>
    <row r="73" spans="1:18" x14ac:dyDescent="0.35">
      <c r="A73" s="2" t="s">
        <v>2716</v>
      </c>
      <c r="B73" s="21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2" t="s">
        <v>2101</v>
      </c>
      <c r="G73" t="s">
        <v>1107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1" t="str">
        <f>"item_"&amp;CONTROL[[#This Row],[VEHIDCODE]]</f>
        <v>item_steam_McIntosh__Caledonian_Railway__439</v>
      </c>
      <c r="O73" s="21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  <c r="R73" t="str" cm="1">
        <f t="array" ref="R73">_xlfn.XLOOKUP(CONTROL[[#This Row],[VEHIDCODE]],GRAPHICS_PROPERTIES[VEHIDCODE],GRAPHICS_PROPERTIES[TEMPLATE_ID]&amp;GRAPHICS_PROPERTIES[TEMPLATE_AMENDMENT_CODE])</f>
        <v>TPL_03C</v>
      </c>
    </row>
    <row r="74" spans="1:18" x14ac:dyDescent="0.35">
      <c r="A74" s="2" t="s">
        <v>2717</v>
      </c>
      <c r="B74" s="21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2" t="s">
        <v>2102</v>
      </c>
      <c r="G74" t="s">
        <v>1108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1" t="str">
        <f>"item_"&amp;CONTROL[[#This Row],[VEHIDCODE]]</f>
        <v>item_steam_SLM_Winterthur_A_3_5</v>
      </c>
      <c r="O74" s="21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  <c r="R74" t="str" cm="1">
        <f t="array" ref="R74">_xlfn.XLOOKUP(CONTROL[[#This Row],[VEHIDCODE]],GRAPHICS_PROPERTIES[VEHIDCODE],GRAPHICS_PROPERTIES[TEMPLATE_ID]&amp;GRAPHICS_PROPERTIES[TEMPLATE_AMENDMENT_CODE])</f>
        <v>TPL_03A</v>
      </c>
    </row>
    <row r="75" spans="1:18" x14ac:dyDescent="0.35">
      <c r="A75" s="2" t="s">
        <v>2718</v>
      </c>
      <c r="B75" s="21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2" t="s">
        <v>2103</v>
      </c>
      <c r="G75" t="s">
        <v>1109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1" t="str">
        <f>"item_"&amp;CONTROL[[#This Row],[VEHIDCODE]]</f>
        <v>item_steam_SLM_Winterthur_E_3_3</v>
      </c>
      <c r="O75" s="21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  <c r="R75" t="str" cm="1">
        <f t="array" ref="R75">_xlfn.XLOOKUP(CONTROL[[#This Row],[VEHIDCODE]],GRAPHICS_PROPERTIES[VEHIDCODE],GRAPHICS_PROPERTIES[TEMPLATE_ID]&amp;GRAPHICS_PROPERTIES[TEMPLATE_AMENDMENT_CODE])</f>
        <v>TPL_03C</v>
      </c>
    </row>
    <row r="76" spans="1:18" x14ac:dyDescent="0.35">
      <c r="A76" s="2" t="s">
        <v>2719</v>
      </c>
      <c r="B76" s="21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2" t="s">
        <v>2104</v>
      </c>
      <c r="G76" t="s">
        <v>1110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1" t="str">
        <f>"item_"&amp;CONTROL[[#This Row],[VEHIDCODE]]</f>
        <v>item_steam_Krauss_299</v>
      </c>
      <c r="O76" s="21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  <c r="R76" t="str" cm="1">
        <f t="array" ref="R76">_xlfn.XLOOKUP(CONTROL[[#This Row],[VEHIDCODE]],GRAPHICS_PROPERTIES[VEHIDCODE],GRAPHICS_PROPERTIES[TEMPLATE_ID]&amp;GRAPHICS_PROPERTIES[TEMPLATE_AMENDMENT_CODE])</f>
        <v>TPL_03C</v>
      </c>
    </row>
    <row r="77" spans="1:18" x14ac:dyDescent="0.35">
      <c r="A77" s="2" t="s">
        <v>2720</v>
      </c>
      <c r="B77" s="21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2" t="s">
        <v>359</v>
      </c>
      <c r="G77" t="s">
        <v>1111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1" t="str">
        <f>"item_"&amp;CONTROL[[#This Row],[VEHIDCODE]]</f>
        <v>item_steam_NZR_X</v>
      </c>
      <c r="O77" s="21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  <c r="R77" t="str" cm="1">
        <f t="array" ref="R77">_xlfn.XLOOKUP(CONTROL[[#This Row],[VEHIDCODE]],GRAPHICS_PROPERTIES[VEHIDCODE],GRAPHICS_PROPERTIES[TEMPLATE_ID]&amp;GRAPHICS_PROPERTIES[TEMPLATE_AMENDMENT_CODE])</f>
        <v>TPL_03A</v>
      </c>
    </row>
    <row r="78" spans="1:18" x14ac:dyDescent="0.35">
      <c r="A78" s="2" t="s">
        <v>3450</v>
      </c>
      <c r="B78" s="21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2" t="s">
        <v>3543</v>
      </c>
      <c r="G78" t="s">
        <v>1112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1" t="str">
        <f>"item_"&amp;CONTROL[[#This Row],[VEHIDCODE]]</f>
        <v>item_steam_MaVAG_375</v>
      </c>
      <c r="O78" s="21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  <c r="R78" t="str" cm="1">
        <f t="array" ref="R78">_xlfn.XLOOKUP(CONTROL[[#This Row],[VEHIDCODE]],GRAPHICS_PROPERTIES[VEHIDCODE],GRAPHICS_PROPERTIES[TEMPLATE_ID]&amp;GRAPHICS_PROPERTIES[TEMPLATE_AMENDMENT_CODE])</f>
        <v>TPL_03C</v>
      </c>
    </row>
    <row r="79" spans="1:18" x14ac:dyDescent="0.35">
      <c r="A79" s="2" t="s">
        <v>2721</v>
      </c>
      <c r="B79" s="21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2" t="s">
        <v>360</v>
      </c>
      <c r="G79" t="s">
        <v>1113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1" t="str">
        <f>"item_"&amp;CONTROL[[#This Row],[VEHIDCODE]]</f>
        <v>item_steam_FS_880</v>
      </c>
      <c r="O79" s="21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  <c r="R79" t="str" cm="1">
        <f t="array" ref="R79">_xlfn.XLOOKUP(CONTROL[[#This Row],[VEHIDCODE]],GRAPHICS_PROPERTIES[VEHIDCODE],GRAPHICS_PROPERTIES[TEMPLATE_ID]&amp;GRAPHICS_PROPERTIES[TEMPLATE_AMENDMENT_CODE])</f>
        <v>TPL_03C</v>
      </c>
    </row>
    <row r="80" spans="1:18" x14ac:dyDescent="0.35">
      <c r="A80" s="2" t="s">
        <v>2722</v>
      </c>
      <c r="B80" s="21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2" t="s">
        <v>361</v>
      </c>
      <c r="G80" t="s">
        <v>1114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1" t="str">
        <f>"item_"&amp;CONTROL[[#This Row],[VEHIDCODE]]</f>
        <v>item_steam_FCNEA_11B_2_8_0</v>
      </c>
      <c r="O80" s="21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  <c r="R80" t="str" cm="1">
        <f t="array" ref="R80">_xlfn.XLOOKUP(CONTROL[[#This Row],[VEHIDCODE]],GRAPHICS_PROPERTIES[VEHIDCODE],GRAPHICS_PROPERTIES[TEMPLATE_ID]&amp;GRAPHICS_PROPERTIES[TEMPLATE_AMENDMENT_CODE])</f>
        <v>TPL_03A</v>
      </c>
    </row>
    <row r="81" spans="1:18" x14ac:dyDescent="0.35">
      <c r="A81" s="2" t="s">
        <v>2723</v>
      </c>
      <c r="B81" s="21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2" t="s">
        <v>2105</v>
      </c>
      <c r="G81" t="s">
        <v>1657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1" t="str">
        <f>"item_"&amp;CONTROL[[#This Row],[VEHIDCODE]]</f>
        <v>item_steam_Schneider_et_Cie_140C</v>
      </c>
      <c r="O81" s="21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  <c r="R81" t="str" cm="1">
        <f t="array" ref="R81">_xlfn.XLOOKUP(CONTROL[[#This Row],[VEHIDCODE]],GRAPHICS_PROPERTIES[VEHIDCODE],GRAPHICS_PROPERTIES[TEMPLATE_ID]&amp;GRAPHICS_PROPERTIES[TEMPLATE_AMENDMENT_CODE])</f>
        <v>TPL_03A</v>
      </c>
    </row>
    <row r="82" spans="1:18" x14ac:dyDescent="0.35">
      <c r="A82" s="2" t="s">
        <v>3472</v>
      </c>
      <c r="B82" s="21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2" t="s">
        <v>3473</v>
      </c>
      <c r="G82" t="s">
        <v>1656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1" t="str">
        <f>"item_"&amp;CONTROL[[#This Row],[VEHIDCODE]]</f>
        <v>item_steam_Union_Giesserei_2_8_2T</v>
      </c>
      <c r="O82" s="21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  <c r="R82" t="str" cm="1">
        <f t="array" ref="R82">_xlfn.XLOOKUP(CONTROL[[#This Row],[VEHIDCODE]],GRAPHICS_PROPERTIES[VEHIDCODE],GRAPHICS_PROPERTIES[TEMPLATE_ID]&amp;GRAPHICS_PROPERTIES[TEMPLATE_AMENDMENT_CODE])</f>
        <v>TPL_03C</v>
      </c>
    </row>
    <row r="83" spans="1:18" x14ac:dyDescent="0.35">
      <c r="A83" s="2" t="s">
        <v>2724</v>
      </c>
      <c r="B83" s="21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2" t="s">
        <v>1116</v>
      </c>
      <c r="G83" t="s">
        <v>1115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1" t="str">
        <f>"item_"&amp;CONTROL[[#This Row],[VEHIDCODE]]</f>
        <v>item_steam_GWR_4900_Hall</v>
      </c>
      <c r="O83" s="21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  <c r="R83" t="str" cm="1">
        <f t="array" ref="R83">_xlfn.XLOOKUP(CONTROL[[#This Row],[VEHIDCODE]],GRAPHICS_PROPERTIES[VEHIDCODE],GRAPHICS_PROPERTIES[TEMPLATE_ID]&amp;GRAPHICS_PROPERTIES[TEMPLATE_AMENDMENT_CODE])</f>
        <v>TPL_03A</v>
      </c>
    </row>
    <row r="84" spans="1:18" x14ac:dyDescent="0.35">
      <c r="A84" s="2" t="s">
        <v>2725</v>
      </c>
      <c r="B84" s="21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2" t="s">
        <v>1117</v>
      </c>
      <c r="G84" t="s">
        <v>1118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1" t="str">
        <f>"item_"&amp;CONTROL[[#This Row],[VEHIDCODE]]</f>
        <v>item_steam_GWR_5700_Pannier</v>
      </c>
      <c r="O84" s="21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  <c r="R84" t="str" cm="1">
        <f t="array" ref="R84">_xlfn.XLOOKUP(CONTROL[[#This Row],[VEHIDCODE]],GRAPHICS_PROPERTIES[VEHIDCODE],GRAPHICS_PROPERTIES[TEMPLATE_ID]&amp;GRAPHICS_PROPERTIES[TEMPLATE_AMENDMENT_CODE])</f>
        <v>TPL_03C</v>
      </c>
    </row>
    <row r="85" spans="1:18" x14ac:dyDescent="0.35">
      <c r="A85" s="2" t="s">
        <v>2726</v>
      </c>
      <c r="B85" s="21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2" t="s">
        <v>2604</v>
      </c>
      <c r="G85" t="s">
        <v>1119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1" t="str">
        <f>"item_"&amp;CONTROL[[#This Row],[VEHIDCODE]]</f>
        <v>item_steam_Henschel___Sohn_series_6300</v>
      </c>
      <c r="O85" s="21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  <c r="R85" t="str" cm="1">
        <f t="array" ref="R85">_xlfn.XLOOKUP(CONTROL[[#This Row],[VEHIDCODE]],GRAPHICS_PROPERTIES[VEHIDCODE],GRAPHICS_PROPERTIES[TEMPLATE_ID]&amp;GRAPHICS_PROPERTIES[TEMPLATE_AMENDMENT_CODE])</f>
        <v>TPL_03C</v>
      </c>
    </row>
    <row r="86" spans="1:18" x14ac:dyDescent="0.35">
      <c r="A86" s="2" t="s">
        <v>2727</v>
      </c>
      <c r="B86" s="21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2" t="s">
        <v>2106</v>
      </c>
      <c r="G86" t="s">
        <v>1120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1" t="str">
        <f>"item_"&amp;CONTROL[[#This Row],[VEHIDCODE]]</f>
        <v>item_steam_Baldwin_5000_Madame_Queen</v>
      </c>
      <c r="O86" s="21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  <c r="R86" t="str" cm="1">
        <f t="array" ref="R86">_xlfn.XLOOKUP(CONTROL[[#This Row],[VEHIDCODE]],GRAPHICS_PROPERTIES[VEHIDCODE],GRAPHICS_PROPERTIES[TEMPLATE_ID]&amp;GRAPHICS_PROPERTIES[TEMPLATE_AMENDMENT_CODE])</f>
        <v>TPL_03A</v>
      </c>
    </row>
    <row r="87" spans="1:18" x14ac:dyDescent="0.35">
      <c r="A87" s="2" t="s">
        <v>2728</v>
      </c>
      <c r="B87" s="21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2" t="s">
        <v>2107</v>
      </c>
      <c r="G87" t="s">
        <v>1121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1" t="str">
        <f>"item_"&amp;CONTROL[[#This Row],[VEHIDCODE]]</f>
        <v>item_steam_Schwartzkopff_S_10_Prussian</v>
      </c>
      <c r="O87" s="21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  <c r="R87" t="str" cm="1">
        <f t="array" ref="R87">_xlfn.XLOOKUP(CONTROL[[#This Row],[VEHIDCODE]],GRAPHICS_PROPERTIES[VEHIDCODE],GRAPHICS_PROPERTIES[TEMPLATE_ID]&amp;GRAPHICS_PROPERTIES[TEMPLATE_AMENDMENT_CODE])</f>
        <v>TPL_03A</v>
      </c>
    </row>
    <row r="88" spans="1:18" x14ac:dyDescent="0.35">
      <c r="A88" s="2" t="s">
        <v>2729</v>
      </c>
      <c r="B88" s="21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2" t="s">
        <v>362</v>
      </c>
      <c r="G88" t="s">
        <v>1122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1" t="str">
        <f>"item_"&amp;CONTROL[[#This Row],[VEHIDCODE]]</f>
        <v>item_steam_LMS_5MT_Black_Five</v>
      </c>
      <c r="O88" s="21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  <c r="R88" t="str" cm="1">
        <f t="array" ref="R88">_xlfn.XLOOKUP(CONTROL[[#This Row],[VEHIDCODE]],GRAPHICS_PROPERTIES[VEHIDCODE],GRAPHICS_PROPERTIES[TEMPLATE_ID]&amp;GRAPHICS_PROPERTIES[TEMPLATE_AMENDMENT_CODE])</f>
        <v>TPL_03A</v>
      </c>
    </row>
    <row r="89" spans="1:18" x14ac:dyDescent="0.35">
      <c r="A89" s="2" t="s">
        <v>2730</v>
      </c>
      <c r="B89" s="21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2" t="s">
        <v>3505</v>
      </c>
      <c r="G89" t="s">
        <v>1123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1" t="str">
        <f>"item_"&amp;CONTROL[[#This Row],[VEHIDCODE]]</f>
        <v>item_steam_Kolomena_9P</v>
      </c>
      <c r="O89" s="21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  <c r="R89" t="str" cm="1">
        <f t="array" ref="R89">_xlfn.XLOOKUP(CONTROL[[#This Row],[VEHIDCODE]],GRAPHICS_PROPERTIES[VEHIDCODE],GRAPHICS_PROPERTIES[TEMPLATE_ID]&amp;GRAPHICS_PROPERTIES[TEMPLATE_AMENDMENT_CODE])</f>
        <v>TPL_03C</v>
      </c>
    </row>
    <row r="90" spans="1:18" x14ac:dyDescent="0.35">
      <c r="A90" s="2" t="s">
        <v>2731</v>
      </c>
      <c r="B90" s="21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2" t="s">
        <v>363</v>
      </c>
      <c r="G90" t="s">
        <v>1124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1" t="str">
        <f>"item_"&amp;CONTROL[[#This Row],[VEHIDCODE]]</f>
        <v>item_steam_LNER_A4_Gresley</v>
      </c>
      <c r="O90" s="21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  <c r="R90" t="str" cm="1">
        <f t="array" ref="R90">_xlfn.XLOOKUP(CONTROL[[#This Row],[VEHIDCODE]],GRAPHICS_PROPERTIES[VEHIDCODE],GRAPHICS_PROPERTIES[TEMPLATE_ID]&amp;GRAPHICS_PROPERTIES[TEMPLATE_AMENDMENT_CODE])</f>
        <v>TPL_03A</v>
      </c>
    </row>
    <row r="91" spans="1:18" x14ac:dyDescent="0.35">
      <c r="A91" s="2" t="s">
        <v>2732</v>
      </c>
      <c r="B91" s="21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2" t="s">
        <v>2108</v>
      </c>
      <c r="G91" t="s">
        <v>1125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1" t="str">
        <f>"item_"&amp;CONTROL[[#This Row],[VEHIDCODE]]</f>
        <v>item_steam_MLW_Royal_Hudson</v>
      </c>
      <c r="O91" s="21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  <c r="R91" t="str" cm="1">
        <f t="array" ref="R91">_xlfn.XLOOKUP(CONTROL[[#This Row],[VEHIDCODE]],GRAPHICS_PROPERTIES[VEHIDCODE],GRAPHICS_PROPERTIES[TEMPLATE_ID]&amp;GRAPHICS_PROPERTIES[TEMPLATE_AMENDMENT_CODE])</f>
        <v>TPL_03A</v>
      </c>
    </row>
    <row r="92" spans="1:18" x14ac:dyDescent="0.35">
      <c r="A92" s="2" t="s">
        <v>2733</v>
      </c>
      <c r="B92" s="21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2" t="s">
        <v>2109</v>
      </c>
      <c r="G92" t="s">
        <v>1658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1" t="str">
        <f>"item_"&amp;CONTROL[[#This Row],[VEHIDCODE]]</f>
        <v>item_steam_NOHAB_4_6_2_F</v>
      </c>
      <c r="O92" s="21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  <c r="R92" t="str" cm="1">
        <f t="array" ref="R92">_xlfn.XLOOKUP(CONTROL[[#This Row],[VEHIDCODE]],GRAPHICS_PROPERTIES[VEHIDCODE],GRAPHICS_PROPERTIES[TEMPLATE_ID]&amp;GRAPHICS_PROPERTIES[TEMPLATE_AMENDMENT_CODE])</f>
        <v>TPL_03A</v>
      </c>
    </row>
    <row r="93" spans="1:18" x14ac:dyDescent="0.35">
      <c r="A93" s="2" t="s">
        <v>2734</v>
      </c>
      <c r="B93" s="21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2" t="s">
        <v>2110</v>
      </c>
      <c r="G93" t="s">
        <v>1654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1" t="str">
        <f>"item_"&amp;CONTROL[[#This Row],[VEHIDCODE]]</f>
        <v>item_steam_GGL_HAS_52</v>
      </c>
      <c r="O93" s="21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  <c r="R93" t="str" cm="1">
        <f t="array" ref="R93">_xlfn.XLOOKUP(CONTROL[[#This Row],[VEHIDCODE]],GRAPHICS_PROPERTIES[VEHIDCODE],GRAPHICS_PROPERTIES[TEMPLATE_ID]&amp;GRAPHICS_PROPERTIES[TEMPLATE_AMENDMENT_CODE])</f>
        <v>TPL_03A</v>
      </c>
    </row>
    <row r="94" spans="1:18" x14ac:dyDescent="0.35">
      <c r="A94" s="2" t="s">
        <v>2735</v>
      </c>
      <c r="B94" s="21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2" t="s">
        <v>2111</v>
      </c>
      <c r="G94" t="s">
        <v>1126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1" t="str">
        <f>"item_"&amp;CONTROL[[#This Row],[VEHIDCODE]]</f>
        <v>item_steam_Doncaster_Darlington_Peppercorn</v>
      </c>
      <c r="O94" s="21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  <c r="R94" t="str" cm="1">
        <f t="array" ref="R94">_xlfn.XLOOKUP(CONTROL[[#This Row],[VEHIDCODE]],GRAPHICS_PROPERTIES[VEHIDCODE],GRAPHICS_PROPERTIES[TEMPLATE_ID]&amp;GRAPHICS_PROPERTIES[TEMPLATE_AMENDMENT_CODE])</f>
        <v>TPL_03A</v>
      </c>
    </row>
    <row r="95" spans="1:18" x14ac:dyDescent="0.35">
      <c r="A95" s="2" t="s">
        <v>2736</v>
      </c>
      <c r="B95" s="21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2" t="s">
        <v>3694</v>
      </c>
      <c r="G95" t="s">
        <v>1127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1" t="str">
        <f>"item_"&amp;CONTROL[[#This Row],[VEHIDCODE]]</f>
        <v>item_steam_Henschel___Son_Condenser</v>
      </c>
      <c r="O95" s="21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  <c r="R95" t="str" cm="1">
        <f t="array" ref="R95">_xlfn.XLOOKUP(CONTROL[[#This Row],[VEHIDCODE]],GRAPHICS_PROPERTIES[VEHIDCODE],GRAPHICS_PROPERTIES[TEMPLATE_ID]&amp;GRAPHICS_PROPERTIES[TEMPLATE_AMENDMENT_CODE])</f>
        <v>TPL_03A</v>
      </c>
    </row>
    <row r="96" spans="1:18" x14ac:dyDescent="0.35">
      <c r="A96" s="2" t="s">
        <v>2737</v>
      </c>
      <c r="B96" s="21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2" t="s">
        <v>3506</v>
      </c>
      <c r="G96" t="s">
        <v>1128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1" t="str">
        <f>"item_"&amp;CONTROL[[#This Row],[VEHIDCODE]]</f>
        <v>item_steam_Kolomena_P36</v>
      </c>
      <c r="O96" s="21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  <c r="R96" t="str" cm="1">
        <f t="array" ref="R96">_xlfn.XLOOKUP(CONTROL[[#This Row],[VEHIDCODE]],GRAPHICS_PROPERTIES[VEHIDCODE],GRAPHICS_PROPERTIES[TEMPLATE_ID]&amp;GRAPHICS_PROPERTIES[TEMPLATE_AMENDMENT_CODE])</f>
        <v>TPL_03A</v>
      </c>
    </row>
    <row r="97" spans="1:18" x14ac:dyDescent="0.35">
      <c r="A97" s="2" t="s">
        <v>2738</v>
      </c>
      <c r="B97" s="21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2" t="s">
        <v>2112</v>
      </c>
      <c r="G97" t="s">
        <v>1129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1" t="str">
        <f>"item_"&amp;CONTROL[[#This Row],[VEHIDCODE]]</f>
        <v>item_steam_ANF_DEL_150B</v>
      </c>
      <c r="O97" s="21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  <c r="R97" t="str" cm="1">
        <f t="array" ref="R97">_xlfn.XLOOKUP(CONTROL[[#This Row],[VEHIDCODE]],GRAPHICS_PROPERTIES[VEHIDCODE],GRAPHICS_PROPERTIES[TEMPLATE_ID]&amp;GRAPHICS_PROPERTIES[TEMPLATE_AMENDMENT_CODE])</f>
        <v>TPL_03A</v>
      </c>
    </row>
    <row r="98" spans="1:18" x14ac:dyDescent="0.35">
      <c r="A98" s="2" t="s">
        <v>2739</v>
      </c>
      <c r="B98" s="21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2" t="s">
        <v>2603</v>
      </c>
      <c r="G98" t="s">
        <v>1130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1" t="str">
        <f>"item_"&amp;CONTROL[[#This Row],[VEHIDCODE]]</f>
        <v>item_steam_Henschel_895</v>
      </c>
      <c r="O98" s="21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  <c r="R98" t="str" cm="1">
        <f t="array" ref="R98">_xlfn.XLOOKUP(CONTROL[[#This Row],[VEHIDCODE]],GRAPHICS_PROPERTIES[VEHIDCODE],GRAPHICS_PROPERTIES[TEMPLATE_ID]&amp;GRAPHICS_PROPERTIES[TEMPLATE_AMENDMENT_CODE])</f>
        <v>TPL_03C</v>
      </c>
    </row>
    <row r="99" spans="1:18" x14ac:dyDescent="0.35">
      <c r="A99" s="2" t="s">
        <v>2740</v>
      </c>
      <c r="B99" s="21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2" t="s">
        <v>2113</v>
      </c>
      <c r="G99" t="s">
        <v>1131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1" t="str">
        <f>"item_"&amp;CONTROL[[#This Row],[VEHIDCODE]]</f>
        <v>item_steam_H__Cegielski_OKz32</v>
      </c>
      <c r="O99" s="21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  <c r="R99" t="str" cm="1">
        <f t="array" ref="R99">_xlfn.XLOOKUP(CONTROL[[#This Row],[VEHIDCODE]],GRAPHICS_PROPERTIES[VEHIDCODE],GRAPHICS_PROPERTIES[TEMPLATE_ID]&amp;GRAPHICS_PROPERTIES[TEMPLATE_AMENDMENT_CODE])</f>
        <v>TPL_03C</v>
      </c>
    </row>
    <row r="100" spans="1:18" x14ac:dyDescent="0.35">
      <c r="A100" s="2" t="s">
        <v>2741</v>
      </c>
      <c r="B100" s="21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2" t="s">
        <v>2114</v>
      </c>
      <c r="G100" t="s">
        <v>1132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1" t="str">
        <f>"item_"&amp;CONTROL[[#This Row],[VEHIDCODE]]</f>
        <v>item_steam_SLM_C_5_6_Elephant</v>
      </c>
      <c r="O100" s="21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  <c r="R100" t="str" cm="1">
        <f t="array" ref="R100">_xlfn.XLOOKUP(CONTROL[[#This Row],[VEHIDCODE]],GRAPHICS_PROPERTIES[VEHIDCODE],GRAPHICS_PROPERTIES[TEMPLATE_ID]&amp;GRAPHICS_PROPERTIES[TEMPLATE_AMENDMENT_CODE])</f>
        <v>TPL_03A</v>
      </c>
    </row>
    <row r="101" spans="1:18" x14ac:dyDescent="0.35">
      <c r="A101" s="2" t="s">
        <v>2742</v>
      </c>
      <c r="B101" s="21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2" t="s">
        <v>2602</v>
      </c>
      <c r="G101" t="s">
        <v>1133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1" t="str">
        <f>"item_"&amp;CONTROL[[#This Row],[VEHIDCODE]]</f>
        <v>item_steam_ALCO_series_4000_4_8_8_4_Big_Boy</v>
      </c>
      <c r="O101" s="21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  <c r="R101" t="str" cm="1">
        <f t="array" ref="R101">_xlfn.XLOOKUP(CONTROL[[#This Row],[VEHIDCODE]],GRAPHICS_PROPERTIES[VEHIDCODE],GRAPHICS_PROPERTIES[TEMPLATE_ID]&amp;GRAPHICS_PROPERTIES[TEMPLATE_AMENDMENT_CODE])</f>
        <v>TPL_03G</v>
      </c>
    </row>
    <row r="102" spans="1:18" x14ac:dyDescent="0.35">
      <c r="A102" s="2" t="s">
        <v>2743</v>
      </c>
      <c r="B102" s="21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2" t="s">
        <v>3681</v>
      </c>
      <c r="G102" t="s">
        <v>1134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1" t="str">
        <f>"item_"&amp;CONTROL[[#This Row],[VEHIDCODE]]</f>
        <v>item_steam_Sharp_Stewart_3557_3565</v>
      </c>
      <c r="O102" s="21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  <c r="R102" t="str" cm="1">
        <f t="array" ref="R102">_xlfn.XLOOKUP(CONTROL[[#This Row],[VEHIDCODE]],GRAPHICS_PROPERTIES[VEHIDCODE],GRAPHICS_PROPERTIES[TEMPLATE_ID]&amp;GRAPHICS_PROPERTIES[TEMPLATE_AMENDMENT_CODE])</f>
        <v>TPL_03A</v>
      </c>
    </row>
    <row r="103" spans="1:18" x14ac:dyDescent="0.35">
      <c r="A103" s="2" t="s">
        <v>2744</v>
      </c>
      <c r="B103" s="21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2" t="s">
        <v>364</v>
      </c>
      <c r="G103" t="s">
        <v>1135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1" t="str">
        <f>"item_"&amp;CONTROL[[#This Row],[VEHIDCODE]]</f>
        <v>item_steam_GWR_Iron_Duke</v>
      </c>
      <c r="O103" s="21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  <c r="R103" t="str" cm="1">
        <f t="array" ref="R103">_xlfn.XLOOKUP(CONTROL[[#This Row],[VEHIDCODE]],GRAPHICS_PROPERTIES[VEHIDCODE],GRAPHICS_PROPERTIES[TEMPLATE_ID]&amp;GRAPHICS_PROPERTIES[TEMPLATE_AMENDMENT_CODE])</f>
        <v>TPL_03A</v>
      </c>
    </row>
    <row r="104" spans="1:18" x14ac:dyDescent="0.35">
      <c r="A104" s="2" t="s">
        <v>2745</v>
      </c>
      <c r="B104" s="21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2" t="s">
        <v>2115</v>
      </c>
      <c r="G104" t="s">
        <v>1136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1" t="str">
        <f>"item_"&amp;CONTROL[[#This Row],[VEHIDCODE]]</f>
        <v>item_steam_Stephenson_0_4_2_Locomotive_No_1</v>
      </c>
      <c r="O104" s="21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  <c r="R104" t="str" cm="1">
        <f t="array" ref="R104">_xlfn.XLOOKUP(CONTROL[[#This Row],[VEHIDCODE]],GRAPHICS_PROPERTIES[VEHIDCODE],GRAPHICS_PROPERTIES[TEMPLATE_ID]&amp;GRAPHICS_PROPERTIES[TEMPLATE_AMENDMENT_CODE])</f>
        <v>TPL_03A</v>
      </c>
    </row>
    <row r="105" spans="1:18" x14ac:dyDescent="0.35">
      <c r="A105" s="2" t="s">
        <v>2746</v>
      </c>
      <c r="B105" s="21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2" t="s">
        <v>2116</v>
      </c>
      <c r="G105" t="s">
        <v>1137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1" t="str">
        <f>"item_"&amp;CONTROL[[#This Row],[VEHIDCODE]]</f>
        <v>item_steam_Cooke_4_2_2_T__D__Judah</v>
      </c>
      <c r="O105" s="21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  <c r="R105" t="str" cm="1">
        <f t="array" ref="R105">_xlfn.XLOOKUP(CONTROL[[#This Row],[VEHIDCODE]],GRAPHICS_PROPERTIES[VEHIDCODE],GRAPHICS_PROPERTIES[TEMPLATE_ID]&amp;GRAPHICS_PROPERTIES[TEMPLATE_AMENDMENT_CODE])</f>
        <v>TPL_03A</v>
      </c>
    </row>
    <row r="106" spans="1:18" x14ac:dyDescent="0.35">
      <c r="A106" s="2" t="s">
        <v>2747</v>
      </c>
      <c r="B106" s="21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2" t="s">
        <v>3682</v>
      </c>
      <c r="G106" t="s">
        <v>1138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1" t="str">
        <f>"item_"&amp;CONTROL[[#This Row],[VEHIDCODE]]</f>
        <v>item_steam_Beyer__P___Co_2_4_0_SS_9_16__21_78</v>
      </c>
      <c r="O106" s="21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  <c r="R106" t="str" cm="1">
        <f t="array" ref="R106">_xlfn.XLOOKUP(CONTROL[[#This Row],[VEHIDCODE]],GRAPHICS_PROPERTIES[VEHIDCODE],GRAPHICS_PROPERTIES[TEMPLATE_ID]&amp;GRAPHICS_PROPERTIES[TEMPLATE_AMENDMENT_CODE])</f>
        <v>TPL_03A</v>
      </c>
    </row>
    <row r="107" spans="1:18" x14ac:dyDescent="0.35">
      <c r="A107" s="2" t="s">
        <v>2748</v>
      </c>
      <c r="B107" s="21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2" t="s">
        <v>3683</v>
      </c>
      <c r="G107" t="s">
        <v>1139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1" t="str">
        <f>"item_"&amp;CONTROL[[#This Row],[VEHIDCODE]]</f>
        <v>item_steam_Beyer__P___Co_2_6_0T_1702_1706</v>
      </c>
      <c r="O107" s="21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  <c r="R107" t="str" cm="1">
        <f t="array" ref="R107">_xlfn.XLOOKUP(CONTROL[[#This Row],[VEHIDCODE]],GRAPHICS_PROPERTIES[VEHIDCODE],GRAPHICS_PROPERTIES[TEMPLATE_ID]&amp;GRAPHICS_PROPERTIES[TEMPLATE_AMENDMENT_CODE])</f>
        <v>TPL_03C</v>
      </c>
    </row>
    <row r="108" spans="1:18" x14ac:dyDescent="0.35">
      <c r="A108" s="2" t="s">
        <v>2749</v>
      </c>
      <c r="B108" s="21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2" t="s">
        <v>3684</v>
      </c>
      <c r="G108" t="s">
        <v>1140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1" t="str">
        <f>"item_"&amp;CONTROL[[#This Row],[VEHIDCODE]]</f>
        <v>item_steam_Beyer__P___Co_2_6_0_2073_2092</v>
      </c>
      <c r="O108" s="21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  <c r="R108" t="str" cm="1">
        <f t="array" ref="R108">_xlfn.XLOOKUP(CONTROL[[#This Row],[VEHIDCODE]],GRAPHICS_PROPERTIES[VEHIDCODE],GRAPHICS_PROPERTIES[TEMPLATE_ID]&amp;GRAPHICS_PROPERTIES[TEMPLATE_AMENDMENT_CODE])</f>
        <v>TPL_03A</v>
      </c>
    </row>
    <row r="109" spans="1:18" x14ac:dyDescent="0.35">
      <c r="A109" s="2" t="s">
        <v>2750</v>
      </c>
      <c r="B109" s="21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2" t="s">
        <v>365</v>
      </c>
      <c r="G109" t="s">
        <v>1142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1" t="str">
        <f>"item_"&amp;CONTROL[[#This Row],[VEHIDCODE]]</f>
        <v>item_steam_Canadian_Pacific_374</v>
      </c>
      <c r="O109" s="21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  <c r="R109" t="str" cm="1">
        <f t="array" ref="R109">_xlfn.XLOOKUP(CONTROL[[#This Row],[VEHIDCODE]],GRAPHICS_PROPERTIES[VEHIDCODE],GRAPHICS_PROPERTIES[TEMPLATE_ID]&amp;GRAPHICS_PROPERTIES[TEMPLATE_AMENDMENT_CODE])</f>
        <v>TPL_03A</v>
      </c>
    </row>
    <row r="110" spans="1:18" x14ac:dyDescent="0.35">
      <c r="A110" s="2" t="s">
        <v>2751</v>
      </c>
      <c r="B110" s="21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2" t="s">
        <v>3685</v>
      </c>
      <c r="G110" t="s">
        <v>1141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1" t="str">
        <f>"item_"&amp;CONTROL[[#This Row],[VEHIDCODE]]</f>
        <v>item_steam_Nasmyth__Wilson___Co_35_tonner_4_6_0T</v>
      </c>
      <c r="O110" s="21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  <c r="R110" t="str" cm="1">
        <f t="array" ref="R110">_xlfn.XLOOKUP(CONTROL[[#This Row],[VEHIDCODE]],GRAPHICS_PROPERTIES[VEHIDCODE],GRAPHICS_PROPERTIES[TEMPLATE_ID]&amp;GRAPHICS_PROPERTIES[TEMPLATE_AMENDMENT_CODE])</f>
        <v>TPL_03C</v>
      </c>
    </row>
    <row r="111" spans="1:18" x14ac:dyDescent="0.35">
      <c r="A111" s="2" t="s">
        <v>2752</v>
      </c>
      <c r="B111" s="21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2" t="s">
        <v>2117</v>
      </c>
      <c r="G111" t="s">
        <v>1143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1" t="str">
        <f>"item_"&amp;CONTROL[[#This Row],[VEHIDCODE]]</f>
        <v>item_steam_Schneider_RENFE_040</v>
      </c>
      <c r="O111" s="21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  <c r="R111" t="str" cm="1">
        <f t="array" ref="R111">_xlfn.XLOOKUP(CONTROL[[#This Row],[VEHIDCODE]],GRAPHICS_PROPERTIES[VEHIDCODE],GRAPHICS_PROPERTIES[TEMPLATE_ID]&amp;GRAPHICS_PROPERTIES[TEMPLATE_AMENDMENT_CODE])</f>
        <v>TPL_03A</v>
      </c>
    </row>
    <row r="112" spans="1:18" x14ac:dyDescent="0.35">
      <c r="A112" s="2" t="s">
        <v>2753</v>
      </c>
      <c r="B112" s="21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2" t="s">
        <v>2118</v>
      </c>
      <c r="G112" t="s">
        <v>1144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1" t="str">
        <f>"item_"&amp;CONTROL[[#This Row],[VEHIDCODE]]</f>
        <v>item_steam_Sachsische_Maschinenfabrik_IV_K</v>
      </c>
      <c r="O112" s="21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  <c r="R112" t="str" cm="1">
        <f t="array" ref="R112">_xlfn.XLOOKUP(CONTROL[[#This Row],[VEHIDCODE]],GRAPHICS_PROPERTIES[VEHIDCODE],GRAPHICS_PROPERTIES[TEMPLATE_ID]&amp;GRAPHICS_PROPERTIES[TEMPLATE_AMENDMENT_CODE])</f>
        <v>TPL_03C</v>
      </c>
    </row>
    <row r="113" spans="1:18" x14ac:dyDescent="0.35">
      <c r="A113" s="2" t="s">
        <v>2754</v>
      </c>
      <c r="B113" s="21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2" t="s">
        <v>2119</v>
      </c>
      <c r="G113" t="s">
        <v>1145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1" t="str">
        <f>"item_"&amp;CONTROL[[#This Row],[VEHIDCODE]]</f>
        <v>item_steam_Hanomag_S_3</v>
      </c>
      <c r="O113" s="21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  <c r="R113" t="str" cm="1">
        <f t="array" ref="R113">_xlfn.XLOOKUP(CONTROL[[#This Row],[VEHIDCODE]],GRAPHICS_PROPERTIES[VEHIDCODE],GRAPHICS_PROPERTIES[TEMPLATE_ID]&amp;GRAPHICS_PROPERTIES[TEMPLATE_AMENDMENT_CODE])</f>
        <v>TPL_03A</v>
      </c>
    </row>
    <row r="114" spans="1:18" x14ac:dyDescent="0.35">
      <c r="A114" s="2" t="s">
        <v>2755</v>
      </c>
      <c r="B114" s="21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2" t="s">
        <v>2120</v>
      </c>
      <c r="G114" t="s">
        <v>1146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1" t="str">
        <f>"item_"&amp;CONTROL[[#This Row],[VEHIDCODE]]</f>
        <v>item_steam_Thune_XXIa</v>
      </c>
      <c r="O114" s="21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  <c r="R114" t="str" cm="1">
        <f t="array" ref="R114">_xlfn.XLOOKUP(CONTROL[[#This Row],[VEHIDCODE]],GRAPHICS_PROPERTIES[VEHIDCODE],GRAPHICS_PROPERTIES[TEMPLATE_ID]&amp;GRAPHICS_PROPERTIES[TEMPLATE_AMENDMENT_CODE])</f>
        <v>TPL_03C</v>
      </c>
    </row>
    <row r="115" spans="1:18" x14ac:dyDescent="0.35">
      <c r="A115" s="2" t="s">
        <v>2756</v>
      </c>
      <c r="B115" s="21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2" t="s">
        <v>366</v>
      </c>
      <c r="G115" t="s">
        <v>1147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1" t="str">
        <f>"item_"&amp;CONTROL[[#This Row],[VEHIDCODE]]</f>
        <v>item_steam_PRR_D16</v>
      </c>
      <c r="O115" s="21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  <c r="R115" t="str" cm="1">
        <f t="array" ref="R115">_xlfn.XLOOKUP(CONTROL[[#This Row],[VEHIDCODE]],GRAPHICS_PROPERTIES[VEHIDCODE],GRAPHICS_PROPERTIES[TEMPLATE_ID]&amp;GRAPHICS_PROPERTIES[TEMPLATE_AMENDMENT_CODE])</f>
        <v>TPL_03A</v>
      </c>
    </row>
    <row r="116" spans="1:18" x14ac:dyDescent="0.35">
      <c r="A116" s="2" t="s">
        <v>2757</v>
      </c>
      <c r="B116" s="21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2" t="s">
        <v>2121</v>
      </c>
      <c r="G116" t="s">
        <v>1148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1" t="str">
        <f>"item_"&amp;CONTROL[[#This Row],[VEHIDCODE]]</f>
        <v>item_steam_Machinefabriek_Breda_661_667</v>
      </c>
      <c r="O116" s="21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  <c r="R116" t="str" cm="1">
        <f t="array" ref="R116">_xlfn.XLOOKUP(CONTROL[[#This Row],[VEHIDCODE]],GRAPHICS_PROPERTIES[VEHIDCODE],GRAPHICS_PROPERTIES[TEMPLATE_ID]&amp;GRAPHICS_PROPERTIES[TEMPLATE_AMENDMENT_CODE])</f>
        <v>TPL_03C</v>
      </c>
    </row>
    <row r="117" spans="1:18" x14ac:dyDescent="0.35">
      <c r="A117" s="2" t="s">
        <v>2758</v>
      </c>
      <c r="B117" s="21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2" t="s">
        <v>2123</v>
      </c>
      <c r="G117" t="s">
        <v>1149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1" t="str">
        <f>"item_"&amp;CONTROL[[#This Row],[VEHIDCODE]]</f>
        <v>item_steam_ALCO_46581_2_6_6_2_Mallet</v>
      </c>
      <c r="O117" s="21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  <c r="R117" t="str" cm="1">
        <f t="array" ref="R117">_xlfn.XLOOKUP(CONTROL[[#This Row],[VEHIDCODE]],GRAPHICS_PROPERTIES[VEHIDCODE],GRAPHICS_PROPERTIES[TEMPLATE_ID]&amp;GRAPHICS_PROPERTIES[TEMPLATE_AMENDMENT_CODE])</f>
        <v>TPL_03A</v>
      </c>
    </row>
    <row r="118" spans="1:18" x14ac:dyDescent="0.35">
      <c r="A118" s="2" t="s">
        <v>2759</v>
      </c>
      <c r="B118" s="21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2" t="s">
        <v>2122</v>
      </c>
      <c r="G118" t="s">
        <v>1150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1" t="str">
        <f>"item_"&amp;CONTROL[[#This Row],[VEHIDCODE]]</f>
        <v>item_steam_Orenstein___Koppel_2_8_0_8_Tender</v>
      </c>
      <c r="O118" s="21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  <c r="R118" t="str" cm="1">
        <f t="array" ref="R118">_xlfn.XLOOKUP(CONTROL[[#This Row],[VEHIDCODE]],GRAPHICS_PROPERTIES[VEHIDCODE],GRAPHICS_PROPERTIES[TEMPLATE_ID]&amp;GRAPHICS_PROPERTIES[TEMPLATE_AMENDMENT_CODE])</f>
        <v>TPL_03A</v>
      </c>
    </row>
    <row r="119" spans="1:18" x14ac:dyDescent="0.35">
      <c r="A119" s="2" t="s">
        <v>2760</v>
      </c>
      <c r="B119" s="21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2" t="s">
        <v>2124</v>
      </c>
      <c r="G119" t="s">
        <v>1151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1" t="str">
        <f>"item_"&amp;CONTROL[[#This Row],[VEHIDCODE]]</f>
        <v>item_steam_Stratford_Works_L77_LNER_N7</v>
      </c>
      <c r="O119" s="21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  <c r="R119" t="str" cm="1">
        <f t="array" ref="R119">_xlfn.XLOOKUP(CONTROL[[#This Row],[VEHIDCODE]],GRAPHICS_PROPERTIES[VEHIDCODE],GRAPHICS_PROPERTIES[TEMPLATE_ID]&amp;GRAPHICS_PROPERTIES[TEMPLATE_AMENDMENT_CODE])</f>
        <v>TPL_03C</v>
      </c>
    </row>
    <row r="120" spans="1:18" x14ac:dyDescent="0.35">
      <c r="A120" s="2" t="s">
        <v>2761</v>
      </c>
      <c r="B120" s="21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2" t="s">
        <v>2137</v>
      </c>
      <c r="G120" t="s">
        <v>1152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1" t="str">
        <f>"item_"&amp;CONTROL[[#This Row],[VEHIDCODE]]</f>
        <v>item_steam_Sachsische_Maschinenfabrik_XX_HV</v>
      </c>
      <c r="O120" s="21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  <c r="R120" t="str" cm="1">
        <f t="array" ref="R120">_xlfn.XLOOKUP(CONTROL[[#This Row],[VEHIDCODE]],GRAPHICS_PROPERTIES[VEHIDCODE],GRAPHICS_PROPERTIES[TEMPLATE_ID]&amp;GRAPHICS_PROPERTIES[TEMPLATE_AMENDMENT_CODE])</f>
        <v>TPL_03A</v>
      </c>
    </row>
    <row r="121" spans="1:18" x14ac:dyDescent="0.35">
      <c r="A121" s="2" t="s">
        <v>2762</v>
      </c>
      <c r="B121" s="21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2" t="s">
        <v>3686</v>
      </c>
      <c r="G121" t="s">
        <v>1153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1" t="str">
        <f>"item_"&amp;CONTROL[[#This Row],[VEHIDCODE]]</f>
        <v>item_steam_Beyer__P___Co_2_4_0_SS_9_16</v>
      </c>
      <c r="O121" s="21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  <c r="R121" t="str" cm="1">
        <f t="array" ref="R121">_xlfn.XLOOKUP(CONTROL[[#This Row],[VEHIDCODE]],GRAPHICS_PROPERTIES[VEHIDCODE],GRAPHICS_PROPERTIES[TEMPLATE_ID]&amp;GRAPHICS_PROPERTIES[TEMPLATE_AMENDMENT_CODE])</f>
        <v>TPL_03A</v>
      </c>
    </row>
    <row r="122" spans="1:18" x14ac:dyDescent="0.35">
      <c r="A122" s="2" t="s">
        <v>2763</v>
      </c>
      <c r="B122" s="21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2" t="s">
        <v>3687</v>
      </c>
      <c r="G122" t="s">
        <v>1154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1" t="str">
        <f>"item_"&amp;CONTROL[[#This Row],[VEHIDCODE]]</f>
        <v>item_steam_Beyer__P___Co_2_6_0_6112_6113</v>
      </c>
      <c r="O122" s="21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  <c r="R122" t="str" cm="1">
        <f t="array" ref="R122">_xlfn.XLOOKUP(CONTROL[[#This Row],[VEHIDCODE]],GRAPHICS_PROPERTIES[VEHIDCODE],GRAPHICS_PROPERTIES[TEMPLATE_ID]&amp;GRAPHICS_PROPERTIES[TEMPLATE_AMENDMENT_CODE])</f>
        <v>TPL_03A</v>
      </c>
    </row>
    <row r="123" spans="1:18" x14ac:dyDescent="0.35">
      <c r="A123" s="2" t="s">
        <v>2764</v>
      </c>
      <c r="B123" s="21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2" t="s">
        <v>2125</v>
      </c>
      <c r="G123" t="s">
        <v>1155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1" t="str">
        <f>"item_"&amp;CONTROL[[#This Row],[VEHIDCODE]]</f>
        <v>item_steam_Baldwin_10_32_E_55246</v>
      </c>
      <c r="O123" s="21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  <c r="R123" t="str" cm="1">
        <f t="array" ref="R123">_xlfn.XLOOKUP(CONTROL[[#This Row],[VEHIDCODE]],GRAPHICS_PROPERTIES[VEHIDCODE],GRAPHICS_PROPERTIES[TEMPLATE_ID]&amp;GRAPHICS_PROPERTIES[TEMPLATE_AMENDMENT_CODE])</f>
        <v>TPL_03A</v>
      </c>
    </row>
    <row r="124" spans="1:18" x14ac:dyDescent="0.35">
      <c r="A124" s="2" t="s">
        <v>3455</v>
      </c>
      <c r="B124" s="21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2" t="s">
        <v>3462</v>
      </c>
      <c r="G124" t="s">
        <v>1156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1" t="str">
        <f>"item_"&amp;CONTROL[[#This Row],[VEHIDCODE]]</f>
        <v>item_steam_Canadian_National_U_1_a_</v>
      </c>
      <c r="O124" s="21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  <c r="R124" t="str" cm="1">
        <f t="array" ref="R124">_xlfn.XLOOKUP(CONTROL[[#This Row],[VEHIDCODE]],GRAPHICS_PROPERTIES[VEHIDCODE],GRAPHICS_PROPERTIES[TEMPLATE_ID]&amp;GRAPHICS_PROPERTIES[TEMPLATE_AMENDMENT_CODE])</f>
        <v>TPL_03A</v>
      </c>
    </row>
    <row r="125" spans="1:18" x14ac:dyDescent="0.35">
      <c r="A125" s="2" t="s">
        <v>2765</v>
      </c>
      <c r="B125" s="21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2" t="s">
        <v>3637</v>
      </c>
      <c r="G125" t="s">
        <v>1157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1" t="str">
        <f>"item_"&amp;CONTROL[[#This Row],[VEHIDCODE]]</f>
        <v>item_steam_Vulcan_Foundry_2_6_4_Class_XB</v>
      </c>
      <c r="O125" s="21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  <c r="R125" t="str" cm="1">
        <f t="array" ref="R125">_xlfn.XLOOKUP(CONTROL[[#This Row],[VEHIDCODE]],GRAPHICS_PROPERTIES[VEHIDCODE],GRAPHICS_PROPERTIES[TEMPLATE_ID]&amp;GRAPHICS_PROPERTIES[TEMPLATE_AMENDMENT_CODE])</f>
        <v>TPL_03A</v>
      </c>
    </row>
    <row r="126" spans="1:18" x14ac:dyDescent="0.35">
      <c r="A126" s="2" t="s">
        <v>2766</v>
      </c>
      <c r="B126" s="21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2" t="s">
        <v>2276</v>
      </c>
      <c r="G126" t="s">
        <v>1158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1" t="str">
        <f>"item_"&amp;CONTROL[[#This Row],[VEHIDCODE]]</f>
        <v>item_steam_Robert_Stephenson_4_6_2_6982_6985</v>
      </c>
      <c r="O126" s="21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  <c r="R126" t="str" cm="1">
        <f t="array" ref="R126">_xlfn.XLOOKUP(CONTROL[[#This Row],[VEHIDCODE]],GRAPHICS_PROPERTIES[VEHIDCODE],GRAPHICS_PROPERTIES[TEMPLATE_ID]&amp;GRAPHICS_PROPERTIES[TEMPLATE_AMENDMENT_CODE])</f>
        <v>TPL_03A</v>
      </c>
    </row>
    <row r="127" spans="1:18" x14ac:dyDescent="0.35">
      <c r="A127" s="2" t="s">
        <v>2767</v>
      </c>
      <c r="B127" s="21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2" t="s">
        <v>3528</v>
      </c>
      <c r="G127" t="s">
        <v>3527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1" t="str">
        <f>"item_"&amp;CONTROL[[#This Row],[VEHIDCODE]]</f>
        <v>item_steam_ENR_1100__LMS_Fowler_3F___WD_0_6_0T_</v>
      </c>
      <c r="O127" s="21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  <c r="R127" t="str" cm="1">
        <f t="array" ref="R127">_xlfn.XLOOKUP(CONTROL[[#This Row],[VEHIDCODE]],GRAPHICS_PROPERTIES[VEHIDCODE],GRAPHICS_PROPERTIES[TEMPLATE_ID]&amp;GRAPHICS_PROPERTIES[TEMPLATE_AMENDMENT_CODE])</f>
        <v>TPL_03C</v>
      </c>
    </row>
    <row r="128" spans="1:18" x14ac:dyDescent="0.35">
      <c r="A128" s="2" t="s">
        <v>2768</v>
      </c>
      <c r="B128" s="21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2" t="s">
        <v>2126</v>
      </c>
      <c r="G128" t="s">
        <v>1159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1" t="str">
        <f>"item_"&amp;CONTROL[[#This Row],[VEHIDCODE]]</f>
        <v>item_steam_Swindon_Works_381</v>
      </c>
      <c r="O128" s="21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  <c r="R128" t="str" cm="1">
        <f t="array" ref="R128">_xlfn.XLOOKUP(CONTROL[[#This Row],[VEHIDCODE]],GRAPHICS_PROPERTIES[VEHIDCODE],GRAPHICS_PROPERTIES[TEMPLATE_ID]&amp;GRAPHICS_PROPERTIES[TEMPLATE_AMENDMENT_CODE])</f>
        <v>TPL_03C</v>
      </c>
    </row>
    <row r="129" spans="1:18" x14ac:dyDescent="0.35">
      <c r="A129" s="2" t="s">
        <v>2769</v>
      </c>
      <c r="B129" s="21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2" t="s">
        <v>2127</v>
      </c>
      <c r="G129" t="s">
        <v>1160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1" t="str">
        <f>"item_"&amp;CONTROL[[#This Row],[VEHIDCODE]]</f>
        <v>item_steam_North_British_LC_R_4_6_4_Hudson</v>
      </c>
      <c r="O129" s="21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  <c r="R129" t="str" cm="1">
        <f t="array" ref="R129">_xlfn.XLOOKUP(CONTROL[[#This Row],[VEHIDCODE]],GRAPHICS_PROPERTIES[VEHIDCODE],GRAPHICS_PROPERTIES[TEMPLATE_ID]&amp;GRAPHICS_PROPERTIES[TEMPLATE_AMENDMENT_CODE])</f>
        <v>TPL_03A</v>
      </c>
    </row>
    <row r="130" spans="1:18" x14ac:dyDescent="0.35">
      <c r="A130" s="2" t="s">
        <v>2770</v>
      </c>
      <c r="B130" s="21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2" t="s">
        <v>2128</v>
      </c>
      <c r="G130" t="s">
        <v>1161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1" t="str">
        <f>"item_"&amp;CONTROL[[#This Row],[VEHIDCODE]]</f>
        <v>item_steam_VEB_2_10_2T_99_77_79</v>
      </c>
      <c r="O130" s="21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  <c r="R130" t="str" cm="1">
        <f t="array" ref="R130">_xlfn.XLOOKUP(CONTROL[[#This Row],[VEHIDCODE]],GRAPHICS_PROPERTIES[VEHIDCODE],GRAPHICS_PROPERTIES[TEMPLATE_ID]&amp;GRAPHICS_PROPERTIES[TEMPLATE_AMENDMENT_CODE])</f>
        <v>TPL_03C</v>
      </c>
    </row>
    <row r="131" spans="1:18" x14ac:dyDescent="0.35">
      <c r="A131" s="2" t="s">
        <v>2771</v>
      </c>
      <c r="B131" s="21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2" t="s">
        <v>2129</v>
      </c>
      <c r="G131" t="s">
        <v>1655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1" t="str">
        <f>"item_"&amp;CONTROL[[#This Row],[VEHIDCODE]]</f>
        <v>item_steam_RAW_Meiningen_4_6_2_89_</v>
      </c>
      <c r="O131" s="21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  <c r="R131" t="str" cm="1">
        <f t="array" ref="R131">_xlfn.XLOOKUP(CONTROL[[#This Row],[VEHIDCODE]],GRAPHICS_PROPERTIES[VEHIDCODE],GRAPHICS_PROPERTIES[TEMPLATE_ID]&amp;GRAPHICS_PROPERTIES[TEMPLATE_AMENDMENT_CODE])</f>
        <v>TPL_03A</v>
      </c>
    </row>
    <row r="132" spans="1:18" x14ac:dyDescent="0.35">
      <c r="A132" s="2" t="s">
        <v>2772</v>
      </c>
      <c r="B132" s="21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2" t="s">
        <v>2130</v>
      </c>
      <c r="G132" t="s">
        <v>1162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1" t="str">
        <f>"item_"&amp;CONTROL[[#This Row],[VEHIDCODE]]</f>
        <v>item_steam_NZR_4_6_4T_WAB</v>
      </c>
      <c r="O132" s="21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  <c r="R132" t="str" cm="1">
        <f t="array" ref="R132">_xlfn.XLOOKUP(CONTROL[[#This Row],[VEHIDCODE]],GRAPHICS_PROPERTIES[VEHIDCODE],GRAPHICS_PROPERTIES[TEMPLATE_ID]&amp;GRAPHICS_PROPERTIES[TEMPLATE_AMENDMENT_CODE])</f>
        <v>TPL_03C</v>
      </c>
    </row>
    <row r="133" spans="1:18" x14ac:dyDescent="0.35">
      <c r="A133" s="2" t="s">
        <v>2773</v>
      </c>
      <c r="B133" s="21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2" t="s">
        <v>2131</v>
      </c>
      <c r="G133" t="s">
        <v>1163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1" t="str">
        <f>"item_"&amp;CONTROL[[#This Row],[VEHIDCODE]]</f>
        <v>item_steam_Clyde_4_8_2_D57</v>
      </c>
      <c r="O133" s="21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  <c r="R133" t="str" cm="1">
        <f t="array" ref="R133">_xlfn.XLOOKUP(CONTROL[[#This Row],[VEHIDCODE]],GRAPHICS_PROPERTIES[VEHIDCODE],GRAPHICS_PROPERTIES[TEMPLATE_ID]&amp;GRAPHICS_PROPERTIES[TEMPLATE_AMENDMENT_CODE])</f>
        <v>TPL_03A</v>
      </c>
    </row>
    <row r="134" spans="1:18" x14ac:dyDescent="0.35">
      <c r="A134" s="2" t="s">
        <v>2774</v>
      </c>
      <c r="B134" s="21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2" t="s">
        <v>2132</v>
      </c>
      <c r="G134" t="s">
        <v>1164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1" t="str">
        <f>"item_"&amp;CONTROL[[#This Row],[VEHIDCODE]]</f>
        <v>item_steam_Islington_Railway_Workshops_81_92_520</v>
      </c>
      <c r="O134" s="21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  <c r="R134" t="str" cm="1">
        <f t="array" ref="R134">_xlfn.XLOOKUP(CONTROL[[#This Row],[VEHIDCODE]],GRAPHICS_PROPERTIES[VEHIDCODE],GRAPHICS_PROPERTIES[TEMPLATE_ID]&amp;GRAPHICS_PROPERTIES[TEMPLATE_AMENDMENT_CODE])</f>
        <v>TPL_03A</v>
      </c>
    </row>
    <row r="135" spans="1:18" x14ac:dyDescent="0.35">
      <c r="A135" s="2" t="s">
        <v>2775</v>
      </c>
      <c r="B135" s="21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2" t="s">
        <v>3688</v>
      </c>
      <c r="G135" t="s">
        <v>1165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1" t="str">
        <f>"item_"&amp;CONTROL[[#This Row],[VEHIDCODE]]</f>
        <v>item_steam_Beyer__P___Co_4_8_4_4_8_4_7473_7497</v>
      </c>
      <c r="O135" s="21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  <c r="R135" t="str" cm="1">
        <f t="array" ref="R135">_xlfn.XLOOKUP(CONTROL[[#This Row],[VEHIDCODE]],GRAPHICS_PROPERTIES[VEHIDCODE],GRAPHICS_PROPERTIES[TEMPLATE_ID]&amp;GRAPHICS_PROPERTIES[TEMPLATE_AMENDMENT_CODE])</f>
        <v>TPL_17C</v>
      </c>
    </row>
    <row r="136" spans="1:18" x14ac:dyDescent="0.35">
      <c r="A136" s="2" t="s">
        <v>2776</v>
      </c>
      <c r="B136" s="21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2" t="s">
        <v>367</v>
      </c>
      <c r="G136" t="s">
        <v>1166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1" t="str">
        <f>"item_"&amp;CONTROL[[#This Row],[VEHIDCODE]]</f>
        <v>item_steam_AFE_N1_2_6_0</v>
      </c>
      <c r="O136" s="21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  <c r="R136" t="str" cm="1">
        <f t="array" ref="R136">_xlfn.XLOOKUP(CONTROL[[#This Row],[VEHIDCODE]],GRAPHICS_PROPERTIES[VEHIDCODE],GRAPHICS_PROPERTIES[TEMPLATE_ID]&amp;GRAPHICS_PROPERTIES[TEMPLATE_AMENDMENT_CODE])</f>
        <v>TPL_03A</v>
      </c>
    </row>
    <row r="137" spans="1:18" x14ac:dyDescent="0.35">
      <c r="A137" s="2" t="s">
        <v>2777</v>
      </c>
      <c r="B137" s="21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2" t="s">
        <v>2133</v>
      </c>
      <c r="G137" t="s">
        <v>1168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1" t="str">
        <f>"item_"&amp;CONTROL[[#This Row],[VEHIDCODE]]</f>
        <v>item_steam_Sir_Armstrong_Whithworth___Co__PS11</v>
      </c>
      <c r="O137" s="21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  <c r="R137" t="str" cm="1">
        <f t="array" ref="R137">_xlfn.XLOOKUP(CONTROL[[#This Row],[VEHIDCODE]],GRAPHICS_PROPERTIES[VEHIDCODE],GRAPHICS_PROPERTIES[TEMPLATE_ID]&amp;GRAPHICS_PROPERTIES[TEMPLATE_AMENDMENT_CODE])</f>
        <v>TPL_03A</v>
      </c>
    </row>
    <row r="138" spans="1:18" x14ac:dyDescent="0.35">
      <c r="A138" s="2" t="s">
        <v>2778</v>
      </c>
      <c r="B138" s="21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2" t="s">
        <v>2134</v>
      </c>
      <c r="G138" t="s">
        <v>1803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1" t="str">
        <f>"item_"&amp;CONTROL[[#This Row],[VEHIDCODE]]</f>
        <v>item_steam_Alexander_Chaplin___Co__1584_0_4_0VB</v>
      </c>
      <c r="O138" s="21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  <c r="R138" t="str" cm="1">
        <f t="array" ref="R138">_xlfn.XLOOKUP(CONTROL[[#This Row],[VEHIDCODE]],GRAPHICS_PROPERTIES[VEHIDCODE],GRAPHICS_PROPERTIES[TEMPLATE_ID]&amp;GRAPHICS_PROPERTIES[TEMPLATE_AMENDMENT_CODE])</f>
        <v>TPL_03C</v>
      </c>
    </row>
    <row r="139" spans="1:18" x14ac:dyDescent="0.35">
      <c r="A139" s="2" t="s">
        <v>2779</v>
      </c>
      <c r="B139" s="21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2" t="s">
        <v>2135</v>
      </c>
      <c r="G139" t="s">
        <v>1169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1" t="str">
        <f>"item_"&amp;CONTROL[[#This Row],[VEHIDCODE]]</f>
        <v>item_steam_Falcon_Engine_and_Car_Works_F2</v>
      </c>
      <c r="O139" s="21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  <c r="R139" t="str" cm="1">
        <f t="array" ref="R139">_xlfn.XLOOKUP(CONTROL[[#This Row],[VEHIDCODE]],GRAPHICS_PROPERTIES[VEHIDCODE],GRAPHICS_PROPERTIES[TEMPLATE_ID]&amp;GRAPHICS_PROPERTIES[TEMPLATE_AMENDMENT_CODE])</f>
        <v>TPL_03A</v>
      </c>
    </row>
    <row r="140" spans="1:18" x14ac:dyDescent="0.35">
      <c r="A140" s="2" t="s">
        <v>2780</v>
      </c>
      <c r="B140" s="21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2" t="s">
        <v>2136</v>
      </c>
      <c r="G140" t="s">
        <v>1170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1" t="str">
        <f>"item_"&amp;CONTROL[[#This Row],[VEHIDCODE]]</f>
        <v>item_steam_Ansaldo_R_440_Mallet</v>
      </c>
      <c r="O140" s="21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  <c r="R140" t="str" cm="1">
        <f t="array" ref="R140">_xlfn.XLOOKUP(CONTROL[[#This Row],[VEHIDCODE]],GRAPHICS_PROPERTIES[VEHIDCODE],GRAPHICS_PROPERTIES[TEMPLATE_ID]&amp;GRAPHICS_PROPERTIES[TEMPLATE_AMENDMENT_CODE])</f>
        <v>TPL_03C</v>
      </c>
    </row>
    <row r="141" spans="1:18" x14ac:dyDescent="0.35">
      <c r="A141" s="2" t="s">
        <v>2781</v>
      </c>
      <c r="B141" s="21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2" t="s">
        <v>2277</v>
      </c>
      <c r="G141" t="s">
        <v>1171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1" t="str">
        <f>"item_"&amp;CONTROL[[#This Row],[VEHIDCODE]]</f>
        <v>item_steam_Beyer__P___Co__4_8_0_6128_6133</v>
      </c>
      <c r="O141" s="21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  <c r="R141" t="str" cm="1">
        <f t="array" ref="R141">_xlfn.XLOOKUP(CONTROL[[#This Row],[VEHIDCODE]],GRAPHICS_PROPERTIES[VEHIDCODE],GRAPHICS_PROPERTIES[TEMPLATE_ID]&amp;GRAPHICS_PROPERTIES[TEMPLATE_AMENDMENT_CODE])</f>
        <v>TPL_03A</v>
      </c>
    </row>
    <row r="142" spans="1:18" x14ac:dyDescent="0.35">
      <c r="A142" s="2" t="s">
        <v>2782</v>
      </c>
      <c r="B142" s="21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2" t="s">
        <v>2278</v>
      </c>
      <c r="G142" t="s">
        <v>1172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1" t="str">
        <f>"item_"&amp;CONTROL[[#This Row],[VEHIDCODE]]</f>
        <v>item_steam_Vulcan_Foundry_4_8_2_4318_4320</v>
      </c>
      <c r="O142" s="21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  <c r="R142" t="str" cm="1">
        <f t="array" ref="R142">_xlfn.XLOOKUP(CONTROL[[#This Row],[VEHIDCODE]],GRAPHICS_PROPERTIES[VEHIDCODE],GRAPHICS_PROPERTIES[TEMPLATE_ID]&amp;GRAPHICS_PROPERTIES[TEMPLATE_AMENDMENT_CODE])</f>
        <v>TPL_03A</v>
      </c>
    </row>
    <row r="143" spans="1:18" x14ac:dyDescent="0.35">
      <c r="A143" s="2" t="s">
        <v>2783</v>
      </c>
      <c r="B143" s="21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2" t="s">
        <v>2138</v>
      </c>
      <c r="G143" t="s">
        <v>1173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1" t="str">
        <f>"item_"&amp;CONTROL[[#This Row],[VEHIDCODE]]</f>
        <v>item_steam_Beyer__P___Co__4_6_4_4_6_4_15th</v>
      </c>
      <c r="O143" s="21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  <c r="R143" t="str" cm="1">
        <f t="array" ref="R143">_xlfn.XLOOKUP(CONTROL[[#This Row],[VEHIDCODE]],GRAPHICS_PROPERTIES[VEHIDCODE],GRAPHICS_PROPERTIES[TEMPLATE_ID]&amp;GRAPHICS_PROPERTIES[TEMPLATE_AMENDMENT_CODE])</f>
        <v>TPL_17C</v>
      </c>
    </row>
    <row r="144" spans="1:18" x14ac:dyDescent="0.35">
      <c r="A144" s="2" t="s">
        <v>2784</v>
      </c>
      <c r="B144" s="21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2" t="s">
        <v>2139</v>
      </c>
      <c r="G144" t="s">
        <v>1174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1" t="str">
        <f>"item_"&amp;CONTROL[[#This Row],[VEHIDCODE]]</f>
        <v>item_steam_Beyer__P___Co__4_8_2_2_8_4_7550_7552</v>
      </c>
      <c r="O144" s="21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  <c r="R144" t="str" cm="1">
        <f t="array" ref="R144">_xlfn.XLOOKUP(CONTROL[[#This Row],[VEHIDCODE]],GRAPHICS_PROPERTIES[VEHIDCODE],GRAPHICS_PROPERTIES[TEMPLATE_ID]&amp;GRAPHICS_PROPERTIES[TEMPLATE_AMENDMENT_CODE])</f>
        <v>TPL_17C</v>
      </c>
    </row>
    <row r="145" spans="1:18" x14ac:dyDescent="0.35">
      <c r="A145" s="2" t="s">
        <v>2785</v>
      </c>
      <c r="B145" s="21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2" t="s">
        <v>2140</v>
      </c>
      <c r="G145" t="s">
        <v>1175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1" t="str">
        <f>"item_"&amp;CONTROL[[#This Row],[VEHIDCODE]]</f>
        <v>item_steam_Vulcan_Foundry_2_8_4_6228</v>
      </c>
      <c r="O145" s="21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  <c r="R145" t="str" cm="1">
        <f t="array" ref="R145">_xlfn.XLOOKUP(CONTROL[[#This Row],[VEHIDCODE]],GRAPHICS_PROPERTIES[VEHIDCODE],GRAPHICS_PROPERTIES[TEMPLATE_ID]&amp;GRAPHICS_PROPERTIES[TEMPLATE_AMENDMENT_CODE])</f>
        <v>TPL_03A</v>
      </c>
    </row>
    <row r="146" spans="1:18" x14ac:dyDescent="0.35">
      <c r="A146" s="2" t="s">
        <v>2786</v>
      </c>
      <c r="B146" s="21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2" t="s">
        <v>2141</v>
      </c>
      <c r="G146" t="s">
        <v>1176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1" t="str">
        <f>"item_"&amp;CONTROL[[#This Row],[VEHIDCODE]]</f>
        <v>item_steam_Kitson_2_2_2WT_481_Fairy_Queen</v>
      </c>
      <c r="O146" s="21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  <c r="R146" t="str" cm="1">
        <f t="array" ref="R146">_xlfn.XLOOKUP(CONTROL[[#This Row],[VEHIDCODE]],GRAPHICS_PROPERTIES[VEHIDCODE],GRAPHICS_PROPERTIES[TEMPLATE_ID]&amp;GRAPHICS_PROPERTIES[TEMPLATE_AMENDMENT_CODE])</f>
        <v>TPL_03C</v>
      </c>
    </row>
    <row r="147" spans="1:18" x14ac:dyDescent="0.35">
      <c r="A147" s="2" t="s">
        <v>2787</v>
      </c>
      <c r="B147" s="21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2" t="s">
        <v>3689</v>
      </c>
      <c r="G147" t="s">
        <v>1177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1" t="str">
        <f>"item_"&amp;CONTROL[[#This Row],[VEHIDCODE]]</f>
        <v>item_steam_Sharp__Stewart___Co_0_4_0ST_DHR_B</v>
      </c>
      <c r="O147" s="21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  <c r="R147" t="str" cm="1">
        <f t="array" ref="R147">_xlfn.XLOOKUP(CONTROL[[#This Row],[VEHIDCODE]],GRAPHICS_PROPERTIES[VEHIDCODE],GRAPHICS_PROPERTIES[TEMPLATE_ID]&amp;GRAPHICS_PROPERTIES[TEMPLATE_AMENDMENT_CODE])</f>
        <v>TPL_03A</v>
      </c>
    </row>
    <row r="148" spans="1:18" x14ac:dyDescent="0.35">
      <c r="A148" s="2" t="s">
        <v>2788</v>
      </c>
      <c r="B148" s="21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2" t="s">
        <v>2142</v>
      </c>
      <c r="G148" t="s">
        <v>1178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1" t="str">
        <f>"item_"&amp;CONTROL[[#This Row],[VEHIDCODE]]</f>
        <v>item_steam_Baldwin_2_8_0_Sentetsu_Sorii</v>
      </c>
      <c r="O148" s="21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  <c r="R148" t="str" cm="1">
        <f t="array" ref="R148">_xlfn.XLOOKUP(CONTROL[[#This Row],[VEHIDCODE]],GRAPHICS_PROPERTIES[VEHIDCODE],GRAPHICS_PROPERTIES[TEMPLATE_ID]&amp;GRAPHICS_PROPERTIES[TEMPLATE_AMENDMENT_CODE])</f>
        <v>TPL_03A</v>
      </c>
    </row>
    <row r="149" spans="1:18" x14ac:dyDescent="0.35">
      <c r="A149" s="2" t="s">
        <v>2789</v>
      </c>
      <c r="B149" s="21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2" t="s">
        <v>2143</v>
      </c>
      <c r="G149" t="s">
        <v>1180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1" t="str">
        <f>"item_"&amp;CONTROL[[#This Row],[VEHIDCODE]]</f>
        <v>item_steam_Putilov_4_6_0_U</v>
      </c>
      <c r="O149" s="21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  <c r="R149" t="str" cm="1">
        <f t="array" ref="R149">_xlfn.XLOOKUP(CONTROL[[#This Row],[VEHIDCODE]],GRAPHICS_PROPERTIES[VEHIDCODE],GRAPHICS_PROPERTIES[TEMPLATE_ID]&amp;GRAPHICS_PROPERTIES[TEMPLATE_AMENDMENT_CODE])</f>
        <v>TPL_03A</v>
      </c>
    </row>
    <row r="150" spans="1:18" x14ac:dyDescent="0.35">
      <c r="A150" s="2" t="s">
        <v>2790</v>
      </c>
      <c r="B150" s="21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2" t="s">
        <v>2144</v>
      </c>
      <c r="G150" t="s">
        <v>1179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1" t="str">
        <f>"item_"&amp;CONTROL[[#This Row],[VEHIDCODE]]</f>
        <v>item_steam_Baldwin_12_44_F_2_10_0_Ye</v>
      </c>
      <c r="O150" s="21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  <c r="R150" t="str" cm="1">
        <f t="array" ref="R150">_xlfn.XLOOKUP(CONTROL[[#This Row],[VEHIDCODE]],GRAPHICS_PROPERTIES[VEHIDCODE],GRAPHICS_PROPERTIES[TEMPLATE_ID]&amp;GRAPHICS_PROPERTIES[TEMPLATE_AMENDMENT_CODE])</f>
        <v>TPL_03A</v>
      </c>
    </row>
    <row r="151" spans="1:18" x14ac:dyDescent="0.35">
      <c r="A151" s="2" t="s">
        <v>2791</v>
      </c>
      <c r="B151" s="21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2" t="s">
        <v>2145</v>
      </c>
      <c r="G151" t="s">
        <v>1181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1" t="str">
        <f>"item_"&amp;CONTROL[[#This Row],[VEHIDCODE]]</f>
        <v>item_steam_Baldwin_4_6_0_50201</v>
      </c>
      <c r="O151" s="21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  <c r="R151" t="str" cm="1">
        <f t="array" ref="R151">_xlfn.XLOOKUP(CONTROL[[#This Row],[VEHIDCODE]],GRAPHICS_PROPERTIES[VEHIDCODE],GRAPHICS_PROPERTIES[TEMPLATE_ID]&amp;GRAPHICS_PROPERTIES[TEMPLATE_AMENDMENT_CODE])</f>
        <v>TPL_03A</v>
      </c>
    </row>
    <row r="152" spans="1:18" x14ac:dyDescent="0.35">
      <c r="A152" s="2" t="s">
        <v>2792</v>
      </c>
      <c r="B152" s="21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2" t="s">
        <v>368</v>
      </c>
      <c r="G152" t="s">
        <v>1182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1" t="str">
        <f>"item_"&amp;CONTROL[[#This Row],[VEHIDCODE]]</f>
        <v>item_steam_FS_480</v>
      </c>
      <c r="O152" s="21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  <c r="R152" t="str" cm="1">
        <f t="array" ref="R152">_xlfn.XLOOKUP(CONTROL[[#This Row],[VEHIDCODE]],GRAPHICS_PROPERTIES[VEHIDCODE],GRAPHICS_PROPERTIES[TEMPLATE_ID]&amp;GRAPHICS_PROPERTIES[TEMPLATE_AMENDMENT_CODE])</f>
        <v>TPL_03A</v>
      </c>
    </row>
    <row r="153" spans="1:18" x14ac:dyDescent="0.35">
      <c r="A153" s="2" t="s">
        <v>2793</v>
      </c>
      <c r="B153" s="21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2" t="s">
        <v>369</v>
      </c>
      <c r="G153" t="s">
        <v>1183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1" t="str">
        <f>"item_"&amp;CONTROL[[#This Row],[VEHIDCODE]]</f>
        <v>item_steam_FS_691</v>
      </c>
      <c r="O153" s="21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  <c r="R153" t="str" cm="1">
        <f t="array" ref="R153">_xlfn.XLOOKUP(CONTROL[[#This Row],[VEHIDCODE]],GRAPHICS_PROPERTIES[VEHIDCODE],GRAPHICS_PROPERTIES[TEMPLATE_ID]&amp;GRAPHICS_PROPERTIES[TEMPLATE_AMENDMENT_CODE])</f>
        <v>TPL_03A</v>
      </c>
    </row>
    <row r="154" spans="1:18" x14ac:dyDescent="0.35">
      <c r="A154" s="2" t="s">
        <v>2794</v>
      </c>
      <c r="B154" s="21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2" t="s">
        <v>2146</v>
      </c>
      <c r="G154" t="s">
        <v>1184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1" t="str">
        <f>"item_"&amp;CONTROL[[#This Row],[VEHIDCODE]]</f>
        <v>item_steam_North_British_Lb_2_10_0</v>
      </c>
      <c r="O154" s="21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  <c r="R154" t="str" cm="1">
        <f t="array" ref="R154">_xlfn.XLOOKUP(CONTROL[[#This Row],[VEHIDCODE]],GRAPHICS_PROPERTIES[VEHIDCODE],GRAPHICS_PROPERTIES[TEMPLATE_ID]&amp;GRAPHICS_PROPERTIES[TEMPLATE_AMENDMENT_CODE])</f>
        <v>TPL_03A</v>
      </c>
    </row>
    <row r="155" spans="1:18" x14ac:dyDescent="0.35">
      <c r="A155" s="2" t="s">
        <v>2795</v>
      </c>
      <c r="B155" s="21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2" t="s">
        <v>2147</v>
      </c>
      <c r="G155" t="s">
        <v>1185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1" t="str">
        <f>"item_"&amp;CONTROL[[#This Row],[VEHIDCODE]]</f>
        <v>item_steam_ALCO_Baldwin_2_8_0_USATC_S160</v>
      </c>
      <c r="O155" s="21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  <c r="R155" t="str" cm="1">
        <f t="array" ref="R155">_xlfn.XLOOKUP(CONTROL[[#This Row],[VEHIDCODE]],GRAPHICS_PROPERTIES[VEHIDCODE],GRAPHICS_PROPERTIES[TEMPLATE_ID]&amp;GRAPHICS_PROPERTIES[TEMPLATE_AMENDMENT_CODE])</f>
        <v>TPL_03C</v>
      </c>
    </row>
    <row r="156" spans="1:18" x14ac:dyDescent="0.35">
      <c r="A156" s="2" t="s">
        <v>3474</v>
      </c>
      <c r="B156" s="21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2" t="s">
        <v>3475</v>
      </c>
      <c r="G156" t="s">
        <v>1186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1" t="str">
        <f>"item_"&amp;CONTROL[[#This Row],[VEHIDCODE]]</f>
        <v>item_steam_RENFE_4_8_4_242F_Confederacion</v>
      </c>
      <c r="O156" s="21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  <c r="R156" t="str" cm="1">
        <f t="array" ref="R156">_xlfn.XLOOKUP(CONTROL[[#This Row],[VEHIDCODE]],GRAPHICS_PROPERTIES[VEHIDCODE],GRAPHICS_PROPERTIES[TEMPLATE_ID]&amp;GRAPHICS_PROPERTIES[TEMPLATE_AMENDMENT_CODE])</f>
        <v>TPL_03A</v>
      </c>
    </row>
    <row r="157" spans="1:18" x14ac:dyDescent="0.35">
      <c r="A157" s="2" t="s">
        <v>2796</v>
      </c>
      <c r="B157" s="21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2" t="s">
        <v>2575</v>
      </c>
      <c r="G157" t="s">
        <v>1187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1" t="str">
        <f>"item_"&amp;CONTROL[[#This Row],[VEHIDCODE]]</f>
        <v>item_steam_Skoda_6Lo</v>
      </c>
      <c r="O157" s="21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  <c r="R157" t="str" cm="1">
        <f t="array" ref="R157">_xlfn.XLOOKUP(CONTROL[[#This Row],[VEHIDCODE]],GRAPHICS_PROPERTIES[VEHIDCODE],GRAPHICS_PROPERTIES[TEMPLATE_ID]&amp;GRAPHICS_PROPERTIES[TEMPLATE_AMENDMENT_CODE])</f>
        <v>TPL_03A</v>
      </c>
    </row>
    <row r="158" spans="1:18" x14ac:dyDescent="0.35">
      <c r="A158" s="2" t="s">
        <v>2797</v>
      </c>
      <c r="B158" s="21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2" t="s">
        <v>2148</v>
      </c>
      <c r="G158" t="s">
        <v>1188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1" t="str">
        <f>"item_"&amp;CONTROL[[#This Row],[VEHIDCODE]]</f>
        <v>item_steam_Hanomag_Fablok_4_6_0_Ok22</v>
      </c>
      <c r="O158" s="21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  <c r="R158" t="str" cm="1">
        <f t="array" ref="R158">_xlfn.XLOOKUP(CONTROL[[#This Row],[VEHIDCODE]],GRAPHICS_PROPERTIES[VEHIDCODE],GRAPHICS_PROPERTIES[TEMPLATE_ID]&amp;GRAPHICS_PROPERTIES[TEMPLATE_AMENDMENT_CODE])</f>
        <v>TPL_03A</v>
      </c>
    </row>
    <row r="159" spans="1:18" x14ac:dyDescent="0.35">
      <c r="A159" s="2" t="s">
        <v>2798</v>
      </c>
      <c r="B159" s="21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2" t="s">
        <v>2149</v>
      </c>
      <c r="G159" t="s">
        <v>1189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1" t="str">
        <f>"item_"&amp;CONTROL[[#This Row],[VEHIDCODE]]</f>
        <v>item_steam_MAVAG_4_8_0_424</v>
      </c>
      <c r="O159" s="21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  <c r="R159" t="str" cm="1">
        <f t="array" ref="R159">_xlfn.XLOOKUP(CONTROL[[#This Row],[VEHIDCODE]],GRAPHICS_PROPERTIES[VEHIDCODE],GRAPHICS_PROPERTIES[TEMPLATE_ID]&amp;GRAPHICS_PROPERTIES[TEMPLATE_AMENDMENT_CODE])</f>
        <v>TPL_03A</v>
      </c>
    </row>
    <row r="160" spans="1:18" x14ac:dyDescent="0.35">
      <c r="A160" s="2" t="s">
        <v>2799</v>
      </c>
      <c r="B160" s="21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2" t="s">
        <v>2150</v>
      </c>
      <c r="G160" t="s">
        <v>1190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1" t="str">
        <f>"item_"&amp;CONTROL[[#This Row],[VEHIDCODE]]</f>
        <v>item_steam_MAVAG_4_4_4T_242</v>
      </c>
      <c r="O160" s="21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  <c r="R160" t="str" cm="1">
        <f t="array" ref="R160">_xlfn.XLOOKUP(CONTROL[[#This Row],[VEHIDCODE]],GRAPHICS_PROPERTIES[VEHIDCODE],GRAPHICS_PROPERTIES[TEMPLATE_ID]&amp;GRAPHICS_PROPERTIES[TEMPLATE_AMENDMENT_CODE])</f>
        <v>TPL_03C</v>
      </c>
    </row>
    <row r="161" spans="1:18" x14ac:dyDescent="0.35">
      <c r="A161" s="2" t="s">
        <v>2800</v>
      </c>
      <c r="B161" s="21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2" t="s">
        <v>2151</v>
      </c>
      <c r="G161" t="s">
        <v>1659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1" t="str">
        <f>"item_"&amp;CONTROL[[#This Row],[VEHIDCODE]]</f>
        <v>item_steam_Vulcan_Foundry_2_8_0_Liberation</v>
      </c>
      <c r="O161" s="21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  <c r="R161" t="str" cm="1">
        <f t="array" ref="R161">_xlfn.XLOOKUP(CONTROL[[#This Row],[VEHIDCODE]],GRAPHICS_PROPERTIES[VEHIDCODE],GRAPHICS_PROPERTIES[TEMPLATE_ID]&amp;GRAPHICS_PROPERTIES[TEMPLATE_AMENDMENT_CODE])</f>
        <v>TPL_03A</v>
      </c>
    </row>
    <row r="162" spans="1:18" x14ac:dyDescent="0.35">
      <c r="A162" s="2" t="s">
        <v>2801</v>
      </c>
      <c r="B162" s="21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2" t="s">
        <v>2152</v>
      </c>
      <c r="G162" t="s">
        <v>1191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1" t="str">
        <f>"item_"&amp;CONTROL[[#This Row],[VEHIDCODE]]</f>
        <v>item_steam_Fablok_2_6_2_OI49</v>
      </c>
      <c r="O162" s="21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  <c r="R162" t="str" cm="1">
        <f t="array" ref="R162">_xlfn.XLOOKUP(CONTROL[[#This Row],[VEHIDCODE]],GRAPHICS_PROPERTIES[VEHIDCODE],GRAPHICS_PROPERTIES[TEMPLATE_ID]&amp;GRAPHICS_PROPERTIES[TEMPLATE_AMENDMENT_CODE])</f>
        <v>TPL_03A</v>
      </c>
    </row>
    <row r="163" spans="1:18" x14ac:dyDescent="0.35">
      <c r="A163" s="2" t="s">
        <v>2802</v>
      </c>
      <c r="B163" s="21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2" t="s">
        <v>2153</v>
      </c>
      <c r="G163" t="s">
        <v>1192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1" t="str">
        <f>"item_"&amp;CONTROL[[#This Row],[VEHIDCODE]]</f>
        <v>item_steam_Floridsdorf_2_6_2_KkStB_310</v>
      </c>
      <c r="O163" s="21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  <c r="R163" t="str" cm="1">
        <f t="array" ref="R163">_xlfn.XLOOKUP(CONTROL[[#This Row],[VEHIDCODE]],GRAPHICS_PROPERTIES[VEHIDCODE],GRAPHICS_PROPERTIES[TEMPLATE_ID]&amp;GRAPHICS_PROPERTIES[TEMPLATE_AMENDMENT_CODE])</f>
        <v>TPL_03A</v>
      </c>
    </row>
    <row r="164" spans="1:18" x14ac:dyDescent="0.35">
      <c r="A164" s="2" t="s">
        <v>2803</v>
      </c>
      <c r="B164" s="21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2" t="s">
        <v>2279</v>
      </c>
      <c r="G164" t="s">
        <v>1193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1" t="str">
        <f>"item_"&amp;CONTROL[[#This Row],[VEHIDCODE]]</f>
        <v>item_steam_Lima__4_8_4_7798_7817_Daylight</v>
      </c>
      <c r="O164" s="21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  <c r="R164" t="str" cm="1">
        <f t="array" ref="R164">_xlfn.XLOOKUP(CONTROL[[#This Row],[VEHIDCODE]],GRAPHICS_PROPERTIES[VEHIDCODE],GRAPHICS_PROPERTIES[TEMPLATE_ID]&amp;GRAPHICS_PROPERTIES[TEMPLATE_AMENDMENT_CODE])</f>
        <v>TPL_03A</v>
      </c>
    </row>
    <row r="165" spans="1:18" x14ac:dyDescent="0.35">
      <c r="A165" s="2" t="s">
        <v>2804</v>
      </c>
      <c r="B165" s="21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2" t="s">
        <v>2154</v>
      </c>
      <c r="G165" t="s">
        <v>1194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1" t="str">
        <f>"item_"&amp;CONTROL[[#This Row],[VEHIDCODE]]</f>
        <v>item_steam_GS_WR_0_6_0_101</v>
      </c>
      <c r="O165" s="21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  <c r="R165" t="str" cm="1">
        <f t="array" ref="R165">_xlfn.XLOOKUP(CONTROL[[#This Row],[VEHIDCODE]],GRAPHICS_PROPERTIES[VEHIDCODE],GRAPHICS_PROPERTIES[TEMPLATE_ID]&amp;GRAPHICS_PROPERTIES[TEMPLATE_AMENDMENT_CODE])</f>
        <v>TPL_03A</v>
      </c>
    </row>
    <row r="166" spans="1:18" x14ac:dyDescent="0.35">
      <c r="A166" s="2" t="s">
        <v>2805</v>
      </c>
      <c r="B166" s="21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2" t="s">
        <v>2280</v>
      </c>
      <c r="G166" t="s">
        <v>1195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1" t="str">
        <f>"item_"&amp;CONTROL[[#This Row],[VEHIDCODE]]</f>
        <v>item_steam_ALCO_2_8_2_5100_5194_Light_Mikado</v>
      </c>
      <c r="O166" s="21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  <c r="R166" t="str" cm="1">
        <f t="array" ref="R166">_xlfn.XLOOKUP(CONTROL[[#This Row],[VEHIDCODE]],GRAPHICS_PROPERTIES[VEHIDCODE],GRAPHICS_PROPERTIES[TEMPLATE_ID]&amp;GRAPHICS_PROPERTIES[TEMPLATE_AMENDMENT_CODE])</f>
        <v>TPL_03A</v>
      </c>
    </row>
    <row r="167" spans="1:18" x14ac:dyDescent="0.35">
      <c r="A167" s="2" t="s">
        <v>2806</v>
      </c>
      <c r="B167" s="21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2" t="s">
        <v>1700</v>
      </c>
      <c r="G167" t="s">
        <v>1196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1" t="str">
        <f>"item_"&amp;CONTROL[[#This Row],[VEHIDCODE]]</f>
        <v>item_steam_FCGR__BAGS__No__315_2_4_0T</v>
      </c>
      <c r="O167" s="21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  <c r="R167" t="str" cm="1">
        <f t="array" ref="R167">_xlfn.XLOOKUP(CONTROL[[#This Row],[VEHIDCODE]],GRAPHICS_PROPERTIES[VEHIDCODE],GRAPHICS_PROPERTIES[TEMPLATE_ID]&amp;GRAPHICS_PROPERTIES[TEMPLATE_AMENDMENT_CODE])</f>
        <v>TPL_03C</v>
      </c>
    </row>
    <row r="168" spans="1:18" x14ac:dyDescent="0.35">
      <c r="A168" s="2" t="s">
        <v>2807</v>
      </c>
      <c r="B168" s="21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2" t="s">
        <v>2155</v>
      </c>
      <c r="G168" t="s">
        <v>1197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1" t="str">
        <f>"item_"&amp;CONTROL[[#This Row],[VEHIDCODE]]</f>
        <v>item_steam_Eveleigh_4_6_0_C35</v>
      </c>
      <c r="O168" s="21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  <c r="R168" t="str" cm="1">
        <f t="array" ref="R168">_xlfn.XLOOKUP(CONTROL[[#This Row],[VEHIDCODE]],GRAPHICS_PROPERTIES[VEHIDCODE],GRAPHICS_PROPERTIES[TEMPLATE_ID]&amp;GRAPHICS_PROPERTIES[TEMPLATE_AMENDMENT_CODE])</f>
        <v>TPL_03A</v>
      </c>
    </row>
    <row r="169" spans="1:18" x14ac:dyDescent="0.35">
      <c r="A169" s="2" t="s">
        <v>2808</v>
      </c>
      <c r="B169" s="21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2" t="s">
        <v>2281</v>
      </c>
      <c r="G169" t="s">
        <v>1198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1" t="str">
        <f>"item_"&amp;CONTROL[[#This Row],[VEHIDCODE]]</f>
        <v>item_steam_ALCO_2_8_0_74707_74785_Type_29</v>
      </c>
      <c r="O169" s="21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  <c r="R169" t="str" cm="1">
        <f t="array" ref="R169">_xlfn.XLOOKUP(CONTROL[[#This Row],[VEHIDCODE]],GRAPHICS_PROPERTIES[VEHIDCODE],GRAPHICS_PROPERTIES[TEMPLATE_ID]&amp;GRAPHICS_PROPERTIES[TEMPLATE_AMENDMENT_CODE])</f>
        <v>TPL_03A</v>
      </c>
    </row>
    <row r="170" spans="1:18" x14ac:dyDescent="0.35">
      <c r="A170" s="2" t="s">
        <v>2809</v>
      </c>
      <c r="B170" s="21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2" t="s">
        <v>1199</v>
      </c>
      <c r="G170" t="s">
        <v>1200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1" t="str">
        <f>"item_"&amp;CONTROL[[#This Row],[VEHIDCODE]]</f>
        <v>item_steam_FCAB_4_8_2_Vulcan_Mountain</v>
      </c>
      <c r="O170" s="21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  <c r="R170" t="str" cm="1">
        <f t="array" ref="R170">_xlfn.XLOOKUP(CONTROL[[#This Row],[VEHIDCODE]],GRAPHICS_PROPERTIES[VEHIDCODE],GRAPHICS_PROPERTIES[TEMPLATE_ID]&amp;GRAPHICS_PROPERTIES[TEMPLATE_AMENDMENT_CODE])</f>
        <v>TPL_03A</v>
      </c>
    </row>
    <row r="171" spans="1:18" x14ac:dyDescent="0.35">
      <c r="A171" s="2" t="s">
        <v>2810</v>
      </c>
      <c r="B171" s="21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2" t="s">
        <v>2282</v>
      </c>
      <c r="G171" t="s">
        <v>1201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1" t="str">
        <f>"item_"&amp;CONTROL[[#This Row],[VEHIDCODE]]</f>
        <v>item_steam_Datong_QJ_2_10_2_101_3602</v>
      </c>
      <c r="O171" s="21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  <c r="R171" t="str" cm="1">
        <f t="array" ref="R171">_xlfn.XLOOKUP(CONTROL[[#This Row],[VEHIDCODE]],GRAPHICS_PROPERTIES[VEHIDCODE],GRAPHICS_PROPERTIES[TEMPLATE_ID]&amp;GRAPHICS_PROPERTIES[TEMPLATE_AMENDMENT_CODE])</f>
        <v>TPL_03A</v>
      </c>
    </row>
    <row r="172" spans="1:18" x14ac:dyDescent="0.35">
      <c r="A172" s="2" t="s">
        <v>2811</v>
      </c>
      <c r="B172" s="21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2" t="s">
        <v>3530</v>
      </c>
      <c r="G172" t="s">
        <v>1202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1" t="str">
        <f>"item_"&amp;CONTROL[[#This Row],[VEHIDCODE]]</f>
        <v>item_diesel_DB_Kof_II___DB_322</v>
      </c>
      <c r="O172" s="21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  <c r="R172" t="str" cm="1">
        <f t="array" ref="R172">_xlfn.XLOOKUP(CONTROL[[#This Row],[VEHIDCODE]],GRAPHICS_PROPERTIES[VEHIDCODE],GRAPHICS_PROPERTIES[TEMPLATE_ID]&amp;GRAPHICS_PROPERTIES[TEMPLATE_AMENDMENT_CODE])</f>
        <v>TPL_01A</v>
      </c>
    </row>
    <row r="173" spans="1:18" x14ac:dyDescent="0.35">
      <c r="A173" s="2" t="s">
        <v>2812</v>
      </c>
      <c r="B173" s="21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2" t="s">
        <v>1203</v>
      </c>
      <c r="G173" t="s">
        <v>1205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1" t="str">
        <f>"item_"&amp;CONTROL[[#This Row],[VEHIDCODE]]</f>
        <v>item_diesel_CNJ_ALCo_GE_IR_Boxcab_100T</v>
      </c>
      <c r="O173" s="21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  <c r="R173" t="str" cm="1">
        <f t="array" ref="R173">_xlfn.XLOOKUP(CONTROL[[#This Row],[VEHIDCODE]],GRAPHICS_PROPERTIES[VEHIDCODE],GRAPHICS_PROPERTIES[TEMPLATE_ID]&amp;GRAPHICS_PROPERTIES[TEMPLATE_AMENDMENT_CODE])</f>
        <v>TPL_01A</v>
      </c>
    </row>
    <row r="174" spans="1:18" x14ac:dyDescent="0.35">
      <c r="A174" s="2" t="s">
        <v>2813</v>
      </c>
      <c r="B174" s="21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2" t="s">
        <v>2156</v>
      </c>
      <c r="G174" t="s">
        <v>1204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1" t="str">
        <f>"item_"&amp;CONTROL[[#This Row],[VEHIDCODE]]</f>
        <v>item_diesel_Werkspoor_200_Sik</v>
      </c>
      <c r="O174" s="21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  <c r="R174" t="str" cm="1">
        <f t="array" ref="R174">_xlfn.XLOOKUP(CONTROL[[#This Row],[VEHIDCODE]],GRAPHICS_PROPERTIES[VEHIDCODE],GRAPHICS_PROPERTIES[TEMPLATE_ID]&amp;GRAPHICS_PROPERTIES[TEMPLATE_AMENDMENT_CODE])</f>
        <v>TPL_01A</v>
      </c>
    </row>
    <row r="175" spans="1:18" x14ac:dyDescent="0.35">
      <c r="A175" s="2" t="s">
        <v>2814</v>
      </c>
      <c r="B175" s="21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2" t="s">
        <v>2157</v>
      </c>
      <c r="G175" t="s">
        <v>1206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1" t="str">
        <f>"item_"&amp;CONTROL[[#This Row],[VEHIDCODE]]</f>
        <v>item_diesel_BMAG_WR_200_B_14</v>
      </c>
      <c r="O175" s="21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  <c r="R175" t="str" cm="1">
        <f t="array" ref="R175">_xlfn.XLOOKUP(CONTROL[[#This Row],[VEHIDCODE]],GRAPHICS_PROPERTIES[VEHIDCODE],GRAPHICS_PROPERTIES[TEMPLATE_ID]&amp;GRAPHICS_PROPERTIES[TEMPLATE_AMENDMENT_CODE])</f>
        <v>TPL_03C</v>
      </c>
    </row>
    <row r="176" spans="1:18" x14ac:dyDescent="0.35">
      <c r="A176" s="2" t="s">
        <v>2815</v>
      </c>
      <c r="B176" s="21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2" t="s">
        <v>1979</v>
      </c>
      <c r="G176" t="s">
        <v>1207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1" t="str">
        <f>"item_"&amp;CONTROL[[#This Row],[VEHIDCODE]]</f>
        <v>item_diesel_BBC_SLM_Am_4_6</v>
      </c>
      <c r="O176" s="21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  <c r="R176" t="str" cm="1">
        <f t="array" ref="R176">_xlfn.XLOOKUP(CONTROL[[#This Row],[VEHIDCODE]],GRAPHICS_PROPERTIES[VEHIDCODE],GRAPHICS_PROPERTIES[TEMPLATE_ID]&amp;GRAPHICS_PROPERTIES[TEMPLATE_AMENDMENT_CODE])</f>
        <v>TPL_01A</v>
      </c>
    </row>
    <row r="177" spans="1:18" x14ac:dyDescent="0.35">
      <c r="A177" s="2" t="s">
        <v>2816</v>
      </c>
      <c r="B177" s="21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2" t="s">
        <v>2600</v>
      </c>
      <c r="G177" t="s">
        <v>1208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1" t="str">
        <f>"item_"&amp;CONTROL[[#This Row],[VEHIDCODE]]</f>
        <v>item_diesel_GE_44_ton_switcher</v>
      </c>
      <c r="O177" s="21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  <c r="R177" t="str" cm="1">
        <f t="array" ref="R177">_xlfn.XLOOKUP(CONTROL[[#This Row],[VEHIDCODE]],GRAPHICS_PROPERTIES[VEHIDCODE],GRAPHICS_PROPERTIES[TEMPLATE_ID]&amp;GRAPHICS_PROPERTIES[TEMPLATE_AMENDMENT_CODE])</f>
        <v>TPL_01A</v>
      </c>
    </row>
    <row r="178" spans="1:18" x14ac:dyDescent="0.35">
      <c r="A178" s="2" t="s">
        <v>2817</v>
      </c>
      <c r="B178" s="21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2" t="s">
        <v>1980</v>
      </c>
      <c r="G178" t="s">
        <v>1210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1" t="str">
        <f>"item_"&amp;CONTROL[[#This Row],[VEHIDCODE]]</f>
        <v>item_diesel_ALCO_S_2</v>
      </c>
      <c r="O178" s="21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  <c r="R178" t="str" cm="1">
        <f t="array" ref="R178">_xlfn.XLOOKUP(CONTROL[[#This Row],[VEHIDCODE]],GRAPHICS_PROPERTIES[VEHIDCODE],GRAPHICS_PROPERTIES[TEMPLATE_ID]&amp;GRAPHICS_PROPERTIES[TEMPLATE_AMENDMENT_CODE])</f>
        <v>TPL_01A</v>
      </c>
    </row>
    <row r="179" spans="1:18" x14ac:dyDescent="0.35">
      <c r="A179" s="2" t="s">
        <v>2818</v>
      </c>
      <c r="B179" s="21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2" t="s">
        <v>1981</v>
      </c>
      <c r="G179" t="s">
        <v>1209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1" t="str">
        <f>"item_"&amp;CONTROL[[#This Row],[VEHIDCODE]]</f>
        <v>item_diesel_EMD_F3</v>
      </c>
      <c r="O179" s="21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  <c r="R179" t="str" cm="1">
        <f t="array" ref="R179">_xlfn.XLOOKUP(CONTROL[[#This Row],[VEHIDCODE]],GRAPHICS_PROPERTIES[VEHIDCODE],GRAPHICS_PROPERTIES[TEMPLATE_ID]&amp;GRAPHICS_PROPERTIES[TEMPLATE_AMENDMENT_CODE])</f>
        <v>TPL_17B</v>
      </c>
    </row>
    <row r="180" spans="1:18" x14ac:dyDescent="0.35">
      <c r="A180" s="2" t="s">
        <v>2819</v>
      </c>
      <c r="B180" s="21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2" t="s">
        <v>1982</v>
      </c>
      <c r="G180" t="s">
        <v>1212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1" t="str">
        <f>"item_"&amp;CONTROL[[#This Row],[VEHIDCODE]]</f>
        <v>item_diesel_EMD_E8</v>
      </c>
      <c r="O180" s="21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  <c r="R180" t="str" cm="1">
        <f t="array" ref="R180">_xlfn.XLOOKUP(CONTROL[[#This Row],[VEHIDCODE]],GRAPHICS_PROPERTIES[VEHIDCODE],GRAPHICS_PROPERTIES[TEMPLATE_ID]&amp;GRAPHICS_PROPERTIES[TEMPLATE_AMENDMENT_CODE])</f>
        <v>TPL_17B</v>
      </c>
    </row>
    <row r="181" spans="1:18" x14ac:dyDescent="0.35">
      <c r="A181" s="2" t="s">
        <v>2820</v>
      </c>
      <c r="B181" s="21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2" t="s">
        <v>3513</v>
      </c>
      <c r="G181" t="s">
        <v>1214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1" t="str">
        <f>"item_"&amp;CONTROL[[#This Row],[VEHIDCODE]]</f>
        <v>item_diesel_EFCB_ALCO_RS_3</v>
      </c>
      <c r="O181" s="21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  <c r="R181" t="str" cm="1">
        <f t="array" ref="R181">_xlfn.XLOOKUP(CONTROL[[#This Row],[VEHIDCODE]],GRAPHICS_PROPERTIES[VEHIDCODE],GRAPHICS_PROPERTIES[TEMPLATE_ID]&amp;GRAPHICS_PROPERTIES[TEMPLATE_AMENDMENT_CODE])</f>
        <v>TPL_01A</v>
      </c>
    </row>
    <row r="182" spans="1:18" x14ac:dyDescent="0.35">
      <c r="A182" s="2" t="s">
        <v>2821</v>
      </c>
      <c r="B182" s="21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2" t="s">
        <v>2158</v>
      </c>
      <c r="G182" t="s">
        <v>1215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1" t="str">
        <f>"item_"&amp;CONTROL[[#This Row],[VEHIDCODE]]</f>
        <v>item_diesel_English_Electric_Bakkie</v>
      </c>
      <c r="O182" s="21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  <c r="R182" t="str" cm="1">
        <f t="array" ref="R182">_xlfn.XLOOKUP(CONTROL[[#This Row],[VEHIDCODE]],GRAPHICS_PROPERTIES[VEHIDCODE],GRAPHICS_PROPERTIES[TEMPLATE_ID]&amp;GRAPHICS_PROPERTIES[TEMPLATE_AMENDMENT_CODE])</f>
        <v>TPL_03C</v>
      </c>
    </row>
    <row r="183" spans="1:18" x14ac:dyDescent="0.35">
      <c r="A183" s="2" t="s">
        <v>2822</v>
      </c>
      <c r="B183" s="21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2" t="s">
        <v>1983</v>
      </c>
      <c r="G183" t="s">
        <v>1216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1" t="str">
        <f>"item_"&amp;CONTROL[[#This Row],[VEHIDCODE]]</f>
        <v>item_diesel_Baldwin_RF_16_Sharknose</v>
      </c>
      <c r="O183" s="21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  <c r="R183" t="str" cm="1">
        <f t="array" ref="R183">_xlfn.XLOOKUP(CONTROL[[#This Row],[VEHIDCODE]],GRAPHICS_PROPERTIES[VEHIDCODE],GRAPHICS_PROPERTIES[TEMPLATE_ID]&amp;GRAPHICS_PROPERTIES[TEMPLATE_AMENDMENT_CODE])</f>
        <v>TPL_17B</v>
      </c>
    </row>
    <row r="184" spans="1:18" x14ac:dyDescent="0.35">
      <c r="A184" s="2" t="s">
        <v>2823</v>
      </c>
      <c r="B184" s="21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2" t="s">
        <v>370</v>
      </c>
      <c r="G184" t="s">
        <v>1166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1" t="str">
        <f>"item_"&amp;CONTROL[[#This Row],[VEHIDCODE]]</f>
        <v>item_diesel_AFE_1500</v>
      </c>
      <c r="O184" s="21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  <c r="R184" t="str" cm="1">
        <f t="array" ref="R184">_xlfn.XLOOKUP(CONTROL[[#This Row],[VEHIDCODE]],GRAPHICS_PROPERTIES[VEHIDCODE],GRAPHICS_PROPERTIES[TEMPLATE_ID]&amp;GRAPHICS_PROPERTIES[TEMPLATE_AMENDMENT_CODE])</f>
        <v>TPL_01A</v>
      </c>
    </row>
    <row r="185" spans="1:18" x14ac:dyDescent="0.35">
      <c r="A185" s="2" t="s">
        <v>2824</v>
      </c>
      <c r="B185" s="21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2" t="s">
        <v>1984</v>
      </c>
      <c r="G185" t="s">
        <v>1217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1" t="str">
        <f>"item_"&amp;CONTROL[[#This Row],[VEHIDCODE]]</f>
        <v>item_diesel_FM_H_24_66_Trainmaster</v>
      </c>
      <c r="O185" s="21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  <c r="R185" t="str" cm="1">
        <f t="array" ref="R185">_xlfn.XLOOKUP(CONTROL[[#This Row],[VEHIDCODE]],GRAPHICS_PROPERTIES[VEHIDCODE],GRAPHICS_PROPERTIES[TEMPLATE_ID]&amp;GRAPHICS_PROPERTIES[TEMPLATE_AMENDMENT_CODE])</f>
        <v>TPL_01A</v>
      </c>
    </row>
    <row r="186" spans="1:18" x14ac:dyDescent="0.35">
      <c r="A186" s="2" t="s">
        <v>2825</v>
      </c>
      <c r="B186" s="21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2" t="s">
        <v>2159</v>
      </c>
      <c r="G186" t="s">
        <v>1218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1" t="str">
        <f>"item_"&amp;CONTROL[[#This Row],[VEHIDCODE]]</f>
        <v>item_diesel_BR_Class_08_0_6_0DE</v>
      </c>
      <c r="O186" s="21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  <c r="R186" t="str" cm="1">
        <f t="array" ref="R186">_xlfn.XLOOKUP(CONTROL[[#This Row],[VEHIDCODE]],GRAPHICS_PROPERTIES[VEHIDCODE],GRAPHICS_PROPERTIES[TEMPLATE_ID]&amp;GRAPHICS_PROPERTIES[TEMPLATE_AMENDMENT_CODE])</f>
        <v>TPL_03C</v>
      </c>
    </row>
    <row r="187" spans="1:18" x14ac:dyDescent="0.35">
      <c r="A187" s="2" t="s">
        <v>2826</v>
      </c>
      <c r="B187" s="21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2" t="s">
        <v>2160</v>
      </c>
      <c r="G187" t="s">
        <v>1219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1" t="str">
        <f>"item_"&amp;CONTROL[[#This Row],[VEHIDCODE]]</f>
        <v>item_diesel_Jenbacher_Werke_2060</v>
      </c>
      <c r="O187" s="21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  <c r="R187" t="str" cm="1">
        <f t="array" ref="R187">_xlfn.XLOOKUP(CONTROL[[#This Row],[VEHIDCODE]],GRAPHICS_PROPERTIES[VEHIDCODE],GRAPHICS_PROPERTIES[TEMPLATE_ID]&amp;GRAPHICS_PROPERTIES[TEMPLATE_AMENDMENT_CODE])</f>
        <v>TPL_01A</v>
      </c>
    </row>
    <row r="188" spans="1:18" x14ac:dyDescent="0.35">
      <c r="A188" s="2" t="s">
        <v>2827</v>
      </c>
      <c r="B188" s="21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2" t="s">
        <v>1985</v>
      </c>
      <c r="G188" t="s">
        <v>1220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1" t="str">
        <f>"item_"&amp;CONTROL[[#This Row],[VEHIDCODE]]</f>
        <v>item_diesel_EMD_SW1200</v>
      </c>
      <c r="O188" s="21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  <c r="R188" t="str" cm="1">
        <f t="array" ref="R188">_xlfn.XLOOKUP(CONTROL[[#This Row],[VEHIDCODE]],GRAPHICS_PROPERTIES[VEHIDCODE],GRAPHICS_PROPERTIES[TEMPLATE_ID]&amp;GRAPHICS_PROPERTIES[TEMPLATE_AMENDMENT_CODE])</f>
        <v>TPL_01A</v>
      </c>
    </row>
    <row r="189" spans="1:18" x14ac:dyDescent="0.35">
      <c r="A189" s="2" t="s">
        <v>2828</v>
      </c>
      <c r="B189" s="21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2" t="s">
        <v>1986</v>
      </c>
      <c r="G189" t="s">
        <v>1221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1" t="str">
        <f>"item_"&amp;CONTROL[[#This Row],[VEHIDCODE]]</f>
        <v>item_diesel_EMD_FP9</v>
      </c>
      <c r="O189" s="21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  <c r="R189" t="str" cm="1">
        <f t="array" ref="R189">_xlfn.XLOOKUP(CONTROL[[#This Row],[VEHIDCODE]],GRAPHICS_PROPERTIES[VEHIDCODE],GRAPHICS_PROPERTIES[TEMPLATE_ID]&amp;GRAPHICS_PROPERTIES[TEMPLATE_AMENDMENT_CODE])</f>
        <v>TPL_17B</v>
      </c>
    </row>
    <row r="190" spans="1:18" x14ac:dyDescent="0.35">
      <c r="A190" s="2" t="s">
        <v>2829</v>
      </c>
      <c r="B190" s="21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2" t="s">
        <v>2586</v>
      </c>
      <c r="G190" t="s">
        <v>1211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1" t="str">
        <f>"item_"&amp;CONTROL[[#This Row],[VEHIDCODE]]</f>
        <v>item_diesel_Ganz_MAVAG_DVM2_M44</v>
      </c>
      <c r="O190" s="21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  <c r="R190" t="str" cm="1">
        <f t="array" ref="R190">_xlfn.XLOOKUP(CONTROL[[#This Row],[VEHIDCODE]],GRAPHICS_PROPERTIES[VEHIDCODE],GRAPHICS_PROPERTIES[TEMPLATE_ID]&amp;GRAPHICS_PROPERTIES[TEMPLATE_AMENDMENT_CODE])</f>
        <v>TPL_01A</v>
      </c>
    </row>
    <row r="191" spans="1:18" x14ac:dyDescent="0.35">
      <c r="A191" s="2" t="s">
        <v>3439</v>
      </c>
      <c r="B191" s="21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2" t="s">
        <v>2619</v>
      </c>
      <c r="G191" t="s">
        <v>1222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1" t="str">
        <f>"item_"&amp;CONTROL[[#This Row],[VEHIDCODE]]</f>
        <v>item_diesel_Raba_M_030_M28</v>
      </c>
      <c r="O191" s="21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  <c r="R191" t="str" cm="1">
        <f t="array" ref="R191">_xlfn.XLOOKUP(CONTROL[[#This Row],[VEHIDCODE]],GRAPHICS_PROPERTIES[VEHIDCODE],GRAPHICS_PROPERTIES[TEMPLATE_ID]&amp;GRAPHICS_PROPERTIES[TEMPLATE_AMENDMENT_CODE])</f>
        <v>TPL_01A</v>
      </c>
    </row>
    <row r="192" spans="1:18" x14ac:dyDescent="0.35">
      <c r="A192" s="2" t="s">
        <v>3440</v>
      </c>
      <c r="B192" s="21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2" t="s">
        <v>3441</v>
      </c>
      <c r="G192" t="s">
        <v>1223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1" t="str">
        <f>"item_"&amp;CONTROL[[#This Row],[VEHIDCODE]]</f>
        <v>item_diesel_Cockerill_Sambre_HLD_serie_83</v>
      </c>
      <c r="O192" s="21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  <c r="R192" t="str" cm="1">
        <f t="array" ref="R192">_xlfn.XLOOKUP(CONTROL[[#This Row],[VEHIDCODE]],GRAPHICS_PROPERTIES[VEHIDCODE],GRAPHICS_PROPERTIES[TEMPLATE_ID]&amp;GRAPHICS_PROPERTIES[TEMPLATE_AMENDMENT_CODE])</f>
        <v>TPL_03C</v>
      </c>
    </row>
    <row r="193" spans="1:18" x14ac:dyDescent="0.35">
      <c r="A193" s="2" t="s">
        <v>2830</v>
      </c>
      <c r="B193" s="21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2" t="s">
        <v>2161</v>
      </c>
      <c r="G193" t="s">
        <v>1224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1" t="str">
        <f>"item_"&amp;CONTROL[[#This Row],[VEHIDCODE]]</f>
        <v>item_diesel_Krauss_Maffei_V200</v>
      </c>
      <c r="O193" s="21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  <c r="R193" t="str" cm="1">
        <f t="array" ref="R193">_xlfn.XLOOKUP(CONTROL[[#This Row],[VEHIDCODE]],GRAPHICS_PROPERTIES[VEHIDCODE],GRAPHICS_PROPERTIES[TEMPLATE_ID]&amp;GRAPHICS_PROPERTIES[TEMPLATE_AMENDMENT_CODE])</f>
        <v>TPL_01A</v>
      </c>
    </row>
    <row r="194" spans="1:18" x14ac:dyDescent="0.35">
      <c r="A194" s="2" t="s">
        <v>2831</v>
      </c>
      <c r="B194" s="21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2" t="s">
        <v>1987</v>
      </c>
      <c r="G194" t="s">
        <v>1225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1" t="str">
        <f>"item_"&amp;CONTROL[[#This Row],[VEHIDCODE]]</f>
        <v>item_diesel_EMD_FL9</v>
      </c>
      <c r="O194" s="21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  <c r="R194" t="str" cm="1">
        <f t="array" ref="R194">_xlfn.XLOOKUP(CONTROL[[#This Row],[VEHIDCODE]],GRAPHICS_PROPERTIES[VEHIDCODE],GRAPHICS_PROPERTIES[TEMPLATE_ID]&amp;GRAPHICS_PROPERTIES[TEMPLATE_AMENDMENT_CODE])</f>
        <v>TPL_01A</v>
      </c>
    </row>
    <row r="195" spans="1:18" x14ac:dyDescent="0.35">
      <c r="A195" s="2" t="s">
        <v>2832</v>
      </c>
      <c r="B195" s="21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2" t="s">
        <v>1966</v>
      </c>
      <c r="G195" t="s">
        <v>1226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1" t="str">
        <f>"item_"&amp;CONTROL[[#This Row],[VEHIDCODE]]</f>
        <v>item_diesel_CKD_T_435_0</v>
      </c>
      <c r="O195" s="21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  <c r="R195" t="str" cm="1">
        <f t="array" ref="R195">_xlfn.XLOOKUP(CONTROL[[#This Row],[VEHIDCODE]],GRAPHICS_PROPERTIES[VEHIDCODE],GRAPHICS_PROPERTIES[TEMPLATE_ID]&amp;GRAPHICS_PROPERTIES[TEMPLATE_AMENDMENT_CODE])</f>
        <v>TPL_01A</v>
      </c>
    </row>
    <row r="196" spans="1:18" x14ac:dyDescent="0.35">
      <c r="A196" s="2" t="s">
        <v>2833</v>
      </c>
      <c r="B196" s="21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2" t="s">
        <v>2601</v>
      </c>
      <c r="G196" t="s">
        <v>1227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1" t="str">
        <f>"item_"&amp;CONTROL[[#This Row],[VEHIDCODE]]</f>
        <v>item_diesel_Valmet_Lokomo_Dr12</v>
      </c>
      <c r="O196" s="21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  <c r="R196" t="str" cm="1">
        <f t="array" ref="R196">_xlfn.XLOOKUP(CONTROL[[#This Row],[VEHIDCODE]],GRAPHICS_PROPERTIES[VEHIDCODE],GRAPHICS_PROPERTIES[TEMPLATE_ID]&amp;GRAPHICS_PROPERTIES[TEMPLATE_AMENDMENT_CODE])</f>
        <v>TPL_01A</v>
      </c>
    </row>
    <row r="197" spans="1:18" x14ac:dyDescent="0.35">
      <c r="A197" s="2" t="s">
        <v>2834</v>
      </c>
      <c r="B197" s="21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2" t="s">
        <v>1988</v>
      </c>
      <c r="G197" t="s">
        <v>1228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1" t="str">
        <f>"item_"&amp;CONTROL[[#This Row],[VEHIDCODE]]</f>
        <v>item_diesel_Electroputre_060_DA</v>
      </c>
      <c r="O197" s="21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  <c r="R197" t="str" cm="1">
        <f t="array" ref="R197">_xlfn.XLOOKUP(CONTROL[[#This Row],[VEHIDCODE]],GRAPHICS_PROPERTIES[VEHIDCODE],GRAPHICS_PROPERTIES[TEMPLATE_ID]&amp;GRAPHICS_PROPERTIES[TEMPLATE_AMENDMENT_CODE])</f>
        <v>TPL_01A</v>
      </c>
    </row>
    <row r="198" spans="1:18" x14ac:dyDescent="0.35">
      <c r="A198" s="2" t="s">
        <v>2835</v>
      </c>
      <c r="B198" s="21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2" t="s">
        <v>1989</v>
      </c>
      <c r="G198" t="s">
        <v>1229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1" t="str">
        <f>"item_"&amp;CONTROL[[#This Row],[VEHIDCODE]]</f>
        <v>item_diesel_EMD_GL8</v>
      </c>
      <c r="O198" s="21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  <c r="R198" t="str" cm="1">
        <f t="array" ref="R198">_xlfn.XLOOKUP(CONTROL[[#This Row],[VEHIDCODE]],GRAPHICS_PROPERTIES[VEHIDCODE],GRAPHICS_PROPERTIES[TEMPLATE_ID]&amp;GRAPHICS_PROPERTIES[TEMPLATE_AMENDMENT_CODE])</f>
        <v>TPL_03F</v>
      </c>
    </row>
    <row r="199" spans="1:18" x14ac:dyDescent="0.35">
      <c r="A199" s="2" t="s">
        <v>2836</v>
      </c>
      <c r="B199" s="21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2" t="s">
        <v>2014</v>
      </c>
      <c r="G199" t="s">
        <v>1230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1" t="str">
        <f>"item_"&amp;CONTROL[[#This Row],[VEHIDCODE]]</f>
        <v>item_diesel_Krauss_Maffei_ML_4000</v>
      </c>
      <c r="O199" s="21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  <c r="R199" t="str" cm="1">
        <f t="array" ref="R199">_xlfn.XLOOKUP(CONTROL[[#This Row],[VEHIDCODE]],GRAPHICS_PROPERTIES[VEHIDCODE],GRAPHICS_PROPERTIES[TEMPLATE_ID]&amp;GRAPHICS_PROPERTIES[TEMPLATE_AMENDMENT_CODE])</f>
        <v>TPL_01A</v>
      </c>
    </row>
    <row r="200" spans="1:18" x14ac:dyDescent="0.35">
      <c r="A200" s="2" t="s">
        <v>2837</v>
      </c>
      <c r="B200" s="21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2" t="s">
        <v>1990</v>
      </c>
      <c r="G200" t="s">
        <v>1231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1" t="str">
        <f>"item_"&amp;CONTROL[[#This Row],[VEHIDCODE]]</f>
        <v>item_diesel_Kolomna_TEP60</v>
      </c>
      <c r="O200" s="21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  <c r="R200" t="str" cm="1">
        <f t="array" ref="R200">_xlfn.XLOOKUP(CONTROL[[#This Row],[VEHIDCODE]],GRAPHICS_PROPERTIES[VEHIDCODE],GRAPHICS_PROPERTIES[TEMPLATE_ID]&amp;GRAPHICS_PROPERTIES[TEMPLATE_AMENDMENT_CODE])</f>
        <v>TPL_01A</v>
      </c>
    </row>
    <row r="201" spans="1:18" x14ac:dyDescent="0.35">
      <c r="A201" s="2" t="s">
        <v>2838</v>
      </c>
      <c r="B201" s="21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2" t="s">
        <v>2162</v>
      </c>
      <c r="G201" t="s">
        <v>1232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1" t="str">
        <f>"item_"&amp;CONTROL[[#This Row],[VEHIDCODE]]</f>
        <v>item_diesel_BN_ACEC_62</v>
      </c>
      <c r="O201" s="21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  <c r="R201" t="str" cm="1">
        <f t="array" ref="R201">_xlfn.XLOOKUP(CONTROL[[#This Row],[VEHIDCODE]],GRAPHICS_PROPERTIES[VEHIDCODE],GRAPHICS_PROPERTIES[TEMPLATE_ID]&amp;GRAPHICS_PROPERTIES[TEMPLATE_AMENDMENT_CODE])</f>
        <v>TPL_01A</v>
      </c>
    </row>
    <row r="202" spans="1:18" x14ac:dyDescent="0.35">
      <c r="A202" s="2" t="s">
        <v>2839</v>
      </c>
      <c r="B202" s="21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2" t="s">
        <v>1991</v>
      </c>
      <c r="G202" t="s">
        <v>1233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1" t="str">
        <f>"item_"&amp;CONTROL[[#This Row],[VEHIDCODE]]</f>
        <v>item_diesel_MaK_100</v>
      </c>
      <c r="O202" s="21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  <c r="R202" t="str" cm="1">
        <f t="array" ref="R202">_xlfn.XLOOKUP(CONTROL[[#This Row],[VEHIDCODE]],GRAPHICS_PROPERTIES[VEHIDCODE],GRAPHICS_PROPERTIES[TEMPLATE_ID]&amp;GRAPHICS_PROPERTIES[TEMPLATE_AMENDMENT_CODE])</f>
        <v>TPL_01A</v>
      </c>
    </row>
    <row r="203" spans="1:18" x14ac:dyDescent="0.35">
      <c r="A203" s="2" t="s">
        <v>2840</v>
      </c>
      <c r="B203" s="21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2" t="s">
        <v>2163</v>
      </c>
      <c r="G203" t="s">
        <v>1234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1" t="str">
        <f>"item_"&amp;CONTROL[[#This Row],[VEHIDCODE]]</f>
        <v>item_diesel_ALCO_DL560C_WDM_2</v>
      </c>
      <c r="O203" s="21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  <c r="R203" t="str" cm="1">
        <f t="array" ref="R203">_xlfn.XLOOKUP(CONTROL[[#This Row],[VEHIDCODE]],GRAPHICS_PROPERTIES[VEHIDCODE],GRAPHICS_PROPERTIES[TEMPLATE_ID]&amp;GRAPHICS_PROPERTIES[TEMPLATE_AMENDMENT_CODE])</f>
        <v>TPL_01A</v>
      </c>
    </row>
    <row r="204" spans="1:18" x14ac:dyDescent="0.35">
      <c r="A204" s="2" t="s">
        <v>2841</v>
      </c>
      <c r="B204" s="21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2" t="s">
        <v>2164</v>
      </c>
      <c r="G204" t="s">
        <v>1235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1" t="str">
        <f>"item_"&amp;CONTROL[[#This Row],[VEHIDCODE]]</f>
        <v>item_diesel_BR_14_0_6_0DH</v>
      </c>
      <c r="O204" s="21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  <c r="R204" t="str" cm="1">
        <f t="array" ref="R204">_xlfn.XLOOKUP(CONTROL[[#This Row],[VEHIDCODE]],GRAPHICS_PROPERTIES[VEHIDCODE],GRAPHICS_PROPERTIES[TEMPLATE_ID]&amp;GRAPHICS_PROPERTIES[TEMPLATE_AMENDMENT_CODE])</f>
        <v>TPL_03C</v>
      </c>
    </row>
    <row r="205" spans="1:18" x14ac:dyDescent="0.35">
      <c r="A205" s="2" t="s">
        <v>2842</v>
      </c>
      <c r="B205" s="21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2" t="s">
        <v>2170</v>
      </c>
      <c r="G205" t="s">
        <v>1236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1" t="str">
        <f>"item_"&amp;CONTROL[[#This Row],[VEHIDCODE]]</f>
        <v>item_diesel_CKD_T_669</v>
      </c>
      <c r="O205" s="21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  <c r="R205" t="str" cm="1">
        <f t="array" ref="R205">_xlfn.XLOOKUP(CONTROL[[#This Row],[VEHIDCODE]],GRAPHICS_PROPERTIES[VEHIDCODE],GRAPHICS_PROPERTIES[TEMPLATE_ID]&amp;GRAPHICS_PROPERTIES[TEMPLATE_AMENDMENT_CODE])</f>
        <v>TPL_01A</v>
      </c>
    </row>
    <row r="206" spans="1:18" x14ac:dyDescent="0.35">
      <c r="A206" s="2" t="s">
        <v>2843</v>
      </c>
      <c r="B206" s="21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2" t="s">
        <v>1726</v>
      </c>
      <c r="G206" t="s">
        <v>1237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1" t="str">
        <f>"item_"&amp;CONTROL[[#This Row],[VEHIDCODE]]</f>
        <v>item_diesel_UGOFE_GM_EMD_J16CW_AC</v>
      </c>
      <c r="O206" s="21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  <c r="R206" t="str" cm="1">
        <f t="array" ref="R206">_xlfn.XLOOKUP(CONTROL[[#This Row],[VEHIDCODE]],GRAPHICS_PROPERTIES[VEHIDCODE],GRAPHICS_PROPERTIES[TEMPLATE_ID]&amp;GRAPHICS_PROPERTIES[TEMPLATE_AMENDMENT_CODE])</f>
        <v>TPL_01A</v>
      </c>
    </row>
    <row r="207" spans="1:18" x14ac:dyDescent="0.35">
      <c r="A207" s="2" t="s">
        <v>2844</v>
      </c>
      <c r="B207" s="21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2" t="s">
        <v>1992</v>
      </c>
      <c r="G207" t="s">
        <v>1238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1" t="str">
        <f>"item_"&amp;CONTROL[[#This Row],[VEHIDCODE]]</f>
        <v>item_diesel_LTZ_M62</v>
      </c>
      <c r="O207" s="21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  <c r="R207" t="str" cm="1">
        <f t="array" ref="R207">_xlfn.XLOOKUP(CONTROL[[#This Row],[VEHIDCODE]],GRAPHICS_PROPERTIES[VEHIDCODE],GRAPHICS_PROPERTIES[TEMPLATE_ID]&amp;GRAPHICS_PROPERTIES[TEMPLATE_AMENDMENT_CODE])</f>
        <v>TPL_01A</v>
      </c>
    </row>
    <row r="208" spans="1:18" x14ac:dyDescent="0.35">
      <c r="A208" s="2" t="s">
        <v>2845</v>
      </c>
      <c r="B208" s="21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2" t="s">
        <v>2606</v>
      </c>
      <c r="G208" t="s">
        <v>1239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1" t="str">
        <f>"item_"&amp;CONTROL[[#This Row],[VEHIDCODE]]</f>
        <v>item_diesel_EMD_Clyde_J26C</v>
      </c>
      <c r="O208" s="21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  <c r="R208" t="str" cm="1">
        <f t="array" ref="R208">_xlfn.XLOOKUP(CONTROL[[#This Row],[VEHIDCODE]],GRAPHICS_PROPERTIES[VEHIDCODE],GRAPHICS_PROPERTIES[TEMPLATE_ID]&amp;GRAPHICS_PROPERTIES[TEMPLATE_AMENDMENT_CODE])</f>
        <v>TPL_01A</v>
      </c>
    </row>
    <row r="209" spans="1:18" x14ac:dyDescent="0.35">
      <c r="A209" s="2" t="s">
        <v>2846</v>
      </c>
      <c r="B209" s="21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2" t="s">
        <v>3518</v>
      </c>
      <c r="G209" t="s">
        <v>1240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1" t="str">
        <f>"item_"&amp;CONTROL[[#This Row],[VEHIDCODE]]</f>
        <v>item_diesel_GE_G22W</v>
      </c>
      <c r="O209" s="21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  <c r="R209" t="str" cm="1">
        <f t="array" ref="R209">_xlfn.XLOOKUP(CONTROL[[#This Row],[VEHIDCODE]],GRAPHICS_PROPERTIES[VEHIDCODE],GRAPHICS_PROPERTIES[TEMPLATE_ID]&amp;GRAPHICS_PROPERTIES[TEMPLATE_AMENDMENT_CODE])</f>
        <v>TPL_01A</v>
      </c>
    </row>
    <row r="210" spans="1:18" x14ac:dyDescent="0.35">
      <c r="A210" s="2" t="s">
        <v>2847</v>
      </c>
      <c r="B210" s="21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2" t="s">
        <v>1993</v>
      </c>
      <c r="G210" t="s">
        <v>1241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1" t="str">
        <f>"item_"&amp;CONTROL[[#This Row],[VEHIDCODE]]</f>
        <v>item_diesel_EMD_DDA40X</v>
      </c>
      <c r="O210" s="21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  <c r="R210" t="str" cm="1">
        <f t="array" ref="R210">_xlfn.XLOOKUP(CONTROL[[#This Row],[VEHIDCODE]],GRAPHICS_PROPERTIES[VEHIDCODE],GRAPHICS_PROPERTIES[TEMPLATE_ID]&amp;GRAPHICS_PROPERTIES[TEMPLATE_AMENDMENT_CODE])</f>
        <v>TPL_16A</v>
      </c>
    </row>
    <row r="211" spans="1:18" x14ac:dyDescent="0.35">
      <c r="A211" s="2" t="s">
        <v>2848</v>
      </c>
      <c r="B211" s="21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2" t="s">
        <v>2605</v>
      </c>
      <c r="G211" t="s">
        <v>1242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1" t="str">
        <f>"item_"&amp;CONTROL[[#This Row],[VEHIDCODE]]</f>
        <v>item_diesel_EMD_Clyde_GL26C</v>
      </c>
      <c r="O211" s="21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  <c r="R211" t="str" cm="1">
        <f t="array" ref="R211">_xlfn.XLOOKUP(CONTROL[[#This Row],[VEHIDCODE]],GRAPHICS_PROPERTIES[VEHIDCODE],GRAPHICS_PROPERTIES[TEMPLATE_ID]&amp;GRAPHICS_PROPERTIES[TEMPLATE_AMENDMENT_CODE])</f>
        <v>TPL_01A</v>
      </c>
    </row>
    <row r="212" spans="1:18" x14ac:dyDescent="0.35">
      <c r="A212" s="2" t="s">
        <v>2849</v>
      </c>
      <c r="B212" s="21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2" t="s">
        <v>1994</v>
      </c>
      <c r="G212" t="s">
        <v>1243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1" t="str">
        <f>"item_"&amp;CONTROL[[#This Row],[VEHIDCODE]]</f>
        <v>item_diesel_EMD_G26</v>
      </c>
      <c r="O212" s="21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  <c r="R212" t="str" cm="1">
        <f t="array" ref="R212">_xlfn.XLOOKUP(CONTROL[[#This Row],[VEHIDCODE]],GRAPHICS_PROPERTIES[VEHIDCODE],GRAPHICS_PROPERTIES[TEMPLATE_ID]&amp;GRAPHICS_PROPERTIES[TEMPLATE_AMENDMENT_CODE])</f>
        <v>TPL_01A</v>
      </c>
    </row>
    <row r="213" spans="1:18" x14ac:dyDescent="0.35">
      <c r="A213" s="2" t="s">
        <v>2850</v>
      </c>
      <c r="B213" s="21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2" t="s">
        <v>2165</v>
      </c>
      <c r="G213" t="s">
        <v>1244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1" t="str">
        <f>"item_"&amp;CONTROL[[#This Row],[VEHIDCODE]]</f>
        <v>item_diesel_Henschel_TGOJ_V4</v>
      </c>
      <c r="O213" s="21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  <c r="R213" t="str" cm="1">
        <f t="array" ref="R213">_xlfn.XLOOKUP(CONTROL[[#This Row],[VEHIDCODE]],GRAPHICS_PROPERTIES[VEHIDCODE],GRAPHICS_PROPERTIES[TEMPLATE_ID]&amp;GRAPHICS_PROPERTIES[TEMPLATE_AMENDMENT_CODE])</f>
        <v>TPL_01A</v>
      </c>
    </row>
    <row r="214" spans="1:18" x14ac:dyDescent="0.35">
      <c r="A214" s="2" t="s">
        <v>2851</v>
      </c>
      <c r="B214" s="21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2" t="s">
        <v>1995</v>
      </c>
      <c r="G214" t="s">
        <v>1245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1" t="str">
        <f>"item_"&amp;CONTROL[[#This Row],[VEHIDCODE]]</f>
        <v>item_diesel_MLW_M420W</v>
      </c>
      <c r="O214" s="21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  <c r="R214" t="str" cm="1">
        <f t="array" ref="R214">_xlfn.XLOOKUP(CONTROL[[#This Row],[VEHIDCODE]],GRAPHICS_PROPERTIES[VEHIDCODE],GRAPHICS_PROPERTIES[TEMPLATE_ID]&amp;GRAPHICS_PROPERTIES[TEMPLATE_AMENDMENT_CODE])</f>
        <v>TPL_01A</v>
      </c>
    </row>
    <row r="215" spans="1:18" x14ac:dyDescent="0.35">
      <c r="A215" s="2" t="s">
        <v>2852</v>
      </c>
      <c r="B215" s="21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2" t="s">
        <v>1996</v>
      </c>
      <c r="G215" t="s">
        <v>1246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1" t="str">
        <f>"item_"&amp;CONTROL[[#This Row],[VEHIDCODE]]</f>
        <v>item_diesel_EMD_SDP_40F</v>
      </c>
      <c r="O215" s="21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  <c r="R215" t="str" cm="1">
        <f t="array" ref="R215">_xlfn.XLOOKUP(CONTROL[[#This Row],[VEHIDCODE]],GRAPHICS_PROPERTIES[VEHIDCODE],GRAPHICS_PROPERTIES[TEMPLATE_ID]&amp;GRAPHICS_PROPERTIES[TEMPLATE_AMENDMENT_CODE])</f>
        <v>TPL_03F</v>
      </c>
    </row>
    <row r="216" spans="1:18" x14ac:dyDescent="0.35">
      <c r="A216" s="2" t="s">
        <v>2853</v>
      </c>
      <c r="B216" s="21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2" t="s">
        <v>2166</v>
      </c>
      <c r="G216" t="s">
        <v>1247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1" t="str">
        <f>"item_"&amp;CONTROL[[#This Row],[VEHIDCODE]]</f>
        <v>item_diesel_Sifang_DFH3</v>
      </c>
      <c r="O216" s="21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  <c r="R216" t="str" cm="1">
        <f t="array" ref="R216">_xlfn.XLOOKUP(CONTROL[[#This Row],[VEHIDCODE]],GRAPHICS_PROPERTIES[VEHIDCODE],GRAPHICS_PROPERTIES[TEMPLATE_ID]&amp;GRAPHICS_PROPERTIES[TEMPLATE_AMENDMENT_CODE])</f>
        <v>TPL_01A</v>
      </c>
    </row>
    <row r="217" spans="1:18" x14ac:dyDescent="0.35">
      <c r="A217" s="2" t="s">
        <v>2854</v>
      </c>
      <c r="B217" s="21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2" t="s">
        <v>2022</v>
      </c>
      <c r="G217" t="s">
        <v>1248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1" t="str">
        <f>"item_"&amp;CONTROL[[#This Row],[VEHIDCODE]]</f>
        <v>item_diesel_EMD_F40PH</v>
      </c>
      <c r="O217" s="21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  <c r="R217" t="str" cm="1">
        <f t="array" ref="R217">_xlfn.XLOOKUP(CONTROL[[#This Row],[VEHIDCODE]],GRAPHICS_PROPERTIES[VEHIDCODE],GRAPHICS_PROPERTIES[TEMPLATE_ID]&amp;GRAPHICS_PROPERTIES[TEMPLATE_AMENDMENT_CODE])</f>
        <v>TPL_03F</v>
      </c>
    </row>
    <row r="218" spans="1:18" x14ac:dyDescent="0.35">
      <c r="A218" s="2" t="s">
        <v>2855</v>
      </c>
      <c r="B218" s="21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2" t="s">
        <v>2167</v>
      </c>
      <c r="G218" t="s">
        <v>1249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1" t="str">
        <f>"item_"&amp;CONTROL[[#This Row],[VEHIDCODE]]</f>
        <v>item_diesel_Sorefame_Alsthom_1900</v>
      </c>
      <c r="O218" s="21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  <c r="R218" t="str" cm="1">
        <f t="array" ref="R218">_xlfn.XLOOKUP(CONTROL[[#This Row],[VEHIDCODE]],GRAPHICS_PROPERTIES[VEHIDCODE],GRAPHICS_PROPERTIES[TEMPLATE_ID]&amp;GRAPHICS_PROPERTIES[TEMPLATE_AMENDMENT_CODE])</f>
        <v>TPL_01A</v>
      </c>
    </row>
    <row r="219" spans="1:18" x14ac:dyDescent="0.35">
      <c r="A219" s="2" t="s">
        <v>2856</v>
      </c>
      <c r="B219" s="21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2" t="s">
        <v>2168</v>
      </c>
      <c r="G219" t="s">
        <v>1250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1" t="str">
        <f>"item_"&amp;CONTROL[[#This Row],[VEHIDCODE]]</f>
        <v>item_diesel_Valmet_Oy_Dr16</v>
      </c>
      <c r="O219" s="21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  <c r="R219" t="str" cm="1">
        <f t="array" ref="R219">_xlfn.XLOOKUP(CONTROL[[#This Row],[VEHIDCODE]],GRAPHICS_PROPERTIES[VEHIDCODE],GRAPHICS_PROPERTIES[TEMPLATE_ID]&amp;GRAPHICS_PROPERTIES[TEMPLATE_AMENDMENT_CODE])</f>
        <v>TPL_01A</v>
      </c>
    </row>
    <row r="220" spans="1:18" x14ac:dyDescent="0.35">
      <c r="A220" s="2" t="s">
        <v>2857</v>
      </c>
      <c r="B220" s="21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2" t="s">
        <v>3507</v>
      </c>
      <c r="G220" t="s">
        <v>1251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1" t="str">
        <f>"item_"&amp;CONTROL[[#This Row],[VEHIDCODE]]</f>
        <v>item_diesel_Kolomena_TEP80</v>
      </c>
      <c r="O220" s="21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  <c r="R220" t="str" cm="1">
        <f t="array" ref="R220">_xlfn.XLOOKUP(CONTROL[[#This Row],[VEHIDCODE]],GRAPHICS_PROPERTIES[VEHIDCODE],GRAPHICS_PROPERTIES[TEMPLATE_ID]&amp;GRAPHICS_PROPERTIES[TEMPLATE_AMENDMENT_CODE])</f>
        <v>TPL_01A</v>
      </c>
    </row>
    <row r="221" spans="1:18" x14ac:dyDescent="0.35">
      <c r="A221" s="2" t="s">
        <v>2858</v>
      </c>
      <c r="B221" s="21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2" t="s">
        <v>2607</v>
      </c>
      <c r="G221" t="s">
        <v>1252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1" t="str">
        <f>"item_"&amp;CONTROL[[#This Row],[VEHIDCODE]]</f>
        <v>item_diesel_EMD_Clyde_JT46C</v>
      </c>
      <c r="O221" s="21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  <c r="R221" t="str" cm="1">
        <f t="array" ref="R221">_xlfn.XLOOKUP(CONTROL[[#This Row],[VEHIDCODE]],GRAPHICS_PROPERTIES[VEHIDCODE],GRAPHICS_PROPERTIES[TEMPLATE_ID]&amp;GRAPHICS_PROPERTIES[TEMPLATE_AMENDMENT_CODE])</f>
        <v>TPL_01A</v>
      </c>
    </row>
    <row r="222" spans="1:18" x14ac:dyDescent="0.35">
      <c r="A222" s="2" t="s">
        <v>2859</v>
      </c>
      <c r="B222" s="21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2" t="s">
        <v>1997</v>
      </c>
      <c r="G222" t="s">
        <v>1253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1" t="str">
        <f>"item_"&amp;CONTROL[[#This Row],[VEHIDCODE]]</f>
        <v>item_diesel_GE_P42DC_Genesis</v>
      </c>
      <c r="O222" s="21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  <c r="R222" t="str" cm="1">
        <f t="array" ref="R222">_xlfn.XLOOKUP(CONTROL[[#This Row],[VEHIDCODE]],GRAPHICS_PROPERTIES[VEHIDCODE],GRAPHICS_PROPERTIES[TEMPLATE_ID]&amp;GRAPHICS_PROPERTIES[TEMPLATE_AMENDMENT_CODE])</f>
        <v>TPL_03F</v>
      </c>
    </row>
    <row r="223" spans="1:18" x14ac:dyDescent="0.35">
      <c r="A223" s="2" t="s">
        <v>2860</v>
      </c>
      <c r="B223" s="21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2" t="s">
        <v>2169</v>
      </c>
      <c r="G223" t="s">
        <v>1254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1" t="str">
        <f>"item_"&amp;CONTROL[[#This Row],[VEHIDCODE]]</f>
        <v>item_diesel_Tulomsas_TCDD_DH7000</v>
      </c>
      <c r="O223" s="21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  <c r="R223" t="str" cm="1">
        <f t="array" ref="R223">_xlfn.XLOOKUP(CONTROL[[#This Row],[VEHIDCODE]],GRAPHICS_PROPERTIES[VEHIDCODE],GRAPHICS_PROPERTIES[TEMPLATE_ID]&amp;GRAPHICS_PROPERTIES[TEMPLATE_AMENDMENT_CODE])</f>
        <v>TPL_01A</v>
      </c>
    </row>
    <row r="224" spans="1:18" x14ac:dyDescent="0.35">
      <c r="A224" s="2" t="s">
        <v>2861</v>
      </c>
      <c r="B224" s="21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2" t="s">
        <v>2016</v>
      </c>
      <c r="G224" t="s">
        <v>1661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1" t="str">
        <f>"item_"&amp;CONTROL[[#This Row],[VEHIDCODE]]</f>
        <v>item_diesel_GE_U20C</v>
      </c>
      <c r="O224" s="21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  <c r="R224" t="str" cm="1">
        <f t="array" ref="R224">_xlfn.XLOOKUP(CONTROL[[#This Row],[VEHIDCODE]],GRAPHICS_PROPERTIES[VEHIDCODE],GRAPHICS_PROPERTIES[TEMPLATE_ID]&amp;GRAPHICS_PROPERTIES[TEMPLATE_AMENDMENT_CODE])</f>
        <v>TPL_01A</v>
      </c>
    </row>
    <row r="225" spans="1:18" x14ac:dyDescent="0.35">
      <c r="A225" s="2" t="s">
        <v>3442</v>
      </c>
      <c r="B225" s="21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2" t="s">
        <v>3443</v>
      </c>
      <c r="G225" t="s">
        <v>1255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1" t="str">
        <f>"item_"&amp;CONTROL[[#This Row],[VEHIDCODE]]</f>
        <v>item_diesel_Vossloh_Siemens_serie_77_78</v>
      </c>
      <c r="O225" s="21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  <c r="R225" t="str" cm="1">
        <f t="array" ref="R225">_xlfn.XLOOKUP(CONTROL[[#This Row],[VEHIDCODE]],GRAPHICS_PROPERTIES[VEHIDCODE],GRAPHICS_PROPERTIES[TEMPLATE_ID]&amp;GRAPHICS_PROPERTIES[TEMPLATE_AMENDMENT_CODE])</f>
        <v>TPL_01A</v>
      </c>
    </row>
    <row r="226" spans="1:18" x14ac:dyDescent="0.35">
      <c r="A226" s="2" t="s">
        <v>2862</v>
      </c>
      <c r="B226" s="21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2" t="s">
        <v>1971</v>
      </c>
      <c r="G226" t="s">
        <v>1256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1" t="str">
        <f>"item_"&amp;CONTROL[[#This Row],[VEHIDCODE]]</f>
        <v>item_diesel_EMD_JT42CWRM</v>
      </c>
      <c r="O226" s="21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  <c r="R226" t="str" cm="1">
        <f t="array" ref="R226">_xlfn.XLOOKUP(CONTROL[[#This Row],[VEHIDCODE]],GRAPHICS_PROPERTIES[VEHIDCODE],GRAPHICS_PROPERTIES[TEMPLATE_ID]&amp;GRAPHICS_PROPERTIES[TEMPLATE_AMENDMENT_CODE])</f>
        <v>TPL_01A</v>
      </c>
    </row>
    <row r="227" spans="1:18" x14ac:dyDescent="0.35">
      <c r="A227" s="2" t="s">
        <v>2863</v>
      </c>
      <c r="B227" s="21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2" t="s">
        <v>1972</v>
      </c>
      <c r="G227" t="s">
        <v>1257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1" t="str">
        <f>"item_"&amp;CONTROL[[#This Row],[VEHIDCODE]]</f>
        <v>item_diesel_EMD_JT42HW_HS</v>
      </c>
      <c r="O227" s="21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  <c r="R227" t="str" cm="1">
        <f t="array" ref="R227">_xlfn.XLOOKUP(CONTROL[[#This Row],[VEHIDCODE]],GRAPHICS_PROPERTIES[VEHIDCODE],GRAPHICS_PROPERTIES[TEMPLATE_ID]&amp;GRAPHICS_PROPERTIES[TEMPLATE_AMENDMENT_CODE])</f>
        <v>TPL_01A</v>
      </c>
    </row>
    <row r="228" spans="1:18" x14ac:dyDescent="0.35">
      <c r="A228" s="2" t="s">
        <v>2864</v>
      </c>
      <c r="B228" s="21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2" t="s">
        <v>2023</v>
      </c>
      <c r="G228" t="s">
        <v>1258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1" t="str">
        <f>"item_"&amp;CONTROL[[#This Row],[VEHIDCODE]]</f>
        <v>item_diesel_Alstom_DE43CA_Prima</v>
      </c>
      <c r="O228" s="21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  <c r="R228" t="str" cm="1">
        <f t="array" ref="R228">_xlfn.XLOOKUP(CONTROL[[#This Row],[VEHIDCODE]],GRAPHICS_PROPERTIES[VEHIDCODE],GRAPHICS_PROPERTIES[TEMPLATE_ID]&amp;GRAPHICS_PROPERTIES[TEMPLATE_AMENDMENT_CODE])</f>
        <v>TPL_01A</v>
      </c>
    </row>
    <row r="229" spans="1:18" x14ac:dyDescent="0.35">
      <c r="A229" s="2" t="s">
        <v>2865</v>
      </c>
      <c r="B229" s="21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2" t="s">
        <v>2024</v>
      </c>
      <c r="G229" t="s">
        <v>1259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1" t="str">
        <f>"item_"&amp;CONTROL[[#This Row],[VEHIDCODE]]</f>
        <v>item_diesel_LTZ_TEP150</v>
      </c>
      <c r="O229" s="21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  <c r="R229" t="str" cm="1">
        <f t="array" ref="R229">_xlfn.XLOOKUP(CONTROL[[#This Row],[VEHIDCODE]],GRAPHICS_PROPERTIES[VEHIDCODE],GRAPHICS_PROPERTIES[TEMPLATE_ID]&amp;GRAPHICS_PROPERTIES[TEMPLATE_AMENDMENT_CODE])</f>
        <v>TPL_01A</v>
      </c>
    </row>
    <row r="230" spans="1:18" x14ac:dyDescent="0.35">
      <c r="A230" s="2" t="s">
        <v>2866</v>
      </c>
      <c r="B230" s="21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2" t="s">
        <v>2171</v>
      </c>
      <c r="G230" t="s">
        <v>1260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1" t="str">
        <f>"item_"&amp;CONTROL[[#This Row],[VEHIDCODE]]</f>
        <v>item_diesel_GE_CRRC_Qishuyan_ES59ACi</v>
      </c>
      <c r="O230" s="21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  <c r="R230" t="str" cm="1">
        <f t="array" ref="R230">_xlfn.XLOOKUP(CONTROL[[#This Row],[VEHIDCODE]],GRAPHICS_PROPERTIES[VEHIDCODE],GRAPHICS_PROPERTIES[TEMPLATE_ID]&amp;GRAPHICS_PROPERTIES[TEMPLATE_AMENDMENT_CODE])</f>
        <v>TPL_01A</v>
      </c>
    </row>
    <row r="231" spans="1:18" x14ac:dyDescent="0.35">
      <c r="A231" s="2" t="s">
        <v>2867</v>
      </c>
      <c r="B231" s="21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2" t="s">
        <v>2025</v>
      </c>
      <c r="G231" t="s">
        <v>1261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1" t="str">
        <f>"item_"&amp;CONTROL[[#This Row],[VEHIDCODE]]</f>
        <v>item_diesel_Voith_Gravita_10_BB</v>
      </c>
      <c r="O231" s="21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  <c r="R231" t="str" cm="1">
        <f t="array" ref="R231">_xlfn.XLOOKUP(CONTROL[[#This Row],[VEHIDCODE]],GRAPHICS_PROPERTIES[VEHIDCODE],GRAPHICS_PROPERTIES[TEMPLATE_ID]&amp;GRAPHICS_PROPERTIES[TEMPLATE_AMENDMENT_CODE])</f>
        <v>TPL_01A</v>
      </c>
    </row>
    <row r="232" spans="1:18" x14ac:dyDescent="0.35">
      <c r="A232" s="2" t="s">
        <v>2868</v>
      </c>
      <c r="B232" s="21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2" t="s">
        <v>2172</v>
      </c>
      <c r="G232" t="s">
        <v>1262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1" t="str">
        <f>"item_"&amp;CONTROL[[#This Row],[VEHIDCODE]]</f>
        <v>item_diesel_Voronezh_VNIIZHT_GT1</v>
      </c>
      <c r="O232" s="21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  <c r="R232" t="str" cm="1">
        <f t="array" ref="R232">_xlfn.XLOOKUP(CONTROL[[#This Row],[VEHIDCODE]],GRAPHICS_PROPERTIES[VEHIDCODE],GRAPHICS_PROPERTIES[TEMPLATE_ID]&amp;GRAPHICS_PROPERTIES[TEMPLATE_AMENDMENT_CODE])</f>
        <v>TPL_03D</v>
      </c>
    </row>
    <row r="233" spans="1:18" x14ac:dyDescent="0.35">
      <c r="A233" s="2" t="s">
        <v>2869</v>
      </c>
      <c r="B233" s="21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2" t="s">
        <v>2026</v>
      </c>
      <c r="G233" t="s">
        <v>1263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1" t="str">
        <f>"item_"&amp;CONTROL[[#This Row],[VEHIDCODE]]</f>
        <v>item_diesel_Siemens_ER20_Eurorunner</v>
      </c>
      <c r="O233" s="21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  <c r="R233" t="str" cm="1">
        <f t="array" ref="R233">_xlfn.XLOOKUP(CONTROL[[#This Row],[VEHIDCODE]],GRAPHICS_PROPERTIES[VEHIDCODE],GRAPHICS_PROPERTIES[TEMPLATE_ID]&amp;GRAPHICS_PROPERTIES[TEMPLATE_AMENDMENT_CODE])</f>
        <v>TPL_01A</v>
      </c>
    </row>
    <row r="234" spans="1:18" x14ac:dyDescent="0.35">
      <c r="A234" s="2" t="s">
        <v>2870</v>
      </c>
      <c r="B234" s="21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2" t="s">
        <v>2027</v>
      </c>
      <c r="G234" t="s">
        <v>1264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1" t="str">
        <f>"item_"&amp;CONTROL[[#This Row],[VEHIDCODE]]</f>
        <v>item_diesel_Voith_Maxima_40_CC</v>
      </c>
      <c r="O234" s="21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  <c r="R234" t="str" cm="1">
        <f t="array" ref="R234">_xlfn.XLOOKUP(CONTROL[[#This Row],[VEHIDCODE]],GRAPHICS_PROPERTIES[VEHIDCODE],GRAPHICS_PROPERTIES[TEMPLATE_ID]&amp;GRAPHICS_PROPERTIES[TEMPLATE_AMENDMENT_CODE])</f>
        <v>TPL_01A</v>
      </c>
    </row>
    <row r="235" spans="1:18" x14ac:dyDescent="0.35">
      <c r="A235" s="2" t="s">
        <v>2871</v>
      </c>
      <c r="B235" s="21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2" t="s">
        <v>2173</v>
      </c>
      <c r="G235" t="s">
        <v>2174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1" t="str">
        <f>"item_"&amp;CONTROL[[#This Row],[VEHIDCODE]]</f>
        <v>item_diesel_Hohenzollern_Emch3</v>
      </c>
      <c r="O235" s="21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  <c r="R235" t="str" cm="1">
        <f t="array" ref="R235">_xlfn.XLOOKUP(CONTROL[[#This Row],[VEHIDCODE]],GRAPHICS_PROPERTIES[VEHIDCODE],GRAPHICS_PROPERTIES[TEMPLATE_ID]&amp;GRAPHICS_PROPERTIES[TEMPLATE_AMENDMENT_CODE])</f>
        <v>TPL_03C</v>
      </c>
    </row>
    <row r="236" spans="1:18" x14ac:dyDescent="0.35">
      <c r="A236" s="2" t="s">
        <v>2872</v>
      </c>
      <c r="B236" s="21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2" t="s">
        <v>2015</v>
      </c>
      <c r="G236" t="s">
        <v>1265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1" t="str">
        <f>"item_"&amp;CONTROL[[#This Row],[VEHIDCODE]]</f>
        <v>item_diesel_Canadian_Locomotive_Company_V_1</v>
      </c>
      <c r="O236" s="21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  <c r="R236" t="str" cm="1">
        <f t="array" ref="R236">_xlfn.XLOOKUP(CONTROL[[#This Row],[VEHIDCODE]],GRAPHICS_PROPERTIES[VEHIDCODE],GRAPHICS_PROPERTIES[TEMPLATE_ID]&amp;GRAPHICS_PROPERTIES[TEMPLATE_AMENDMENT_CODE])</f>
        <v>TPL_03D</v>
      </c>
    </row>
    <row r="237" spans="1:18" x14ac:dyDescent="0.35">
      <c r="A237" s="2" t="s">
        <v>2873</v>
      </c>
      <c r="B237" s="21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2" t="s">
        <v>371</v>
      </c>
      <c r="G237" t="s">
        <v>1266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1" t="str">
        <f>"item_"&amp;CONTROL[[#This Row],[VEHIDCODE]]</f>
        <v>item_diesel_LMS_7051_Diesel_Shunter</v>
      </c>
      <c r="O237" s="21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  <c r="R237" t="str" cm="1">
        <f t="array" ref="R237">_xlfn.XLOOKUP(CONTROL[[#This Row],[VEHIDCODE]],GRAPHICS_PROPERTIES[VEHIDCODE],GRAPHICS_PROPERTIES[TEMPLATE_ID]&amp;GRAPHICS_PROPERTIES[TEMPLATE_AMENDMENT_CODE])</f>
        <v>TPL_03C</v>
      </c>
    </row>
    <row r="238" spans="1:18" x14ac:dyDescent="0.35">
      <c r="A238" s="2" t="s">
        <v>2874</v>
      </c>
      <c r="B238" s="21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2" t="s">
        <v>1998</v>
      </c>
      <c r="G238" t="s">
        <v>1267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1" t="str">
        <f>"item_"&amp;CONTROL[[#This Row],[VEHIDCODE]]</f>
        <v>item_diesel_EMC_TA</v>
      </c>
      <c r="O238" s="21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  <c r="R238" t="str" cm="1">
        <f t="array" ref="R238">_xlfn.XLOOKUP(CONTROL[[#This Row],[VEHIDCODE]],GRAPHICS_PROPERTIES[VEHIDCODE],GRAPHICS_PROPERTIES[TEMPLATE_ID]&amp;GRAPHICS_PROPERTIES[TEMPLATE_AMENDMENT_CODE])</f>
        <v>TPL_01A</v>
      </c>
    </row>
    <row r="239" spans="1:18" x14ac:dyDescent="0.35">
      <c r="A239" s="2" t="s">
        <v>2875</v>
      </c>
      <c r="B239" s="21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2" t="s">
        <v>1999</v>
      </c>
      <c r="G239" t="s">
        <v>1268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1" t="str">
        <f>"item_"&amp;CONTROL[[#This Row],[VEHIDCODE]]</f>
        <v>item_diesel_Baldwin_VO_660</v>
      </c>
      <c r="O239" s="21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  <c r="R239" t="str" cm="1">
        <f t="array" ref="R239">_xlfn.XLOOKUP(CONTROL[[#This Row],[VEHIDCODE]],GRAPHICS_PROPERTIES[VEHIDCODE],GRAPHICS_PROPERTIES[TEMPLATE_ID]&amp;GRAPHICS_PROPERTIES[TEMPLATE_AMENDMENT_CODE])</f>
        <v>TPL_01A</v>
      </c>
    </row>
    <row r="240" spans="1:18" x14ac:dyDescent="0.35">
      <c r="A240" s="2" t="s">
        <v>2876</v>
      </c>
      <c r="B240" s="21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2" t="s">
        <v>2175</v>
      </c>
      <c r="G240" t="s">
        <v>1269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1" t="str">
        <f>"item_"&amp;CONTROL[[#This Row],[VEHIDCODE]]</f>
        <v>item_diesel_LMS_No__7080_D3_7</v>
      </c>
      <c r="O240" s="21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  <c r="R240" t="str" cm="1">
        <f t="array" ref="R240">_xlfn.XLOOKUP(CONTROL[[#This Row],[VEHIDCODE]],GRAPHICS_PROPERTIES[VEHIDCODE],GRAPHICS_PROPERTIES[TEMPLATE_ID]&amp;GRAPHICS_PROPERTIES[TEMPLATE_AMENDMENT_CODE])</f>
        <v>TPL_03C</v>
      </c>
    </row>
    <row r="241" spans="1:18" x14ac:dyDescent="0.35">
      <c r="A241" s="2" t="s">
        <v>2877</v>
      </c>
      <c r="B241" s="21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2" t="s">
        <v>372</v>
      </c>
      <c r="G241" t="s">
        <v>1270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1" t="str">
        <f>"item_"&amp;CONTROL[[#This Row],[VEHIDCODE]]</f>
        <v>item_diesel_Queensland_Railways_DL</v>
      </c>
      <c r="O241" s="21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  <c r="R241" t="str" cm="1">
        <f t="array" ref="R241">_xlfn.XLOOKUP(CONTROL[[#This Row],[VEHIDCODE]],GRAPHICS_PROPERTIES[VEHIDCODE],GRAPHICS_PROPERTIES[TEMPLATE_ID]&amp;GRAPHICS_PROPERTIES[TEMPLATE_AMENDMENT_CODE])</f>
        <v>TPL_03C</v>
      </c>
    </row>
    <row r="242" spans="1:18" x14ac:dyDescent="0.35">
      <c r="A242" s="2" t="s">
        <v>2878</v>
      </c>
      <c r="B242" s="21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2" t="s">
        <v>2000</v>
      </c>
      <c r="G242" t="s">
        <v>1271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1" t="str">
        <f>"item_"&amp;CONTROL[[#This Row],[VEHIDCODE]]</f>
        <v>item_diesel_FM_H_10_44</v>
      </c>
      <c r="O242" s="21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  <c r="R242" t="str" cm="1">
        <f t="array" ref="R242">_xlfn.XLOOKUP(CONTROL[[#This Row],[VEHIDCODE]],GRAPHICS_PROPERTIES[VEHIDCODE],GRAPHICS_PROPERTIES[TEMPLATE_ID]&amp;GRAPHICS_PROPERTIES[TEMPLATE_AMENDMENT_CODE])</f>
        <v>TPL_01A</v>
      </c>
    </row>
    <row r="243" spans="1:18" x14ac:dyDescent="0.35">
      <c r="A243" s="2" t="s">
        <v>2879</v>
      </c>
      <c r="B243" s="21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2" t="s">
        <v>2001</v>
      </c>
      <c r="G243" t="s">
        <v>1272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1" t="str">
        <f>"item_"&amp;CONTROL[[#This Row],[VEHIDCODE]]</f>
        <v>item_diesel_Baldwin_DRS6_4_1000</v>
      </c>
      <c r="O243" s="21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  <c r="R243" t="str" cm="1">
        <f t="array" ref="R243">_xlfn.XLOOKUP(CONTROL[[#This Row],[VEHIDCODE]],GRAPHICS_PROPERTIES[VEHIDCODE],GRAPHICS_PROPERTIES[TEMPLATE_ID]&amp;GRAPHICS_PROPERTIES[TEMPLATE_AMENDMENT_CODE])</f>
        <v>TPL_01A</v>
      </c>
    </row>
    <row r="244" spans="1:18" x14ac:dyDescent="0.35">
      <c r="A244" s="2" t="s">
        <v>2880</v>
      </c>
      <c r="B244" s="21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2" t="s">
        <v>1703</v>
      </c>
      <c r="G244" t="s">
        <v>1273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1" t="str">
        <f>"item_"&amp;CONTROL[[#This Row],[VEHIDCODE]]</f>
        <v>item_diesel_CIE_113</v>
      </c>
      <c r="O244" s="21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  <c r="R244" t="str" cm="1">
        <f t="array" ref="R244">_xlfn.XLOOKUP(CONTROL[[#This Row],[VEHIDCODE]],GRAPHICS_PROPERTIES[VEHIDCODE],GRAPHICS_PROPERTIES[TEMPLATE_ID]&amp;GRAPHICS_PROPERTIES[TEMPLATE_AMENDMENT_CODE])</f>
        <v>TPL_01A</v>
      </c>
    </row>
    <row r="245" spans="1:18" x14ac:dyDescent="0.35">
      <c r="A245" s="2" t="s">
        <v>2881</v>
      </c>
      <c r="B245" s="21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2" t="s">
        <v>2002</v>
      </c>
      <c r="G245" t="s">
        <v>1274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1" t="str">
        <f>"item_"&amp;CONTROL[[#This Row],[VEHIDCODE]]</f>
        <v>item_diesel_Baldwin_AS_616</v>
      </c>
      <c r="O245" s="21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  <c r="R245" t="str" cm="1">
        <f t="array" ref="R245">_xlfn.XLOOKUP(CONTROL[[#This Row],[VEHIDCODE]],GRAPHICS_PROPERTIES[VEHIDCODE],GRAPHICS_PROPERTIES[TEMPLATE_ID]&amp;GRAPHICS_PROPERTIES[TEMPLATE_AMENDMENT_CODE])</f>
        <v>TPL_01A</v>
      </c>
    </row>
    <row r="246" spans="1:18" x14ac:dyDescent="0.35">
      <c r="A246" s="2" t="s">
        <v>2882</v>
      </c>
      <c r="B246" s="21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2" t="s">
        <v>2003</v>
      </c>
      <c r="G246" t="s">
        <v>1275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1" t="str">
        <f>"item_"&amp;CONTROL[[#This Row],[VEHIDCODE]]</f>
        <v>item_diesel_FM_H_16_44</v>
      </c>
      <c r="O246" s="21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  <c r="R246" t="str" cm="1">
        <f t="array" ref="R246">_xlfn.XLOOKUP(CONTROL[[#This Row],[VEHIDCODE]],GRAPHICS_PROPERTIES[VEHIDCODE],GRAPHICS_PROPERTIES[TEMPLATE_ID]&amp;GRAPHICS_PROPERTIES[TEMPLATE_AMENDMENT_CODE])</f>
        <v>TPL_01A</v>
      </c>
    </row>
    <row r="247" spans="1:18" x14ac:dyDescent="0.35">
      <c r="A247" s="2" t="s">
        <v>2883</v>
      </c>
      <c r="B247" s="21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2" t="s">
        <v>2176</v>
      </c>
      <c r="G247" t="s">
        <v>1277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1" t="str">
        <f>"item_"&amp;CONTROL[[#This Row],[VEHIDCODE]]</f>
        <v>item_diesel_Islington_Railway_Workshops_SAR_900</v>
      </c>
      <c r="O247" s="21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  <c r="R247" t="str" cm="1">
        <f t="array" ref="R247">_xlfn.XLOOKUP(CONTROL[[#This Row],[VEHIDCODE]],GRAPHICS_PROPERTIES[VEHIDCODE],GRAPHICS_PROPERTIES[TEMPLATE_ID]&amp;GRAPHICS_PROPERTIES[TEMPLATE_AMENDMENT_CODE])</f>
        <v>TPL_01A</v>
      </c>
    </row>
    <row r="248" spans="1:18" x14ac:dyDescent="0.35">
      <c r="A248" s="2" t="s">
        <v>2884</v>
      </c>
      <c r="B248" s="21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2" t="s">
        <v>3516</v>
      </c>
      <c r="G248" t="s">
        <v>1276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1" t="str">
        <f>"item_"&amp;CONTROL[[#This Row],[VEHIDCODE]]</f>
        <v>item_diesel_EMD_G12_A608_M2</v>
      </c>
      <c r="O248" s="21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  <c r="R248" t="str" cm="1">
        <f t="array" ref="R248">_xlfn.XLOOKUP(CONTROL[[#This Row],[VEHIDCODE]],GRAPHICS_PROPERTIES[VEHIDCODE],GRAPHICS_PROPERTIES[TEMPLATE_ID]&amp;GRAPHICS_PROPERTIES[TEMPLATE_AMENDMENT_CODE])</f>
        <v>TPL_01A</v>
      </c>
    </row>
    <row r="249" spans="1:18" x14ac:dyDescent="0.35">
      <c r="A249" s="2" t="s">
        <v>2885</v>
      </c>
      <c r="B249" s="21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2" t="s">
        <v>2177</v>
      </c>
      <c r="G249" t="s">
        <v>1278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1" t="str">
        <f>"item_"&amp;CONTROL[[#This Row],[VEHIDCODE]]</f>
        <v>item_diesel_Metropolitan_Vickers_CIE_001</v>
      </c>
      <c r="O249" s="21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  <c r="R249" t="str" cm="1">
        <f t="array" ref="R249">_xlfn.XLOOKUP(CONTROL[[#This Row],[VEHIDCODE]],GRAPHICS_PROPERTIES[VEHIDCODE],GRAPHICS_PROPERTIES[TEMPLATE_ID]&amp;GRAPHICS_PROPERTIES[TEMPLATE_AMENDMENT_CODE])</f>
        <v>TPL_01A</v>
      </c>
    </row>
    <row r="250" spans="1:18" x14ac:dyDescent="0.35">
      <c r="A250" s="2" t="s">
        <v>2886</v>
      </c>
      <c r="B250" s="21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2" t="s">
        <v>2572</v>
      </c>
      <c r="G250" t="s">
        <v>1279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1" t="str">
        <f>"item_"&amp;CONTROL[[#This Row],[VEHIDCODE]]</f>
        <v>item_diesel_Fiat_Grandi_Motori_D_341</v>
      </c>
      <c r="O250" s="21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  <c r="R250" t="str" cm="1">
        <f t="array" ref="R250">_xlfn.XLOOKUP(CONTROL[[#This Row],[VEHIDCODE]],GRAPHICS_PROPERTIES[VEHIDCODE],GRAPHICS_PROPERTIES[TEMPLATE_ID]&amp;GRAPHICS_PROPERTIES[TEMPLATE_AMENDMENT_CODE])</f>
        <v>TPL_01A</v>
      </c>
    </row>
    <row r="251" spans="1:18" x14ac:dyDescent="0.35">
      <c r="A251" s="2" t="s">
        <v>2887</v>
      </c>
      <c r="B251" s="21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2" t="s">
        <v>2608</v>
      </c>
      <c r="G251" t="s">
        <v>1280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1" t="str">
        <f>"item_"&amp;CONTROL[[#This Row],[VEHIDCODE]]</f>
        <v>item_diesel_ALCO_AE_Goodwin_DL_500B</v>
      </c>
      <c r="O251" s="21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  <c r="R251" t="str" cm="1">
        <f t="array" ref="R251">_xlfn.XLOOKUP(CONTROL[[#This Row],[VEHIDCODE]],GRAPHICS_PROPERTIES[VEHIDCODE],GRAPHICS_PROPERTIES[TEMPLATE_ID]&amp;GRAPHICS_PROPERTIES[TEMPLATE_AMENDMENT_CODE])</f>
        <v>TPL_01A</v>
      </c>
    </row>
    <row r="252" spans="1:18" x14ac:dyDescent="0.35">
      <c r="A252" s="2" t="s">
        <v>2888</v>
      </c>
      <c r="B252" s="21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2" t="s">
        <v>2609</v>
      </c>
      <c r="G252" t="s">
        <v>1281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1" t="str">
        <f>"item_"&amp;CONTROL[[#This Row],[VEHIDCODE]]</f>
        <v>item_diesel_Henschel_DH_1420</v>
      </c>
      <c r="O252" s="21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  <c r="R252" t="str" cm="1">
        <f t="array" ref="R252">_xlfn.XLOOKUP(CONTROL[[#This Row],[VEHIDCODE]],GRAPHICS_PROPERTIES[VEHIDCODE],GRAPHICS_PROPERTIES[TEMPLATE_ID]&amp;GRAPHICS_PROPERTIES[TEMPLATE_AMENDMENT_CODE])</f>
        <v>TPL_01A</v>
      </c>
    </row>
    <row r="253" spans="1:18" x14ac:dyDescent="0.35">
      <c r="A253" s="2" t="s">
        <v>2889</v>
      </c>
      <c r="B253" s="21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2" t="s">
        <v>2004</v>
      </c>
      <c r="G253" t="s">
        <v>1282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1" t="str">
        <f>"item_"&amp;CONTROL[[#This Row],[VEHIDCODE]]</f>
        <v>item_diesel_EMD_SD18</v>
      </c>
      <c r="O253" s="21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  <c r="R253" t="str" cm="1">
        <f t="array" ref="R253">_xlfn.XLOOKUP(CONTROL[[#This Row],[VEHIDCODE]],GRAPHICS_PROPERTIES[VEHIDCODE],GRAPHICS_PROPERTIES[TEMPLATE_ID]&amp;GRAPHICS_PROPERTIES[TEMPLATE_AMENDMENT_CODE])</f>
        <v>TPL_01A</v>
      </c>
    </row>
    <row r="254" spans="1:18" x14ac:dyDescent="0.35">
      <c r="A254" s="2" t="s">
        <v>2890</v>
      </c>
      <c r="B254" s="21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2" t="s">
        <v>2573</v>
      </c>
      <c r="G254" t="s">
        <v>1283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1" t="str">
        <f>"item_"&amp;CONTROL[[#This Row],[VEHIDCODE]]</f>
        <v>item_diesel_Fiat_Grandi_Motori_D_345</v>
      </c>
      <c r="O254" s="21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  <c r="R254" t="str" cm="1">
        <f t="array" ref="R254">_xlfn.XLOOKUP(CONTROL[[#This Row],[VEHIDCODE]],GRAPHICS_PROPERTIES[VEHIDCODE],GRAPHICS_PROPERTIES[TEMPLATE_ID]&amp;GRAPHICS_PROPERTIES[TEMPLATE_AMENDMENT_CODE])</f>
        <v>TPL_01A</v>
      </c>
    </row>
    <row r="255" spans="1:18" x14ac:dyDescent="0.35">
      <c r="A255" s="2" t="s">
        <v>2891</v>
      </c>
      <c r="B255" s="21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2" t="s">
        <v>2178</v>
      </c>
      <c r="G255" t="s">
        <v>1284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1" t="str">
        <f>"item_"&amp;CONTROL[[#This Row],[VEHIDCODE]]</f>
        <v>item_diesel_Henschel_Di4</v>
      </c>
      <c r="O255" s="21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  <c r="R255" t="str" cm="1">
        <f t="array" ref="R255">_xlfn.XLOOKUP(CONTROL[[#This Row],[VEHIDCODE]],GRAPHICS_PROPERTIES[VEHIDCODE],GRAPHICS_PROPERTIES[TEMPLATE_ID]&amp;GRAPHICS_PROPERTIES[TEMPLATE_AMENDMENT_CODE])</f>
        <v>TPL_01A</v>
      </c>
    </row>
    <row r="256" spans="1:18" x14ac:dyDescent="0.35">
      <c r="A256" s="2" t="s">
        <v>2892</v>
      </c>
      <c r="B256" s="21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2" t="s">
        <v>2179</v>
      </c>
      <c r="G256" t="s">
        <v>1285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1" t="str">
        <f>"item_"&amp;CONTROL[[#This Row],[VEHIDCODE]]</f>
        <v>item_diesel_Qishuyan_DF8</v>
      </c>
      <c r="O256" s="21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  <c r="R256" t="str" cm="1">
        <f t="array" ref="R256">_xlfn.XLOOKUP(CONTROL[[#This Row],[VEHIDCODE]],GRAPHICS_PROPERTIES[VEHIDCODE],GRAPHICS_PROPERTIES[TEMPLATE_ID]&amp;GRAPHICS_PROPERTIES[TEMPLATE_AMENDMENT_CODE])</f>
        <v>TPL_01A</v>
      </c>
    </row>
    <row r="257" spans="1:18" x14ac:dyDescent="0.35">
      <c r="A257" s="2" t="s">
        <v>3451</v>
      </c>
      <c r="B257" s="21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2" t="s">
        <v>3463</v>
      </c>
      <c r="G257" t="s">
        <v>1286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1" t="str">
        <f>"item_"&amp;CONTROL[[#This Row],[VEHIDCODE]]</f>
        <v>item_diesel_EMD_Clyde_JT26C_2SS</v>
      </c>
      <c r="O257" s="21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1</v>
      </c>
      <c r="R257" t="str" cm="1">
        <f t="array" ref="R257">_xlfn.XLOOKUP(CONTROL[[#This Row],[VEHIDCODE]],GRAPHICS_PROPERTIES[VEHIDCODE],GRAPHICS_PROPERTIES[TEMPLATE_ID]&amp;GRAPHICS_PROPERTIES[TEMPLATE_AMENDMENT_CODE])</f>
        <v>TPL_01A</v>
      </c>
    </row>
    <row r="258" spans="1:18" x14ac:dyDescent="0.35">
      <c r="A258" s="2" t="s">
        <v>2893</v>
      </c>
      <c r="B258" s="21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2" t="s">
        <v>2180</v>
      </c>
      <c r="G258" t="s">
        <v>1287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1" t="str">
        <f>"item_"&amp;CONTROL[[#This Row],[VEHIDCODE]]</f>
        <v>item_diesel_Brush_Class_60</v>
      </c>
      <c r="O258" s="21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  <c r="R258" t="str" cm="1">
        <f t="array" ref="R258">_xlfn.XLOOKUP(CONTROL[[#This Row],[VEHIDCODE]],GRAPHICS_PROPERTIES[VEHIDCODE],GRAPHICS_PROPERTIES[TEMPLATE_ID]&amp;GRAPHICS_PROPERTIES[TEMPLATE_AMENDMENT_CODE])</f>
        <v>TPL_01A</v>
      </c>
    </row>
    <row r="259" spans="1:18" x14ac:dyDescent="0.35">
      <c r="A259" s="2" t="s">
        <v>2894</v>
      </c>
      <c r="B259" s="21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2" t="s">
        <v>2181</v>
      </c>
      <c r="G259" t="s">
        <v>1288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1" t="str">
        <f>"item_"&amp;CONTROL[[#This Row],[VEHIDCODE]]</f>
        <v>item_diesel_GE_Goninan_CM25_8</v>
      </c>
      <c r="O259" s="21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  <c r="R259" t="str" cm="1">
        <f t="array" ref="R259">_xlfn.XLOOKUP(CONTROL[[#This Row],[VEHIDCODE]],GRAPHICS_PROPERTIES[VEHIDCODE],GRAPHICS_PROPERTIES[TEMPLATE_ID]&amp;GRAPHICS_PROPERTIES[TEMPLATE_AMENDMENT_CODE])</f>
        <v>TPL_01A</v>
      </c>
    </row>
    <row r="260" spans="1:18" x14ac:dyDescent="0.35">
      <c r="A260" s="2" t="s">
        <v>2895</v>
      </c>
      <c r="B260" s="21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2" t="s">
        <v>2182</v>
      </c>
      <c r="G260" t="s">
        <v>1289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1" t="str">
        <f>"item_"&amp;CONTROL[[#This Row],[VEHIDCODE]]</f>
        <v>item_diesel_EMD_SD70ACS</v>
      </c>
      <c r="O260" s="21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  <c r="R260" t="str" cm="1">
        <f t="array" ref="R260">_xlfn.XLOOKUP(CONTROL[[#This Row],[VEHIDCODE]],GRAPHICS_PROPERTIES[VEHIDCODE],GRAPHICS_PROPERTIES[TEMPLATE_ID]&amp;GRAPHICS_PROPERTIES[TEMPLATE_AMENDMENT_CODE])</f>
        <v>TPL_01A</v>
      </c>
    </row>
    <row r="261" spans="1:18" x14ac:dyDescent="0.35">
      <c r="A261" s="2" t="s">
        <v>2896</v>
      </c>
      <c r="B261" s="21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2" t="s">
        <v>2005</v>
      </c>
      <c r="G261" t="s">
        <v>1290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1" t="str">
        <f>"item_"&amp;CONTROL[[#This Row],[VEHIDCODE]]</f>
        <v>item_diesel_GMD_JT42HCW</v>
      </c>
      <c r="O261" s="21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  <c r="R261" t="str" cm="1">
        <f t="array" ref="R261">_xlfn.XLOOKUP(CONTROL[[#This Row],[VEHIDCODE]],GRAPHICS_PROPERTIES[VEHIDCODE],GRAPHICS_PROPERTIES[TEMPLATE_ID]&amp;GRAPHICS_PROPERTIES[TEMPLATE_AMENDMENT_CODE])</f>
        <v>TPL_01A</v>
      </c>
    </row>
    <row r="262" spans="1:18" x14ac:dyDescent="0.35">
      <c r="A262" s="2" t="s">
        <v>2897</v>
      </c>
      <c r="B262" s="21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2" t="s">
        <v>2006</v>
      </c>
      <c r="G262" t="s">
        <v>1291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1" t="str">
        <f>"item_"&amp;CONTROL[[#This Row],[VEHIDCODE]]</f>
        <v>item_diesel_EMD_F59PH</v>
      </c>
      <c r="O262" s="21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  <c r="R262" t="str" cm="1">
        <f t="array" ref="R262">_xlfn.XLOOKUP(CONTROL[[#This Row],[VEHIDCODE]],GRAPHICS_PROPERTIES[VEHIDCODE],GRAPHICS_PROPERTIES[TEMPLATE_ID]&amp;GRAPHICS_PROPERTIES[TEMPLATE_AMENDMENT_CODE])</f>
        <v>TPL_01A</v>
      </c>
    </row>
    <row r="263" spans="1:18" x14ac:dyDescent="0.35">
      <c r="A263" s="2" t="s">
        <v>2898</v>
      </c>
      <c r="B263" s="21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2" t="s">
        <v>3531</v>
      </c>
      <c r="G263" t="s">
        <v>1292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1" t="str">
        <f>"item_"&amp;CONTROL[[#This Row],[VEHIDCODE]]</f>
        <v>item_diesel_MaK___Vossloh_G1206</v>
      </c>
      <c r="O263" s="21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  <c r="R263" t="str" cm="1">
        <f t="array" ref="R263">_xlfn.XLOOKUP(CONTROL[[#This Row],[VEHIDCODE]],GRAPHICS_PROPERTIES[VEHIDCODE],GRAPHICS_PROPERTIES[TEMPLATE_ID]&amp;GRAPHICS_PROPERTIES[TEMPLATE_AMENDMENT_CODE])</f>
        <v>TPL_01A</v>
      </c>
    </row>
    <row r="264" spans="1:18" x14ac:dyDescent="0.35">
      <c r="A264" s="2" t="s">
        <v>2899</v>
      </c>
      <c r="B264" s="21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2" t="s">
        <v>2051</v>
      </c>
      <c r="G264" t="s">
        <v>1293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1" t="str">
        <f>"item_"&amp;CONTROL[[#This Row],[VEHIDCODE]]</f>
        <v>item_diesel_Vossloh_G_2000_BB</v>
      </c>
      <c r="O264" s="21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  <c r="R264" t="str" cm="1">
        <f t="array" ref="R264">_xlfn.XLOOKUP(CONTROL[[#This Row],[VEHIDCODE]],GRAPHICS_PROPERTIES[VEHIDCODE],GRAPHICS_PROPERTIES[TEMPLATE_ID]&amp;GRAPHICS_PROPERTIES[TEMPLATE_AMENDMENT_CODE])</f>
        <v>TPL_01A</v>
      </c>
    </row>
    <row r="265" spans="1:18" x14ac:dyDescent="0.35">
      <c r="A265" s="2" t="s">
        <v>2900</v>
      </c>
      <c r="B265" s="21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2" t="s">
        <v>2028</v>
      </c>
      <c r="G265" t="s">
        <v>1294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1" t="str">
        <f>"item_"&amp;CONTROL[[#This Row],[VEHIDCODE]]</f>
        <v>item_diesel_MPI_MP40PH_3C</v>
      </c>
      <c r="O265" s="21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  <c r="R265" t="str" cm="1">
        <f t="array" ref="R265">_xlfn.XLOOKUP(CONTROL[[#This Row],[VEHIDCODE]],GRAPHICS_PROPERTIES[VEHIDCODE],GRAPHICS_PROPERTIES[TEMPLATE_ID]&amp;GRAPHICS_PROPERTIES[TEMPLATE_AMENDMENT_CODE])</f>
        <v>TPL_01A</v>
      </c>
    </row>
    <row r="266" spans="1:18" x14ac:dyDescent="0.35">
      <c r="A266" s="2" t="s">
        <v>3470</v>
      </c>
      <c r="B266" s="21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2" t="s">
        <v>3532</v>
      </c>
      <c r="G266" t="s">
        <v>1295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1" t="str">
        <f>"item_"&amp;CONTROL[[#This Row],[VEHIDCODE]]</f>
        <v>item_diesel_Vossloh_Espana___EMD_334</v>
      </c>
      <c r="O266" s="21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  <c r="R266" t="str" cm="1">
        <f t="array" ref="R266">_xlfn.XLOOKUP(CONTROL[[#This Row],[VEHIDCODE]],GRAPHICS_PROPERTIES[VEHIDCODE],GRAPHICS_PROPERTIES[TEMPLATE_ID]&amp;GRAPHICS_PROPERTIES[TEMPLATE_AMENDMENT_CODE])</f>
        <v>TPL_01A</v>
      </c>
    </row>
    <row r="267" spans="1:18" x14ac:dyDescent="0.35">
      <c r="A267" s="2" t="s">
        <v>2901</v>
      </c>
      <c r="B267" s="21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2" t="s">
        <v>2382</v>
      </c>
      <c r="G267" t="s">
        <v>1296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1" t="str">
        <f>"item_"&amp;CONTROL[[#This Row],[VEHIDCODE]]</f>
        <v>item_diesel_INKA_CC300</v>
      </c>
      <c r="O267" s="21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  <c r="R267" t="str" cm="1">
        <f t="array" ref="R267">_xlfn.XLOOKUP(CONTROL[[#This Row],[VEHIDCODE]],GRAPHICS_PROPERTIES[VEHIDCODE],GRAPHICS_PROPERTIES[TEMPLATE_ID]&amp;GRAPHICS_PROPERTIES[TEMPLATE_AMENDMENT_CODE])</f>
        <v>TPL_01A</v>
      </c>
    </row>
    <row r="268" spans="1:18" x14ac:dyDescent="0.35">
      <c r="A268" s="2" t="s">
        <v>2902</v>
      </c>
      <c r="B268" s="21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2" t="s">
        <v>373</v>
      </c>
      <c r="G268" t="s">
        <v>1196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1" t="str">
        <f>"item_"&amp;CONTROL[[#This Row],[VEHIDCODE]]</f>
        <v>item_diesel_Great_Southern_Railway_DH501</v>
      </c>
      <c r="O268" s="21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  <c r="R268" t="str" cm="1">
        <f t="array" ref="R268">_xlfn.XLOOKUP(CONTROL[[#This Row],[VEHIDCODE]],GRAPHICS_PROPERTIES[VEHIDCODE],GRAPHICS_PROPERTIES[TEMPLATE_ID]&amp;GRAPHICS_PROPERTIES[TEMPLATE_AMENDMENT_CODE])</f>
        <v>TPL_03C</v>
      </c>
    </row>
    <row r="269" spans="1:18" x14ac:dyDescent="0.35">
      <c r="A269" s="2" t="s">
        <v>2903</v>
      </c>
      <c r="B269" s="21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2" t="s">
        <v>374</v>
      </c>
      <c r="G269" t="s">
        <v>1297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1" t="str">
        <f>"item_"&amp;CONTROL[[#This Row],[VEHIDCODE]]</f>
        <v>item_diesel_EE_VFFLB</v>
      </c>
      <c r="O269" s="21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  <c r="R269" t="str" cm="1">
        <f t="array" ref="R269">_xlfn.XLOOKUP(CONTROL[[#This Row],[VEHIDCODE]],GRAPHICS_PROPERTIES[VEHIDCODE],GRAPHICS_PROPERTIES[TEMPLATE_ID]&amp;GRAPHICS_PROPERTIES[TEMPLATE_AMENDMENT_CODE])</f>
        <v>TPL_01A</v>
      </c>
    </row>
    <row r="270" spans="1:18" x14ac:dyDescent="0.35">
      <c r="A270" s="2" t="s">
        <v>2904</v>
      </c>
      <c r="B270" s="21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2" t="s">
        <v>2007</v>
      </c>
      <c r="G270" t="s">
        <v>1298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1" t="str">
        <f>"item_"&amp;CONTROL[[#This Row],[VEHIDCODE]]</f>
        <v>item_diesel_GE_U5B</v>
      </c>
      <c r="O270" s="21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  <c r="R270" t="str" cm="1">
        <f t="array" ref="R270">_xlfn.XLOOKUP(CONTROL[[#This Row],[VEHIDCODE]],GRAPHICS_PROPERTIES[VEHIDCODE],GRAPHICS_PROPERTIES[TEMPLATE_ID]&amp;GRAPHICS_PROPERTIES[TEMPLATE_AMENDMENT_CODE])</f>
        <v>TPL_01A</v>
      </c>
    </row>
    <row r="271" spans="1:18" x14ac:dyDescent="0.35">
      <c r="A271" s="2" t="s">
        <v>2905</v>
      </c>
      <c r="B271" s="21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2" t="s">
        <v>2183</v>
      </c>
      <c r="G271" t="s">
        <v>1299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1" t="str">
        <f>"item_"&amp;CONTROL[[#This Row],[VEHIDCODE]]</f>
        <v>item_diesel_ALCO_RSD_39</v>
      </c>
      <c r="O271" s="21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  <c r="R271" t="str" cm="1">
        <f t="array" ref="R271">_xlfn.XLOOKUP(CONTROL[[#This Row],[VEHIDCODE]],GRAPHICS_PROPERTIES[VEHIDCODE],GRAPHICS_PROPERTIES[TEMPLATE_ID]&amp;GRAPHICS_PROPERTIES[TEMPLATE_AMENDMENT_CODE])</f>
        <v>TPL_01A</v>
      </c>
    </row>
    <row r="272" spans="1:18" x14ac:dyDescent="0.35">
      <c r="A272" s="2" t="s">
        <v>2906</v>
      </c>
      <c r="B272" s="21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2" t="s">
        <v>2008</v>
      </c>
      <c r="G272" t="s">
        <v>1300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1" t="str">
        <f>"item_"&amp;CONTROL[[#This Row],[VEHIDCODE]]</f>
        <v>item_diesel_EMD_DDM45</v>
      </c>
      <c r="O272" s="21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  <c r="R272" t="str" cm="1">
        <f t="array" ref="R272">_xlfn.XLOOKUP(CONTROL[[#This Row],[VEHIDCODE]],GRAPHICS_PROPERTIES[VEHIDCODE],GRAPHICS_PROPERTIES[TEMPLATE_ID]&amp;GRAPHICS_PROPERTIES[TEMPLATE_AMENDMENT_CODE])</f>
        <v>TPL_01A</v>
      </c>
    </row>
    <row r="273" spans="1:18" x14ac:dyDescent="0.35">
      <c r="A273" s="2" t="s">
        <v>2907</v>
      </c>
      <c r="B273" s="21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2" t="s">
        <v>3521</v>
      </c>
      <c r="G273" t="s">
        <v>1301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1" t="str">
        <f>"item_"&amp;CONTROL[[#This Row],[VEHIDCODE]]</f>
        <v>item_diesel_GE_C39_8__FCCA_</v>
      </c>
      <c r="O273" s="21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  <c r="R273" t="str" cm="1">
        <f t="array" ref="R273">_xlfn.XLOOKUP(CONTROL[[#This Row],[VEHIDCODE]],GRAPHICS_PROPERTIES[VEHIDCODE],GRAPHICS_PROPERTIES[TEMPLATE_ID]&amp;GRAPHICS_PROPERTIES[TEMPLATE_AMENDMENT_CODE])</f>
        <v>TPL_01A</v>
      </c>
    </row>
    <row r="274" spans="1:18" x14ac:dyDescent="0.35">
      <c r="A274" s="2" t="s">
        <v>2908</v>
      </c>
      <c r="B274" s="21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2" t="s">
        <v>3610</v>
      </c>
      <c r="G274" t="s">
        <v>1302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1" t="str">
        <f>"item_"&amp;CONTROL[[#This Row],[VEHIDCODE]]</f>
        <v>item_diesel_SOFSE_319_3</v>
      </c>
      <c r="O274" s="21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  <c r="R274" t="str" cm="1">
        <f t="array" ref="R274">_xlfn.XLOOKUP(CONTROL[[#This Row],[VEHIDCODE]],GRAPHICS_PROPERTIES[VEHIDCODE],GRAPHICS_PROPERTIES[TEMPLATE_ID]&amp;GRAPHICS_PROPERTIES[TEMPLATE_AMENDMENT_CODE])</f>
        <v>TPL_01A</v>
      </c>
    </row>
    <row r="275" spans="1:18" x14ac:dyDescent="0.35">
      <c r="A275" s="2" t="s">
        <v>2909</v>
      </c>
      <c r="B275" s="21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2" t="s">
        <v>2029</v>
      </c>
      <c r="G275" t="s">
        <v>1303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1" t="str">
        <f>"item_"&amp;CONTROL[[#This Row],[VEHIDCODE]]</f>
        <v>item_diesel_CNR_CKD8G</v>
      </c>
      <c r="O275" s="21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  <c r="R275" t="str" cm="1">
        <f t="array" ref="R275">_xlfn.XLOOKUP(CONTROL[[#This Row],[VEHIDCODE]],GRAPHICS_PROPERTIES[VEHIDCODE],GRAPHICS_PROPERTIES[TEMPLATE_ID]&amp;GRAPHICS_PROPERTIES[TEMPLATE_AMENDMENT_CODE])</f>
        <v>TPL_01A</v>
      </c>
    </row>
    <row r="276" spans="1:18" x14ac:dyDescent="0.35">
      <c r="A276" s="2" t="s">
        <v>2910</v>
      </c>
      <c r="B276" s="21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2" t="s">
        <v>2184</v>
      </c>
      <c r="G276" t="s">
        <v>1304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1" t="str">
        <f>"item_"&amp;CONTROL[[#This Row],[VEHIDCODE]]</f>
        <v>item_diesel_AEG_SAR_DS</v>
      </c>
      <c r="O276" s="21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  <c r="R276" t="str" cm="1">
        <f t="array" ref="R276">_xlfn.XLOOKUP(CONTROL[[#This Row],[VEHIDCODE]],GRAPHICS_PROPERTIES[VEHIDCODE],GRAPHICS_PROPERTIES[TEMPLATE_ID]&amp;GRAPHICS_PROPERTIES[TEMPLATE_AMENDMENT_CODE])</f>
        <v>TPL_01A</v>
      </c>
    </row>
    <row r="277" spans="1:18" x14ac:dyDescent="0.35">
      <c r="A277" s="2" t="s">
        <v>2911</v>
      </c>
      <c r="B277" s="21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2" t="s">
        <v>3515</v>
      </c>
      <c r="G277" t="s">
        <v>3514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1" t="str">
        <f>"item_"&amp;CONTROL[[#This Row],[VEHIDCODE]]</f>
        <v>item_diesel_GM_GT_26_W__040DG_</v>
      </c>
      <c r="O277" s="21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  <c r="R277" t="str" cm="1">
        <f t="array" ref="R277">_xlfn.XLOOKUP(CONTROL[[#This Row],[VEHIDCODE]],GRAPHICS_PROPERTIES[VEHIDCODE],GRAPHICS_PROPERTIES[TEMPLATE_ID]&amp;GRAPHICS_PROPERTIES[TEMPLATE_AMENDMENT_CODE])</f>
        <v>TPL_01A</v>
      </c>
    </row>
    <row r="278" spans="1:18" x14ac:dyDescent="0.35">
      <c r="A278" s="2" t="s">
        <v>2912</v>
      </c>
      <c r="B278" s="21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2" t="s">
        <v>2185</v>
      </c>
      <c r="G278" t="s">
        <v>1306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1" t="str">
        <f>"item_"&amp;CONTROL[[#This Row],[VEHIDCODE]]</f>
        <v>item_diesel_EMD_GL8__040DF_</v>
      </c>
      <c r="O278" s="21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  <c r="R278" t="str" cm="1">
        <f t="array" ref="R278">_xlfn.XLOOKUP(CONTROL[[#This Row],[VEHIDCODE]],GRAPHICS_PROPERTIES[VEHIDCODE],GRAPHICS_PROPERTIES[TEMPLATE_ID]&amp;GRAPHICS_PROPERTIES[TEMPLATE_AMENDMENT_CODE])</f>
        <v>TPL_01A</v>
      </c>
    </row>
    <row r="279" spans="1:18" x14ac:dyDescent="0.35">
      <c r="A279" s="2" t="s">
        <v>2913</v>
      </c>
      <c r="B279" s="21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2" t="s">
        <v>2009</v>
      </c>
      <c r="G279" t="s">
        <v>1307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1" t="str">
        <f>"item_"&amp;CONTROL[[#This Row],[VEHIDCODE]]</f>
        <v>item_diesel_LTZ_TE114E</v>
      </c>
      <c r="O279" s="21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  <c r="R279" t="str" cm="1">
        <f t="array" ref="R279">_xlfn.XLOOKUP(CONTROL[[#This Row],[VEHIDCODE]],GRAPHICS_PROPERTIES[VEHIDCODE],GRAPHICS_PROPERTIES[TEMPLATE_ID]&amp;GRAPHICS_PROPERTIES[TEMPLATE_AMENDMENT_CODE])</f>
        <v>TPL_01A</v>
      </c>
    </row>
    <row r="280" spans="1:18" x14ac:dyDescent="0.35">
      <c r="A280" s="2" t="s">
        <v>2914</v>
      </c>
      <c r="B280" s="21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2" t="s">
        <v>3520</v>
      </c>
      <c r="G280" t="s">
        <v>3519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1" t="str">
        <f>"item_"&amp;CONTROL[[#This Row],[VEHIDCODE]]</f>
        <v>item_diesel_GM_GL_18_B__040DJ_</v>
      </c>
      <c r="O280" s="21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  <c r="R280" t="str" cm="1">
        <f t="array" ref="R280">_xlfn.XLOOKUP(CONTROL[[#This Row],[VEHIDCODE]],GRAPHICS_PROPERTIES[VEHIDCODE],GRAPHICS_PROPERTIES[TEMPLATE_ID]&amp;GRAPHICS_PROPERTIES[TEMPLATE_AMENDMENT_CODE])</f>
        <v>TPL_01A</v>
      </c>
    </row>
    <row r="281" spans="1:18" x14ac:dyDescent="0.35">
      <c r="A281" s="2" t="s">
        <v>2915</v>
      </c>
      <c r="B281" s="21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2" t="s">
        <v>2546</v>
      </c>
      <c r="G281" t="s">
        <v>1308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1" t="str">
        <f>"item_"&amp;CONTROL[[#This Row],[VEHIDCODE]]</f>
        <v>item_diesel_Alsthom_CC_72000</v>
      </c>
      <c r="O281" s="21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  <c r="R281" t="str" cm="1">
        <f t="array" ref="R281">_xlfn.XLOOKUP(CONTROL[[#This Row],[VEHIDCODE]],GRAPHICS_PROPERTIES[VEHIDCODE],GRAPHICS_PROPERTIES[TEMPLATE_ID]&amp;GRAPHICS_PROPERTIES[TEMPLATE_AMENDMENT_CODE])</f>
        <v>TPL_01A</v>
      </c>
    </row>
    <row r="282" spans="1:18" x14ac:dyDescent="0.35">
      <c r="A282" s="2" t="s">
        <v>2916</v>
      </c>
      <c r="B282" s="21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2" t="s">
        <v>2010</v>
      </c>
      <c r="G282" t="s">
        <v>1309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1" t="str">
        <f>"item_"&amp;CONTROL[[#This Row],[VEHIDCODE]]</f>
        <v>item_diesel_LTZ_TEP10L</v>
      </c>
      <c r="O282" s="21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  <c r="R282" t="str" cm="1">
        <f t="array" ref="R282">_xlfn.XLOOKUP(CONTROL[[#This Row],[VEHIDCODE]],GRAPHICS_PROPERTIES[VEHIDCODE],GRAPHICS_PROPERTIES[TEMPLATE_ID]&amp;GRAPHICS_PROPERTIES[TEMPLATE_AMENDMENT_CODE])</f>
        <v>TPL_01A</v>
      </c>
    </row>
    <row r="283" spans="1:18" x14ac:dyDescent="0.35">
      <c r="A283" s="2" t="s">
        <v>2917</v>
      </c>
      <c r="B283" s="21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2" t="s">
        <v>2011</v>
      </c>
      <c r="G283" t="s">
        <v>1310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1" t="str">
        <f>"item_"&amp;CONTROL[[#This Row],[VEHIDCODE]]</f>
        <v>item_diesel_LTZ_2TE10M</v>
      </c>
      <c r="O283" s="21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  <c r="R283" t="str" cm="1">
        <f t="array" ref="R283">_xlfn.XLOOKUP(CONTROL[[#This Row],[VEHIDCODE]],GRAPHICS_PROPERTIES[VEHIDCODE],GRAPHICS_PROPERTIES[TEMPLATE_ID]&amp;GRAPHICS_PROPERTIES[TEMPLATE_AMENDMENT_CODE])</f>
        <v>TPL_03D</v>
      </c>
    </row>
    <row r="284" spans="1:18" x14ac:dyDescent="0.35">
      <c r="A284" s="2" t="s">
        <v>2918</v>
      </c>
      <c r="B284" s="21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2" t="s">
        <v>1969</v>
      </c>
      <c r="G284" t="s">
        <v>1311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1" t="str">
        <f>"item_"&amp;CONTROL[[#This Row],[VEHIDCODE]]</f>
        <v>item_diesel_FAUR_LDE1300</v>
      </c>
      <c r="O284" s="21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  <c r="R284" t="str" cm="1">
        <f t="array" ref="R284">_xlfn.XLOOKUP(CONTROL[[#This Row],[VEHIDCODE]],GRAPHICS_PROPERTIES[VEHIDCODE],GRAPHICS_PROPERTIES[TEMPLATE_ID]&amp;GRAPHICS_PROPERTIES[TEMPLATE_AMENDMENT_CODE])</f>
        <v>TPL_01A</v>
      </c>
    </row>
    <row r="285" spans="1:18" x14ac:dyDescent="0.35">
      <c r="A285" s="2" t="s">
        <v>2919</v>
      </c>
      <c r="B285" s="21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2" t="s">
        <v>2012</v>
      </c>
      <c r="G285" t="s">
        <v>1312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1" t="str">
        <f>"item_"&amp;CONTROL[[#This Row],[VEHIDCODE]]</f>
        <v>item_diesel_LTZ_2TE126</v>
      </c>
      <c r="O285" s="21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  <c r="R285" t="str" cm="1">
        <f t="array" ref="R285">_xlfn.XLOOKUP(CONTROL[[#This Row],[VEHIDCODE]],GRAPHICS_PROPERTIES[VEHIDCODE],GRAPHICS_PROPERTIES[TEMPLATE_ID]&amp;GRAPHICS_PROPERTIES[TEMPLATE_AMENDMENT_CODE])</f>
        <v>TPL_32A</v>
      </c>
    </row>
    <row r="286" spans="1:18" x14ac:dyDescent="0.35">
      <c r="A286" s="2" t="s">
        <v>2920</v>
      </c>
      <c r="B286" s="21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2" t="s">
        <v>2013</v>
      </c>
      <c r="G286" t="s">
        <v>1313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1" t="str">
        <f>"item_"&amp;CONTROL[[#This Row],[VEHIDCODE]]</f>
        <v>item_diesel_LTZ_2TE10Ut</v>
      </c>
      <c r="O286" s="21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  <c r="R286" t="str" cm="1">
        <f t="array" ref="R286">_xlfn.XLOOKUP(CONTROL[[#This Row],[VEHIDCODE]],GRAPHICS_PROPERTIES[VEHIDCODE],GRAPHICS_PROPERTIES[TEMPLATE_ID]&amp;GRAPHICS_PROPERTIES[TEMPLATE_AMENDMENT_CODE])</f>
        <v>TPL_03D</v>
      </c>
    </row>
    <row r="287" spans="1:18" x14ac:dyDescent="0.35">
      <c r="A287" s="2" t="s">
        <v>2921</v>
      </c>
      <c r="B287" s="21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2" t="s">
        <v>2186</v>
      </c>
      <c r="G287" t="s">
        <v>1314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1" t="str">
        <f>"item_"&amp;CONTROL[[#This Row],[VEHIDCODE]]</f>
        <v>item_diesel_CMKS_709_0_4_0DE</v>
      </c>
      <c r="O287" s="21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  <c r="R287" t="str" cm="1">
        <f t="array" ref="R287">_xlfn.XLOOKUP(CONTROL[[#This Row],[VEHIDCODE]],GRAPHICS_PROPERTIES[VEHIDCODE],GRAPHICS_PROPERTIES[TEMPLATE_ID]&amp;GRAPHICS_PROPERTIES[TEMPLATE_AMENDMENT_CODE])</f>
        <v>TPL_01A</v>
      </c>
    </row>
    <row r="288" spans="1:18" x14ac:dyDescent="0.35">
      <c r="A288" s="2" t="s">
        <v>2922</v>
      </c>
      <c r="B288" s="21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2" t="s">
        <v>2187</v>
      </c>
      <c r="G288" t="s">
        <v>1315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1" t="str">
        <f>"item_"&amp;CONTROL[[#This Row],[VEHIDCODE]]</f>
        <v>item_diesel_Antonio_Badoni_Lecco_Sogliole_207</v>
      </c>
      <c r="O288" s="21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  <c r="R288" t="str" cm="1">
        <f t="array" ref="R288">_xlfn.XLOOKUP(CONTROL[[#This Row],[VEHIDCODE]],GRAPHICS_PROPERTIES[VEHIDCODE],GRAPHICS_PROPERTIES[TEMPLATE_ID]&amp;GRAPHICS_PROPERTIES[TEMPLATE_AMENDMENT_CODE])</f>
        <v>TPL_01A</v>
      </c>
    </row>
    <row r="289" spans="1:18" x14ac:dyDescent="0.35">
      <c r="A289" s="2" t="s">
        <v>2923</v>
      </c>
      <c r="B289" s="21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2" t="s">
        <v>2017</v>
      </c>
      <c r="G289" t="s">
        <v>1316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1" t="str">
        <f>"item_"&amp;CONTROL[[#This Row],[VEHIDCODE]]</f>
        <v>item_diesel_Baldwin_0_6_6_0_1000</v>
      </c>
      <c r="O289" s="21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  <c r="R289" t="str" cm="1">
        <f t="array" ref="R289">_xlfn.XLOOKUP(CONTROL[[#This Row],[VEHIDCODE]],GRAPHICS_PROPERTIES[VEHIDCODE],GRAPHICS_PROPERTIES[TEMPLATE_ID]&amp;GRAPHICS_PROPERTIES[TEMPLATE_AMENDMENT_CODE])</f>
        <v>TPL_01A</v>
      </c>
    </row>
    <row r="290" spans="1:18" x14ac:dyDescent="0.35">
      <c r="A290" s="2" t="s">
        <v>2924</v>
      </c>
      <c r="B290" s="21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2" t="s">
        <v>2018</v>
      </c>
      <c r="G290" t="s">
        <v>1317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1" t="str">
        <f>"item_"&amp;CONTROL[[#This Row],[VEHIDCODE]]</f>
        <v>item_diesel_ALCO_RSC_2</v>
      </c>
      <c r="O290" s="21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  <c r="R290" t="str" cm="1">
        <f t="array" ref="R290">_xlfn.XLOOKUP(CONTROL[[#This Row],[VEHIDCODE]],GRAPHICS_PROPERTIES[VEHIDCODE],GRAPHICS_PROPERTIES[TEMPLATE_ID]&amp;GRAPHICS_PROPERTIES[TEMPLATE_AMENDMENT_CODE])</f>
        <v>TPL_01A</v>
      </c>
    </row>
    <row r="291" spans="1:18" x14ac:dyDescent="0.35">
      <c r="A291" s="2" t="s">
        <v>2925</v>
      </c>
      <c r="B291" s="21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2" t="s">
        <v>2188</v>
      </c>
      <c r="G291" t="s">
        <v>1318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1" t="str">
        <f>"item_"&amp;CONTROL[[#This Row],[VEHIDCODE]]</f>
        <v>item_diesel_Brissonneau_and_Lotz_BB_67400</v>
      </c>
      <c r="O291" s="21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  <c r="R291" t="str" cm="1">
        <f t="array" ref="R291">_xlfn.XLOOKUP(CONTROL[[#This Row],[VEHIDCODE]],GRAPHICS_PROPERTIES[VEHIDCODE],GRAPHICS_PROPERTIES[TEMPLATE_ID]&amp;GRAPHICS_PROPERTIES[TEMPLATE_AMENDMENT_CODE])</f>
        <v>TPL_01A</v>
      </c>
    </row>
    <row r="292" spans="1:18" x14ac:dyDescent="0.35">
      <c r="A292" s="2" t="s">
        <v>2926</v>
      </c>
      <c r="B292" s="21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2" t="s">
        <v>1970</v>
      </c>
      <c r="G292" t="s">
        <v>1319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1" t="str">
        <f>"item_"&amp;CONTROL[[#This Row],[VEHIDCODE]]</f>
        <v>item_diesel_MaK_DE_6400</v>
      </c>
      <c r="O292" s="21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  <c r="R292" t="str" cm="1">
        <f t="array" ref="R292">_xlfn.XLOOKUP(CONTROL[[#This Row],[VEHIDCODE]],GRAPHICS_PROPERTIES[VEHIDCODE],GRAPHICS_PROPERTIES[TEMPLATE_ID]&amp;GRAPHICS_PROPERTIES[TEMPLATE_AMENDMENT_CODE])</f>
        <v>TPL_01A</v>
      </c>
    </row>
    <row r="293" spans="1:18" x14ac:dyDescent="0.35">
      <c r="A293" s="2" t="s">
        <v>2927</v>
      </c>
      <c r="B293" s="21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2" t="s">
        <v>2030</v>
      </c>
      <c r="G293" t="s">
        <v>1320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1" t="str">
        <f>"item_"&amp;CONTROL[[#This Row],[VEHIDCODE]]</f>
        <v>item_diesel_GE_ES40ACi</v>
      </c>
      <c r="O293" s="21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  <c r="R293" t="str" cm="1">
        <f t="array" ref="R293">_xlfn.XLOOKUP(CONTROL[[#This Row],[VEHIDCODE]],GRAPHICS_PROPERTIES[VEHIDCODE],GRAPHICS_PROPERTIES[TEMPLATE_ID]&amp;GRAPHICS_PROPERTIES[TEMPLATE_AMENDMENT_CODE])</f>
        <v>TPL_01A</v>
      </c>
    </row>
    <row r="294" spans="1:18" x14ac:dyDescent="0.35">
      <c r="A294" s="2" t="s">
        <v>2928</v>
      </c>
      <c r="B294" s="21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2" t="s">
        <v>2189</v>
      </c>
      <c r="G294" t="s">
        <v>1321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1" t="str">
        <f>"item_"&amp;CONTROL[[#This Row],[VEHIDCODE]]</f>
        <v>item_diesel_Vossloh_Afro_4000</v>
      </c>
      <c r="O294" s="21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  <c r="R294" t="str" cm="1">
        <f t="array" ref="R294">_xlfn.XLOOKUP(CONTROL[[#This Row],[VEHIDCODE]],GRAPHICS_PROPERTIES[VEHIDCODE],GRAPHICS_PROPERTIES[TEMPLATE_ID]&amp;GRAPHICS_PROPERTIES[TEMPLATE_AMENDMENT_CODE])</f>
        <v>TPL_01A</v>
      </c>
    </row>
    <row r="295" spans="1:18" x14ac:dyDescent="0.35">
      <c r="A295" s="2" t="s">
        <v>2929</v>
      </c>
      <c r="B295" s="21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2" t="s">
        <v>2190</v>
      </c>
      <c r="G295" t="s">
        <v>1322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1" t="str">
        <f>"item_"&amp;CONTROL[[#This Row],[VEHIDCODE]]</f>
        <v>item_diesel_GE_U10B</v>
      </c>
      <c r="O295" s="21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  <c r="R295" t="str" cm="1">
        <f t="array" ref="R295">_xlfn.XLOOKUP(CONTROL[[#This Row],[VEHIDCODE]],GRAPHICS_PROPERTIES[VEHIDCODE],GRAPHICS_PROPERTIES[TEMPLATE_ID]&amp;GRAPHICS_PROPERTIES[TEMPLATE_AMENDMENT_CODE])</f>
        <v>TPL_01A</v>
      </c>
    </row>
    <row r="296" spans="1:18" x14ac:dyDescent="0.35">
      <c r="A296" s="2" t="s">
        <v>2930</v>
      </c>
      <c r="B296" s="21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2" t="s">
        <v>2191</v>
      </c>
      <c r="G296" t="s">
        <v>1323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1" t="str">
        <f>"item_"&amp;CONTROL[[#This Row],[VEHIDCODE]]</f>
        <v>item_diesel_EMD_Pacific_GT26C_3</v>
      </c>
      <c r="O296" s="21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  <c r="R296" t="str" cm="1">
        <f t="array" ref="R296">_xlfn.XLOOKUP(CONTROL[[#This Row],[VEHIDCODE]],GRAPHICS_PROPERTIES[VEHIDCODE],GRAPHICS_PROPERTIES[TEMPLATE_ID]&amp;GRAPHICS_PROPERTIES[TEMPLATE_AMENDMENT_CODE])</f>
        <v>TPL_17B</v>
      </c>
    </row>
    <row r="297" spans="1:18" x14ac:dyDescent="0.35">
      <c r="A297" s="2" t="s">
        <v>2931</v>
      </c>
      <c r="B297" s="21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2" t="s">
        <v>375</v>
      </c>
      <c r="G297" t="s">
        <v>1324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1" t="str">
        <f>"item_"&amp;CONTROL[[#This Row],[VEHIDCODE]]</f>
        <v>item_diesel_CargoNet_312</v>
      </c>
      <c r="O297" s="21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  <c r="R297" t="str" cm="1">
        <f t="array" ref="R297">_xlfn.XLOOKUP(CONTROL[[#This Row],[VEHIDCODE]],GRAPHICS_PROPERTIES[VEHIDCODE],GRAPHICS_PROPERTIES[TEMPLATE_ID]&amp;GRAPHICS_PROPERTIES[TEMPLATE_AMENDMENT_CODE])</f>
        <v>TPL_01A</v>
      </c>
    </row>
    <row r="298" spans="1:18" x14ac:dyDescent="0.35">
      <c r="A298" s="2" t="s">
        <v>2932</v>
      </c>
      <c r="B298" s="21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2" t="s">
        <v>2192</v>
      </c>
      <c r="G298" t="s">
        <v>1325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1" t="str">
        <f>"item_"&amp;CONTROL[[#This Row],[VEHIDCODE]]</f>
        <v>item_diesel_GE_Pacific_C44ESACi</v>
      </c>
      <c r="O298" s="21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  <c r="R298" t="str" cm="1">
        <f t="array" ref="R298">_xlfn.XLOOKUP(CONTROL[[#This Row],[VEHIDCODE]],GRAPHICS_PROPERTIES[VEHIDCODE],GRAPHICS_PROPERTIES[TEMPLATE_ID]&amp;GRAPHICS_PROPERTIES[TEMPLATE_AMENDMENT_CODE])</f>
        <v>TPL_01A</v>
      </c>
    </row>
    <row r="299" spans="1:18" x14ac:dyDescent="0.35">
      <c r="A299" s="2" t="s">
        <v>2933</v>
      </c>
      <c r="B299" s="21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2" t="s">
        <v>1973</v>
      </c>
      <c r="G299" t="s">
        <v>1326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1" t="str">
        <f>"item_"&amp;CONTROL[[#This Row],[VEHIDCODE]]</f>
        <v>item_diesel_Stadler_UKLight</v>
      </c>
      <c r="O299" s="21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  <c r="R299" t="str" cm="1">
        <f t="array" ref="R299">_xlfn.XLOOKUP(CONTROL[[#This Row],[VEHIDCODE]],GRAPHICS_PROPERTIES[VEHIDCODE],GRAPHICS_PROPERTIES[TEMPLATE_ID]&amp;GRAPHICS_PROPERTIES[TEMPLATE_AMENDMENT_CODE])</f>
        <v>TPL_01A</v>
      </c>
    </row>
    <row r="300" spans="1:18" x14ac:dyDescent="0.35">
      <c r="A300" s="2" t="s">
        <v>2934</v>
      </c>
      <c r="B300" s="21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2" t="s">
        <v>2031</v>
      </c>
      <c r="G300" t="s">
        <v>1327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1" t="str">
        <f>"item_"&amp;CONTROL[[#This Row],[VEHIDCODE]]</f>
        <v>item_diesel_Siemens_Charger_ALC_42</v>
      </c>
      <c r="O300" s="21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  <c r="R300" t="str" cm="1">
        <f t="array" ref="R300">_xlfn.XLOOKUP(CONTROL[[#This Row],[VEHIDCODE]],GRAPHICS_PROPERTIES[VEHIDCODE],GRAPHICS_PROPERTIES[TEMPLATE_ID]&amp;GRAPHICS_PROPERTIES[TEMPLATE_AMENDMENT_CODE])</f>
        <v>TPL_01A</v>
      </c>
    </row>
    <row r="301" spans="1:18" x14ac:dyDescent="0.35">
      <c r="A301" s="2" t="s">
        <v>2935</v>
      </c>
      <c r="B301" s="21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2" t="s">
        <v>376</v>
      </c>
      <c r="G301" t="s">
        <v>1329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1" t="str">
        <f>"item_"&amp;CONTROL[[#This Row],[VEHIDCODE]]</f>
        <v>item_mtro_Buenos_Aires_Le_Brugeoise</v>
      </c>
      <c r="O301" s="21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  <c r="R301" t="str" cm="1">
        <f t="array" ref="R301">_xlfn.XLOOKUP(CONTROL[[#This Row],[VEHIDCODE]],GRAPHICS_PROPERTIES[VEHIDCODE],GRAPHICS_PROPERTIES[TEMPLATE_ID]&amp;GRAPHICS_PROPERTIES[TEMPLATE_AMENDMENT_CODE])</f>
        <v>TPL_02C</v>
      </c>
    </row>
    <row r="302" spans="1:18" x14ac:dyDescent="0.35">
      <c r="A302" s="2" t="s">
        <v>2936</v>
      </c>
      <c r="B302" s="21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2" t="s">
        <v>2195</v>
      </c>
      <c r="G302" t="s">
        <v>1330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1" t="str">
        <f>"item_"&amp;CONTROL[[#This Row],[VEHIDCODE]]</f>
        <v>item_mtro_ACF_New_York_R1</v>
      </c>
      <c r="O302" s="21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  <c r="R302" t="str" cm="1">
        <f t="array" ref="R302">_xlfn.XLOOKUP(CONTROL[[#This Row],[VEHIDCODE]],GRAPHICS_PROPERTIES[VEHIDCODE],GRAPHICS_PROPERTIES[TEMPLATE_ID]&amp;GRAPHICS_PROPERTIES[TEMPLATE_AMENDMENT_CODE])</f>
        <v>TPL_02C</v>
      </c>
    </row>
    <row r="303" spans="1:18" x14ac:dyDescent="0.35">
      <c r="A303" s="2" t="s">
        <v>2937</v>
      </c>
      <c r="B303" s="21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2" t="s">
        <v>2193</v>
      </c>
      <c r="G303" t="s">
        <v>1331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1" t="str">
        <f>"item_"&amp;CONTROL[[#This Row],[VEHIDCODE]]</f>
        <v>item_mtro_LHB_ET_171</v>
      </c>
      <c r="O303" s="21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  <c r="R303" t="str" cm="1">
        <f t="array" ref="R303">_xlfn.XLOOKUP(CONTROL[[#This Row],[VEHIDCODE]],GRAPHICS_PROPERTIES[VEHIDCODE],GRAPHICS_PROPERTIES[TEMPLATE_ID]&amp;GRAPHICS_PROPERTIES[TEMPLATE_AMENDMENT_CODE])</f>
        <v>TPL_02C</v>
      </c>
    </row>
    <row r="304" spans="1:18" x14ac:dyDescent="0.35">
      <c r="A304" s="2" t="s">
        <v>2938</v>
      </c>
      <c r="B304" s="21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2" t="s">
        <v>2225</v>
      </c>
      <c r="G304" t="s">
        <v>2194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1" t="str">
        <f>"item_"&amp;CONTROL[[#This Row],[VEHIDCODE]]</f>
        <v>item_mtro_GEC_Alsthom_Paris_MP55</v>
      </c>
      <c r="O304" s="21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  <c r="R304" t="str" cm="1">
        <f t="array" ref="R304">_xlfn.XLOOKUP(CONTROL[[#This Row],[VEHIDCODE]],GRAPHICS_PROPERTIES[VEHIDCODE],GRAPHICS_PROPERTIES[TEMPLATE_ID]&amp;GRAPHICS_PROPERTIES[TEMPLATE_AMENDMENT_CODE])</f>
        <v>TPL_02C</v>
      </c>
    </row>
    <row r="305" spans="1:18" x14ac:dyDescent="0.35">
      <c r="A305" s="2" t="s">
        <v>2939</v>
      </c>
      <c r="B305" s="21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2" t="s">
        <v>2196</v>
      </c>
      <c r="G305" t="s">
        <v>1332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1" t="str">
        <f>"item_"&amp;CONTROL[[#This Row],[VEHIDCODE]]</f>
        <v>item_mtro_LHB_Lisbon_ML7</v>
      </c>
      <c r="O305" s="21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  <c r="R305" t="str" cm="1">
        <f t="array" ref="R305">_xlfn.XLOOKUP(CONTROL[[#This Row],[VEHIDCODE]],GRAPHICS_PROPERTIES[VEHIDCODE],GRAPHICS_PROPERTIES[TEMPLATE_ID]&amp;GRAPHICS_PROPERTIES[TEMPLATE_AMENDMENT_CODE])</f>
        <v>TPL_02C</v>
      </c>
    </row>
    <row r="306" spans="1:18" x14ac:dyDescent="0.35">
      <c r="A306" s="2" t="s">
        <v>2940</v>
      </c>
      <c r="B306" s="21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2" t="s">
        <v>3554</v>
      </c>
      <c r="G306" t="s">
        <v>3555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1" t="str">
        <f>"item_"&amp;CONTROL[[#This Row],[VEHIDCODE]]</f>
        <v>item_mtro_MMZ_Budapest_Ev3</v>
      </c>
      <c r="O306" s="21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  <c r="R306" t="str" cm="1">
        <f t="array" ref="R306">_xlfn.XLOOKUP(CONTROL[[#This Row],[VEHIDCODE]],GRAPHICS_PROPERTIES[VEHIDCODE],GRAPHICS_PROPERTIES[TEMPLATE_ID]&amp;GRAPHICS_PROPERTIES[TEMPLATE_AMENDMENT_CODE])</f>
        <v>TPL_02C</v>
      </c>
    </row>
    <row r="307" spans="1:18" x14ac:dyDescent="0.35">
      <c r="A307" s="2" t="s">
        <v>2941</v>
      </c>
      <c r="B307" s="21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2" t="s">
        <v>2197</v>
      </c>
      <c r="G307" t="s">
        <v>1333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1" t="str">
        <f>"item_"&amp;CONTROL[[#This Row],[VEHIDCODE]]</f>
        <v>item_mtro_Strommens_Oslo_T1000</v>
      </c>
      <c r="O307" s="21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  <c r="R307" t="str" cm="1">
        <f t="array" ref="R307">_xlfn.XLOOKUP(CONTROL[[#This Row],[VEHIDCODE]],GRAPHICS_PROPERTIES[VEHIDCODE],GRAPHICS_PROPERTIES[TEMPLATE_ID]&amp;GRAPHICS_PROPERTIES[TEMPLATE_AMENDMENT_CODE])</f>
        <v>TPL_02C</v>
      </c>
    </row>
    <row r="308" spans="1:18" x14ac:dyDescent="0.35">
      <c r="A308" s="2" t="s">
        <v>2942</v>
      </c>
      <c r="B308" s="21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2" t="s">
        <v>2198</v>
      </c>
      <c r="G308" t="s">
        <v>1334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1" t="str">
        <f>"item_"&amp;CONTROL[[#This Row],[VEHIDCODE]]</f>
        <v>item_mtro_Hawker_Siddeley_Toronto_H1</v>
      </c>
      <c r="O308" s="21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  <c r="R308" t="str" cm="1">
        <f t="array" ref="R308">_xlfn.XLOOKUP(CONTROL[[#This Row],[VEHIDCODE]],GRAPHICS_PROPERTIES[VEHIDCODE],GRAPHICS_PROPERTIES[TEMPLATE_ID]&amp;GRAPHICS_PROPERTIES[TEMPLATE_AMENDMENT_CODE])</f>
        <v>TPL_02C</v>
      </c>
    </row>
    <row r="309" spans="1:18" x14ac:dyDescent="0.35">
      <c r="A309" s="2" t="s">
        <v>2943</v>
      </c>
      <c r="B309" s="21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2" t="s">
        <v>2199</v>
      </c>
      <c r="G309" t="s">
        <v>1335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1" t="str">
        <f>"item_"&amp;CONTROL[[#This Row],[VEHIDCODE]]</f>
        <v>item_mtro_MAN_Munchen_MVG_A2</v>
      </c>
      <c r="O309" s="21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  <c r="R309" t="str" cm="1">
        <f t="array" ref="R309">_xlfn.XLOOKUP(CONTROL[[#This Row],[VEHIDCODE]],GRAPHICS_PROPERTIES[VEHIDCODE],GRAPHICS_PROPERTIES[TEMPLATE_ID]&amp;GRAPHICS_PROPERTIES[TEMPLATE_AMENDMENT_CODE])</f>
        <v>TPL_02C</v>
      </c>
    </row>
    <row r="310" spans="1:18" x14ac:dyDescent="0.35">
      <c r="A310" s="2" t="s">
        <v>2944</v>
      </c>
      <c r="B310" s="21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2" t="s">
        <v>2200</v>
      </c>
      <c r="G310" t="s">
        <v>1336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1" t="str">
        <f>"item_"&amp;CONTROL[[#This Row],[VEHIDCODE]]</f>
        <v>item_mtro_St__Louis_Car_Co_New_York_R44</v>
      </c>
      <c r="O310" s="21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  <c r="R310" t="str" cm="1">
        <f t="array" ref="R310">_xlfn.XLOOKUP(CONTROL[[#This Row],[VEHIDCODE]],GRAPHICS_PROPERTIES[VEHIDCODE],GRAPHICS_PROPERTIES[TEMPLATE_ID]&amp;GRAPHICS_PROPERTIES[TEMPLATE_AMENDMENT_CODE])</f>
        <v>TPL_02C</v>
      </c>
    </row>
    <row r="311" spans="1:18" x14ac:dyDescent="0.35">
      <c r="A311" s="2" t="s">
        <v>2945</v>
      </c>
      <c r="B311" s="21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2" t="s">
        <v>2201</v>
      </c>
      <c r="G311" t="s">
        <v>1337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1" t="str">
        <f>"item_"&amp;CONTROL[[#This Row],[VEHIDCODE]]</f>
        <v>item_mtro_LHB_Amsterdam_M1</v>
      </c>
      <c r="O311" s="21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  <c r="R311" t="str" cm="1">
        <f t="array" ref="R311">_xlfn.XLOOKUP(CONTROL[[#This Row],[VEHIDCODE]],GRAPHICS_PROPERTIES[VEHIDCODE],GRAPHICS_PROPERTIES[TEMPLATE_ID]&amp;GRAPHICS_PROPERTIES[TEMPLATE_AMENDMENT_CODE])</f>
        <v>TPL_02C</v>
      </c>
    </row>
    <row r="312" spans="1:18" x14ac:dyDescent="0.35">
      <c r="A312" s="2" t="s">
        <v>2946</v>
      </c>
      <c r="B312" s="21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2" t="s">
        <v>2569</v>
      </c>
      <c r="G312" t="s">
        <v>1338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1" t="str">
        <f>"item_"&amp;CONTROL[[#This Row],[VEHIDCODE]]</f>
        <v>item_mtro_ASEA_Stockholm_C8</v>
      </c>
      <c r="O312" s="21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  <c r="R312" t="str" cm="1">
        <f t="array" ref="R312">_xlfn.XLOOKUP(CONTROL[[#This Row],[VEHIDCODE]],GRAPHICS_PROPERTIES[VEHIDCODE],GRAPHICS_PROPERTIES[TEMPLATE_ID]&amp;GRAPHICS_PROPERTIES[TEMPLATE_AMENDMENT_CODE])</f>
        <v>TPL_02C</v>
      </c>
    </row>
    <row r="313" spans="1:18" x14ac:dyDescent="0.35">
      <c r="A313" s="2" t="s">
        <v>2947</v>
      </c>
      <c r="B313" s="21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2" t="s">
        <v>3553</v>
      </c>
      <c r="G313" t="s">
        <v>1339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1" t="str">
        <f>"item_"&amp;CONTROL[[#This Row],[VEHIDCODE]]</f>
        <v>item_mtro_AEG_Pyongyang_D</v>
      </c>
      <c r="O313" s="21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  <c r="R313" t="str" cm="1">
        <f t="array" ref="R313">_xlfn.XLOOKUP(CONTROL[[#This Row],[VEHIDCODE]],GRAPHICS_PROPERTIES[VEHIDCODE],GRAPHICS_PROPERTIES[TEMPLATE_ID]&amp;GRAPHICS_PROPERTIES[TEMPLATE_AMENDMENT_CODE])</f>
        <v>TPL_02C</v>
      </c>
    </row>
    <row r="314" spans="1:18" x14ac:dyDescent="0.35">
      <c r="A314" s="2" t="s">
        <v>2948</v>
      </c>
      <c r="B314" s="21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2" t="s">
        <v>2202</v>
      </c>
      <c r="G314" t="s">
        <v>1340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1" t="str">
        <f>"item_"&amp;CONTROL[[#This Row],[VEHIDCODE]]</f>
        <v>item_mtro_Valmet_Helsinki_M100</v>
      </c>
      <c r="O314" s="21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  <c r="R314" t="str" cm="1">
        <f t="array" ref="R314">_xlfn.XLOOKUP(CONTROL[[#This Row],[VEHIDCODE]],GRAPHICS_PROPERTIES[VEHIDCODE],GRAPHICS_PROPERTIES[TEMPLATE_ID]&amp;GRAPHICS_PROPERTIES[TEMPLATE_AMENDMENT_CODE])</f>
        <v>TPL_02C</v>
      </c>
    </row>
    <row r="315" spans="1:18" x14ac:dyDescent="0.35">
      <c r="A315" s="2" t="s">
        <v>2949</v>
      </c>
      <c r="B315" s="21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2" t="s">
        <v>2203</v>
      </c>
      <c r="G315" t="s">
        <v>1341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1" t="str">
        <f>"item_"&amp;CONTROL[[#This Row],[VEHIDCODE]]</f>
        <v>item_mtro_Sorefame_Sao_Paulo_Serie_5500</v>
      </c>
      <c r="O315" s="21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  <c r="R315" t="str" cm="1">
        <f t="array" ref="R315">_xlfn.XLOOKUP(CONTROL[[#This Row],[VEHIDCODE]],GRAPHICS_PROPERTIES[VEHIDCODE],GRAPHICS_PROPERTIES[TEMPLATE_ID]&amp;GRAPHICS_PROPERTIES[TEMPLATE_AMENDMENT_CODE])</f>
        <v>TPL_02C</v>
      </c>
    </row>
    <row r="316" spans="1:18" x14ac:dyDescent="0.35">
      <c r="A316" s="2" t="s">
        <v>2950</v>
      </c>
      <c r="B316" s="21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2" t="s">
        <v>3549</v>
      </c>
      <c r="G316" t="s">
        <v>1328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1" t="str">
        <f>"item_"&amp;CONTROL[[#This Row],[VEHIDCODE]]</f>
        <v>item_mtro_MMZ_Moscow_81_720</v>
      </c>
      <c r="O316" s="21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  <c r="R316" t="str" cm="1">
        <f t="array" ref="R316">_xlfn.XLOOKUP(CONTROL[[#This Row],[VEHIDCODE]],GRAPHICS_PROPERTIES[VEHIDCODE],GRAPHICS_PROPERTIES[TEMPLATE_ID]&amp;GRAPHICS_PROPERTIES[TEMPLATE_AMENDMENT_CODE])</f>
        <v>TPL_02C</v>
      </c>
    </row>
    <row r="317" spans="1:18" x14ac:dyDescent="0.35">
      <c r="A317" s="2" t="s">
        <v>2951</v>
      </c>
      <c r="B317" s="21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2" t="s">
        <v>2212</v>
      </c>
      <c r="G317" t="s">
        <v>1342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1" t="str">
        <f>"item_"&amp;CONTROL[[#This Row],[VEHIDCODE]]</f>
        <v>item_mtro_Kawasaki_Tokyo_S01</v>
      </c>
      <c r="O317" s="21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  <c r="R317" t="str" cm="1">
        <f t="array" ref="R317">_xlfn.XLOOKUP(CONTROL[[#This Row],[VEHIDCODE]],GRAPHICS_PROPERTIES[VEHIDCODE],GRAPHICS_PROPERTIES[TEMPLATE_ID]&amp;GRAPHICS_PROPERTIES[TEMPLATE_AMENDMENT_CODE])</f>
        <v>TPL_02C</v>
      </c>
    </row>
    <row r="318" spans="1:18" x14ac:dyDescent="0.35">
      <c r="A318" s="2" t="s">
        <v>2952</v>
      </c>
      <c r="B318" s="21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2" t="s">
        <v>2204</v>
      </c>
      <c r="G318" t="s">
        <v>1343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1" t="str">
        <f>"item_"&amp;CONTROL[[#This Row],[VEHIDCODE]]</f>
        <v>item_mtro_Kinki_Sharyo_Vcairo</v>
      </c>
      <c r="O318" s="21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  <c r="R318" t="str" cm="1">
        <f t="array" ref="R318">_xlfn.XLOOKUP(CONTROL[[#This Row],[VEHIDCODE]],GRAPHICS_PROPERTIES[VEHIDCODE],GRAPHICS_PROPERTIES[TEMPLATE_ID]&amp;GRAPHICS_PROPERTIES[TEMPLATE_AMENDMENT_CODE])</f>
        <v>TPL_02C</v>
      </c>
    </row>
    <row r="319" spans="1:18" x14ac:dyDescent="0.35">
      <c r="A319" s="2" t="s">
        <v>2953</v>
      </c>
      <c r="B319" s="21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2" t="s">
        <v>2205</v>
      </c>
      <c r="G319" t="s">
        <v>1344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1" t="str">
        <f>"item_"&amp;CONTROL[[#This Row],[VEHIDCODE]]</f>
        <v>item_mtro_LHB_London_DLR_P86</v>
      </c>
      <c r="O319" s="21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  <c r="R319" t="str" cm="1">
        <f t="array" ref="R319">_xlfn.XLOOKUP(CONTROL[[#This Row],[VEHIDCODE]],GRAPHICS_PROPERTIES[VEHIDCODE],GRAPHICS_PROPERTIES[TEMPLATE_ID]&amp;GRAPHICS_PROPERTIES[TEMPLATE_AMENDMENT_CODE])</f>
        <v>TPL_02C</v>
      </c>
    </row>
    <row r="320" spans="1:18" x14ac:dyDescent="0.35">
      <c r="A320" s="2" t="s">
        <v>2954</v>
      </c>
      <c r="B320" s="21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2" t="s">
        <v>3550</v>
      </c>
      <c r="G320" t="s">
        <v>1345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1" t="str">
        <f>"item_"&amp;CONTROL[[#This Row],[VEHIDCODE]]</f>
        <v>item_mtro_MMZ_Moscow_81_717_5M</v>
      </c>
      <c r="O320" s="21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  <c r="R320" t="str" cm="1">
        <f t="array" ref="R320">_xlfn.XLOOKUP(CONTROL[[#This Row],[VEHIDCODE]],GRAPHICS_PROPERTIES[VEHIDCODE],GRAPHICS_PROPERTIES[TEMPLATE_ID]&amp;GRAPHICS_PROPERTIES[TEMPLATE_AMENDMENT_CODE])</f>
        <v>TPL_02C</v>
      </c>
    </row>
    <row r="321" spans="1:18" x14ac:dyDescent="0.35">
      <c r="A321" s="2" t="s">
        <v>2955</v>
      </c>
      <c r="B321" s="21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2" t="s">
        <v>2206</v>
      </c>
      <c r="G321" t="s">
        <v>1346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1" t="str">
        <f>"item_"&amp;CONTROL[[#This Row],[VEHIDCODE]]</f>
        <v>item_mtro_Bombardier_Boston_01800</v>
      </c>
      <c r="O321" s="21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  <c r="R321" t="str" cm="1">
        <f t="array" ref="R321">_xlfn.XLOOKUP(CONTROL[[#This Row],[VEHIDCODE]],GRAPHICS_PROPERTIES[VEHIDCODE],GRAPHICS_PROPERTIES[TEMPLATE_ID]&amp;GRAPHICS_PROPERTIES[TEMPLATE_AMENDMENT_CODE])</f>
        <v>TPL_02C</v>
      </c>
    </row>
    <row r="322" spans="1:18" x14ac:dyDescent="0.35">
      <c r="A322" s="2" t="s">
        <v>2956</v>
      </c>
      <c r="B322" s="21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2" t="s">
        <v>2207</v>
      </c>
      <c r="G322" t="s">
        <v>1347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1" t="str">
        <f>"item_"&amp;CONTROL[[#This Row],[VEHIDCODE]]</f>
        <v>item_mtro_Breda_LA_A650</v>
      </c>
      <c r="O322" s="21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  <c r="R322" t="str" cm="1">
        <f t="array" ref="R322">_xlfn.XLOOKUP(CONTROL[[#This Row],[VEHIDCODE]],GRAPHICS_PROPERTIES[VEHIDCODE],GRAPHICS_PROPERTIES[TEMPLATE_ID]&amp;GRAPHICS_PROPERTIES[TEMPLATE_AMENDMENT_CODE])</f>
        <v>TPL_02C</v>
      </c>
    </row>
    <row r="323" spans="1:18" x14ac:dyDescent="0.35">
      <c r="A323" s="2" t="s">
        <v>2957</v>
      </c>
      <c r="B323" s="21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2" t="s">
        <v>2208</v>
      </c>
      <c r="G323" t="s">
        <v>1348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1" t="str">
        <f>"item_"&amp;CONTROL[[#This Row],[VEHIDCODE]]</f>
        <v>item_mtro_Kawasaki_Taipei_C301</v>
      </c>
      <c r="O323" s="21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  <c r="R323" t="str" cm="1">
        <f t="array" ref="R323">_xlfn.XLOOKUP(CONTROL[[#This Row],[VEHIDCODE]],GRAPHICS_PROPERTIES[VEHIDCODE],GRAPHICS_PROPERTIES[TEMPLATE_ID]&amp;GRAPHICS_PROPERTIES[TEMPLATE_AMENDMENT_CODE])</f>
        <v>TPL_02C</v>
      </c>
    </row>
    <row r="324" spans="1:18" x14ac:dyDescent="0.35">
      <c r="A324" s="2" t="s">
        <v>2958</v>
      </c>
      <c r="B324" s="21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2" t="s">
        <v>2209</v>
      </c>
      <c r="G324" t="s">
        <v>1349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1" t="str">
        <f>"item_"&amp;CONTROL[[#This Row],[VEHIDCODE]]</f>
        <v>item_mtro_CAF_Amsterdam_S3_90</v>
      </c>
      <c r="O324" s="21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  <c r="R324" t="str" cm="1">
        <f t="array" ref="R324">_xlfn.XLOOKUP(CONTROL[[#This Row],[VEHIDCODE]],GRAPHICS_PROPERTIES[VEHIDCODE],GRAPHICS_PROPERTIES[TEMPLATE_ID]&amp;GRAPHICS_PROPERTIES[TEMPLATE_AMENDMENT_CODE])</f>
        <v>TPL_02C</v>
      </c>
    </row>
    <row r="325" spans="1:18" x14ac:dyDescent="0.35">
      <c r="A325" s="2" t="s">
        <v>2959</v>
      </c>
      <c r="B325" s="21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2" t="s">
        <v>2226</v>
      </c>
      <c r="G325" t="s">
        <v>1350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1" t="str">
        <f>"item_"&amp;CONTROL[[#This Row],[VEHIDCODE]]</f>
        <v>item_mtro_GEC_Alsthom_Paris_MP89</v>
      </c>
      <c r="O325" s="21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  <c r="R325" t="str" cm="1">
        <f t="array" ref="R325">_xlfn.XLOOKUP(CONTROL[[#This Row],[VEHIDCODE]],GRAPHICS_PROPERTIES[VEHIDCODE],GRAPHICS_PROPERTIES[TEMPLATE_ID]&amp;GRAPHICS_PROPERTIES[TEMPLATE_AMENDMENT_CODE])</f>
        <v>TPL_02C</v>
      </c>
    </row>
    <row r="326" spans="1:18" x14ac:dyDescent="0.35">
      <c r="A326" s="2" t="s">
        <v>2960</v>
      </c>
      <c r="B326" s="21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2" t="s">
        <v>3551</v>
      </c>
      <c r="G326" t="s">
        <v>1351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1" t="str">
        <f>"item_"&amp;CONTROL[[#This Row],[VEHIDCODE]]</f>
        <v>item_mtro_MMZ_Moscow_81_740</v>
      </c>
      <c r="O326" s="21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  <c r="R326" t="str" cm="1">
        <f t="array" ref="R326">_xlfn.XLOOKUP(CONTROL[[#This Row],[VEHIDCODE]],GRAPHICS_PROPERTIES[VEHIDCODE],GRAPHICS_PROPERTIES[TEMPLATE_ID]&amp;GRAPHICS_PROPERTIES[TEMPLATE_AMENDMENT_CODE])</f>
        <v>TPL_02C</v>
      </c>
    </row>
    <row r="327" spans="1:18" x14ac:dyDescent="0.35">
      <c r="A327" s="2" t="s">
        <v>2961</v>
      </c>
      <c r="B327" s="21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2" t="s">
        <v>2210</v>
      </c>
      <c r="G327" t="s">
        <v>1352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1" t="str">
        <f>"item_"&amp;CONTROL[[#This Row],[VEHIDCODE]]</f>
        <v>item_mtro_Alstom_Singapore_C830_Metropolis</v>
      </c>
      <c r="O327" s="21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  <c r="R327" t="str" cm="1">
        <f t="array" ref="R327">_xlfn.XLOOKUP(CONTROL[[#This Row],[VEHIDCODE]],GRAPHICS_PROPERTIES[VEHIDCODE],GRAPHICS_PROPERTIES[TEMPLATE_ID]&amp;GRAPHICS_PROPERTIES[TEMPLATE_AMENDMENT_CODE])</f>
        <v>TPL_02C</v>
      </c>
    </row>
    <row r="328" spans="1:18" x14ac:dyDescent="0.35">
      <c r="A328" s="2" t="s">
        <v>2962</v>
      </c>
      <c r="B328" s="21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2" t="s">
        <v>2211</v>
      </c>
      <c r="G328" t="s">
        <v>1353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1" t="str">
        <f>"item_"&amp;CONTROL[[#This Row],[VEHIDCODE]]</f>
        <v>item_mtro_Siemens_Oslo_MX3000</v>
      </c>
      <c r="O328" s="21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  <c r="R328" t="str" cm="1">
        <f t="array" ref="R328">_xlfn.XLOOKUP(CONTROL[[#This Row],[VEHIDCODE]],GRAPHICS_PROPERTIES[VEHIDCODE],GRAPHICS_PROPERTIES[TEMPLATE_ID]&amp;GRAPHICS_PROPERTIES[TEMPLATE_AMENDMENT_CODE])</f>
        <v>TPL_02C</v>
      </c>
    </row>
    <row r="329" spans="1:18" x14ac:dyDescent="0.35">
      <c r="A329" s="2" t="s">
        <v>2963</v>
      </c>
      <c r="B329" s="21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2" t="s">
        <v>2213</v>
      </c>
      <c r="G329" t="s">
        <v>1354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1" t="str">
        <f>"item_"&amp;CONTROL[[#This Row],[VEHIDCODE]]</f>
        <v>item_mtro_Kawasaki_Osaka_30000</v>
      </c>
      <c r="O329" s="21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  <c r="R329" t="str" cm="1">
        <f t="array" ref="R329">_xlfn.XLOOKUP(CONTROL[[#This Row],[VEHIDCODE]],GRAPHICS_PROPERTIES[VEHIDCODE],GRAPHICS_PROPERTIES[TEMPLATE_ID]&amp;GRAPHICS_PROPERTIES[TEMPLATE_AMENDMENT_CODE])</f>
        <v>TPL_02C</v>
      </c>
    </row>
    <row r="330" spans="1:18" x14ac:dyDescent="0.35">
      <c r="A330" s="2" t="s">
        <v>2964</v>
      </c>
      <c r="B330" s="21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2" t="s">
        <v>2214</v>
      </c>
      <c r="G330" t="s">
        <v>1355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1" t="str">
        <f>"item_"&amp;CONTROL[[#This Row],[VEHIDCODE]]</f>
        <v>item_mtro_Kawasaki_Singapore_C151A</v>
      </c>
      <c r="O330" s="21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  <c r="R330" t="str" cm="1">
        <f t="array" ref="R330">_xlfn.XLOOKUP(CONTROL[[#This Row],[VEHIDCODE]],GRAPHICS_PROPERTIES[VEHIDCODE],GRAPHICS_PROPERTIES[TEMPLATE_ID]&amp;GRAPHICS_PROPERTIES[TEMPLATE_AMENDMENT_CODE])</f>
        <v>TPL_02C</v>
      </c>
    </row>
    <row r="331" spans="1:18" x14ac:dyDescent="0.35">
      <c r="A331" s="2" t="s">
        <v>2965</v>
      </c>
      <c r="B331" s="21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2" t="s">
        <v>2215</v>
      </c>
      <c r="G331" t="s">
        <v>1356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1" t="str">
        <f>"item_"&amp;CONTROL[[#This Row],[VEHIDCODE]]</f>
        <v>item_mtro_Kawasaki_Washington_7000</v>
      </c>
      <c r="O331" s="21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  <c r="R331" t="str" cm="1">
        <f t="array" ref="R331">_xlfn.XLOOKUP(CONTROL[[#This Row],[VEHIDCODE]],GRAPHICS_PROPERTIES[VEHIDCODE],GRAPHICS_PROPERTIES[TEMPLATE_ID]&amp;GRAPHICS_PROPERTIES[TEMPLATE_AMENDMENT_CODE])</f>
        <v>TPL_02C</v>
      </c>
    </row>
    <row r="332" spans="1:18" x14ac:dyDescent="0.35">
      <c r="A332" s="2" t="s">
        <v>2966</v>
      </c>
      <c r="B332" s="21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2" t="s">
        <v>2216</v>
      </c>
      <c r="G332" t="s">
        <v>1357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1" t="str">
        <f>"item_"&amp;CONTROL[[#This Row],[VEHIDCODE]]</f>
        <v>item_mtro_Hitachi_Thessaloniki_2014</v>
      </c>
      <c r="O332" s="21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  <c r="R332" t="str" cm="1">
        <f t="array" ref="R332">_xlfn.XLOOKUP(CONTROL[[#This Row],[VEHIDCODE]],GRAPHICS_PROPERTIES[VEHIDCODE],GRAPHICS_PROPERTIES[TEMPLATE_ID]&amp;GRAPHICS_PROPERTIES[TEMPLATE_AMENDMENT_CODE])</f>
        <v>TPL_02C</v>
      </c>
    </row>
    <row r="333" spans="1:18" x14ac:dyDescent="0.35">
      <c r="A333" s="2" t="s">
        <v>2967</v>
      </c>
      <c r="B333" s="21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2" t="s">
        <v>2217</v>
      </c>
      <c r="G333" t="s">
        <v>1358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1" t="str">
        <f>"item_"&amp;CONTROL[[#This Row],[VEHIDCODE]]</f>
        <v>item_mtro_AEG_Berlin_U_Bahn_A_I</v>
      </c>
      <c r="O333" s="21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  <c r="R333" t="str" cm="1">
        <f t="array" ref="R333">_xlfn.XLOOKUP(CONTROL[[#This Row],[VEHIDCODE]],GRAPHICS_PROPERTIES[VEHIDCODE],GRAPHICS_PROPERTIES[TEMPLATE_ID]&amp;GRAPHICS_PROPERTIES[TEMPLATE_AMENDMENT_CODE])</f>
        <v>TPL_02C</v>
      </c>
    </row>
    <row r="334" spans="1:18" x14ac:dyDescent="0.35">
      <c r="A334" s="2" t="s">
        <v>2968</v>
      </c>
      <c r="B334" s="21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2" t="s">
        <v>2218</v>
      </c>
      <c r="G334" t="s">
        <v>1359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1" t="str">
        <f>"item_"&amp;CONTROL[[#This Row],[VEHIDCODE]]</f>
        <v>item_mtro_ACF_New_York_Hedley_Hi_V</v>
      </c>
      <c r="O334" s="21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  <c r="R334" t="str" cm="1">
        <f t="array" ref="R334">_xlfn.XLOOKUP(CONTROL[[#This Row],[VEHIDCODE]],GRAPHICS_PROPERTIES[VEHIDCODE],GRAPHICS_PROPERTIES[TEMPLATE_ID]&amp;GRAPHICS_PROPERTIES[TEMPLATE_AMENDMENT_CODE])</f>
        <v>TPL_02C</v>
      </c>
    </row>
    <row r="335" spans="1:18" x14ac:dyDescent="0.35">
      <c r="A335" s="2" t="s">
        <v>2969</v>
      </c>
      <c r="B335" s="21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2" t="s">
        <v>2219</v>
      </c>
      <c r="G335" t="s">
        <v>1360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1" t="str">
        <f>"item_"&amp;CONTROL[[#This Row],[VEHIDCODE]]</f>
        <v>item_mtro_Kawasaki_Osaka_1000</v>
      </c>
      <c r="O335" s="21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  <c r="R335" t="str" cm="1">
        <f t="array" ref="R335">_xlfn.XLOOKUP(CONTROL[[#This Row],[VEHIDCODE]],GRAPHICS_PROPERTIES[VEHIDCODE],GRAPHICS_PROPERTIES[TEMPLATE_ID]&amp;GRAPHICS_PROPERTIES[TEMPLATE_AMENDMENT_CODE])</f>
        <v>TPL_02C</v>
      </c>
    </row>
    <row r="336" spans="1:18" x14ac:dyDescent="0.35">
      <c r="A336" s="2" t="s">
        <v>2970</v>
      </c>
      <c r="B336" s="21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2" t="s">
        <v>3552</v>
      </c>
      <c r="G336" t="s">
        <v>1361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1" t="str">
        <f>"item_"&amp;CONTROL[[#This Row],[VEHIDCODE]]</f>
        <v>item_mtro_MMZ_Moscow_Type_A</v>
      </c>
      <c r="O336" s="21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  <c r="R336" t="str" cm="1">
        <f t="array" ref="R336">_xlfn.XLOOKUP(CONTROL[[#This Row],[VEHIDCODE]],GRAPHICS_PROPERTIES[VEHIDCODE],GRAPHICS_PROPERTIES[TEMPLATE_ID]&amp;GRAPHICS_PROPERTIES[TEMPLATE_AMENDMENT_CODE])</f>
        <v>TPL_02C</v>
      </c>
    </row>
    <row r="337" spans="1:18" x14ac:dyDescent="0.35">
      <c r="A337" s="2" t="s">
        <v>2971</v>
      </c>
      <c r="B337" s="21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2" t="s">
        <v>2220</v>
      </c>
      <c r="G337" t="s">
        <v>1362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1" t="str">
        <f>"item_"&amp;CONTROL[[#This Row],[VEHIDCODE]]</f>
        <v>item_mtro_ACF_New_York_R10</v>
      </c>
      <c r="O337" s="21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  <c r="R337" t="str" cm="1">
        <f t="array" ref="R337">_xlfn.XLOOKUP(CONTROL[[#This Row],[VEHIDCODE]],GRAPHICS_PROPERTIES[VEHIDCODE],GRAPHICS_PROPERTIES[TEMPLATE_ID]&amp;GRAPHICS_PROPERTIES[TEMPLATE_AMENDMENT_CODE])</f>
        <v>TPL_02C</v>
      </c>
    </row>
    <row r="338" spans="1:18" x14ac:dyDescent="0.35">
      <c r="A338" s="2" t="s">
        <v>2972</v>
      </c>
      <c r="B338" s="21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2" t="s">
        <v>2221</v>
      </c>
      <c r="G338" t="s">
        <v>1363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1" t="str">
        <f>"item_"&amp;CONTROL[[#This Row],[VEHIDCODE]]</f>
        <v>item_mtro_Stanga_Rome_MR_100</v>
      </c>
      <c r="O338" s="21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  <c r="R338" t="str" cm="1">
        <f t="array" ref="R338">_xlfn.XLOOKUP(CONTROL[[#This Row],[VEHIDCODE]],GRAPHICS_PROPERTIES[VEHIDCODE],GRAPHICS_PROPERTIES[TEMPLATE_ID]&amp;GRAPHICS_PROPERTIES[TEMPLATE_AMENDMENT_CODE])</f>
        <v>TPL_02C</v>
      </c>
    </row>
    <row r="339" spans="1:18" x14ac:dyDescent="0.35">
      <c r="A339" s="2" t="s">
        <v>2973</v>
      </c>
      <c r="B339" s="21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2" t="s">
        <v>3556</v>
      </c>
      <c r="G339" t="s">
        <v>1364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1" t="str">
        <f>"item_"&amp;CONTROL[[#This Row],[VEHIDCODE]]</f>
        <v>item_mtro_MMZ_Moscow_Type_D</v>
      </c>
      <c r="O339" s="21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  <c r="R339" t="str" cm="1">
        <f t="array" ref="R339">_xlfn.XLOOKUP(CONTROL[[#This Row],[VEHIDCODE]],GRAPHICS_PROPERTIES[VEHIDCODE],GRAPHICS_PROPERTIES[TEMPLATE_ID]&amp;GRAPHICS_PROPERTIES[TEMPLATE_AMENDMENT_CODE])</f>
        <v>TPL_02C</v>
      </c>
    </row>
    <row r="340" spans="1:18" x14ac:dyDescent="0.35">
      <c r="A340" s="2" t="s">
        <v>2974</v>
      </c>
      <c r="B340" s="21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2" t="s">
        <v>2222</v>
      </c>
      <c r="G340" t="s">
        <v>1365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1" t="str">
        <f>"item_"&amp;CONTROL[[#This Row],[VEHIDCODE]]</f>
        <v>item_mtro_Werkspoor_Rotterdam_MG2_Type_M</v>
      </c>
      <c r="O340" s="21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  <c r="R340" t="str" cm="1">
        <f t="array" ref="R340">_xlfn.XLOOKUP(CONTROL[[#This Row],[VEHIDCODE]],GRAPHICS_PROPERTIES[VEHIDCODE],GRAPHICS_PROPERTIES[TEMPLATE_ID]&amp;GRAPHICS_PROPERTIES[TEMPLATE_AMENDMENT_CODE])</f>
        <v>TPL_02C</v>
      </c>
    </row>
    <row r="341" spans="1:18" x14ac:dyDescent="0.35">
      <c r="A341" s="2" t="s">
        <v>2975</v>
      </c>
      <c r="B341" s="21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2" t="s">
        <v>3557</v>
      </c>
      <c r="G341" t="s">
        <v>1366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1" t="str">
        <f>"item_"&amp;CONTROL[[#This Row],[VEHIDCODE]]</f>
        <v>item_mtro_MMZ_Prague_ECS_Set</v>
      </c>
      <c r="O341" s="21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  <c r="R341" t="str" cm="1">
        <f t="array" ref="R341">_xlfn.XLOOKUP(CONTROL[[#This Row],[VEHIDCODE]],GRAPHICS_PROPERTIES[VEHIDCODE],GRAPHICS_PROPERTIES[TEMPLATE_ID]&amp;GRAPHICS_PROPERTIES[TEMPLATE_AMENDMENT_CODE])</f>
        <v>TPL_02C</v>
      </c>
    </row>
    <row r="342" spans="1:18" x14ac:dyDescent="0.35">
      <c r="A342" s="2" t="s">
        <v>2976</v>
      </c>
      <c r="B342" s="21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2" t="s">
        <v>2223</v>
      </c>
      <c r="G342" t="s">
        <v>1367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1" t="str">
        <f>"item_"&amp;CONTROL[[#This Row],[VEHIDCODE]]</f>
        <v>item_mtro_Hitachi_Buenos_Aires_Serie_1200</v>
      </c>
      <c r="O342" s="21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  <c r="R342" t="str" cm="1">
        <f t="array" ref="R342">_xlfn.XLOOKUP(CONTROL[[#This Row],[VEHIDCODE]],GRAPHICS_PROPERTIES[VEHIDCODE],GRAPHICS_PROPERTIES[TEMPLATE_ID]&amp;GRAPHICS_PROPERTIES[TEMPLATE_AMENDMENT_CODE])</f>
        <v>TPL_02C</v>
      </c>
    </row>
    <row r="343" spans="1:18" x14ac:dyDescent="0.35">
      <c r="A343" s="2" t="s">
        <v>2977</v>
      </c>
      <c r="B343" s="21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2" t="s">
        <v>2224</v>
      </c>
      <c r="G343" t="s">
        <v>1368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1" t="str">
        <f>"item_"&amp;CONTROL[[#This Row],[VEHIDCODE]]</f>
        <v>item_mtro_GEC_Alsthom_Santiago_NS_93</v>
      </c>
      <c r="O343" s="21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  <c r="R343" t="str" cm="1">
        <f t="array" ref="R343">_xlfn.XLOOKUP(CONTROL[[#This Row],[VEHIDCODE]],GRAPHICS_PROPERTIES[VEHIDCODE],GRAPHICS_PROPERTIES[TEMPLATE_ID]&amp;GRAPHICS_PROPERTIES[TEMPLATE_AMENDMENT_CODE])</f>
        <v>TPL_02C</v>
      </c>
    </row>
    <row r="344" spans="1:18" x14ac:dyDescent="0.35">
      <c r="A344" s="2" t="s">
        <v>2978</v>
      </c>
      <c r="B344" s="21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2" t="s">
        <v>2227</v>
      </c>
      <c r="G344" t="s">
        <v>1369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1" t="str">
        <f>"item_"&amp;CONTROL[[#This Row],[VEHIDCODE]]</f>
        <v>item_mtro_Alstom_Brasil_Santiago_AS_2002</v>
      </c>
      <c r="O344" s="21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  <c r="R344" t="str" cm="1">
        <f t="array" ref="R344">_xlfn.XLOOKUP(CONTROL[[#This Row],[VEHIDCODE]],GRAPHICS_PROPERTIES[VEHIDCODE],GRAPHICS_PROPERTIES[TEMPLATE_ID]&amp;GRAPHICS_PROPERTIES[TEMPLATE_AMENDMENT_CODE])</f>
        <v>TPL_02C</v>
      </c>
    </row>
    <row r="345" spans="1:18" x14ac:dyDescent="0.35">
      <c r="A345" s="2" t="s">
        <v>2979</v>
      </c>
      <c r="B345" s="21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2" t="s">
        <v>2228</v>
      </c>
      <c r="G345" t="s">
        <v>1370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1" t="str">
        <f>"item_"&amp;CONTROL[[#This Row],[VEHIDCODE]]</f>
        <v>item_mtro_TUDH_Recife_VLT_Mobile_3</v>
      </c>
      <c r="O345" s="21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  <c r="R345" t="str" cm="1">
        <f t="array" ref="R345">_xlfn.XLOOKUP(CONTROL[[#This Row],[VEHIDCODE]],GRAPHICS_PROPERTIES[VEHIDCODE],GRAPHICS_PROPERTIES[TEMPLATE_ID]&amp;GRAPHICS_PROPERTIES[TEMPLATE_AMENDMENT_CODE])</f>
        <v>TPL_02C</v>
      </c>
    </row>
    <row r="346" spans="1:18" x14ac:dyDescent="0.35">
      <c r="A346" s="2" t="s">
        <v>2980</v>
      </c>
      <c r="B346" s="21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2" t="s">
        <v>2229</v>
      </c>
      <c r="G346" t="s">
        <v>1371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1" t="str">
        <f>"item_"&amp;CONTROL[[#This Row],[VEHIDCODE]]</f>
        <v>item_mtro_CAF_Madrid_Series_5000</v>
      </c>
      <c r="O346" s="21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  <c r="R346" t="str" cm="1">
        <f t="array" ref="R346">_xlfn.XLOOKUP(CONTROL[[#This Row],[VEHIDCODE]],GRAPHICS_PROPERTIES[VEHIDCODE],GRAPHICS_PROPERTIES[TEMPLATE_ID]&amp;GRAPHICS_PROPERTIES[TEMPLATE_AMENDMENT_CODE])</f>
        <v>TPL_02C</v>
      </c>
    </row>
    <row r="347" spans="1:18" x14ac:dyDescent="0.35">
      <c r="A347" s="2" t="s">
        <v>2981</v>
      </c>
      <c r="B347" s="21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2" t="s">
        <v>2230</v>
      </c>
      <c r="G347" t="s">
        <v>1372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1" t="str">
        <f>"item_"&amp;CONTROL[[#This Row],[VEHIDCODE]]</f>
        <v>item_mtro_CAF_Rome_S_300</v>
      </c>
      <c r="O347" s="21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  <c r="R347" t="str" cm="1">
        <f t="array" ref="R347">_xlfn.XLOOKUP(CONTROL[[#This Row],[VEHIDCODE]],GRAPHICS_PROPERTIES[VEHIDCODE],GRAPHICS_PROPERTIES[TEMPLATE_ID]&amp;GRAPHICS_PROPERTIES[TEMPLATE_AMENDMENT_CODE])</f>
        <v>TPL_02C</v>
      </c>
    </row>
    <row r="348" spans="1:18" x14ac:dyDescent="0.35">
      <c r="A348" s="2" t="s">
        <v>2982</v>
      </c>
      <c r="B348" s="21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2" t="s">
        <v>2231</v>
      </c>
      <c r="G348" t="s">
        <v>1373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1" t="str">
        <f>"item_"&amp;CONTROL[[#This Row],[VEHIDCODE]]</f>
        <v>item_mtro_CAF_Algiers_2011_Stock</v>
      </c>
      <c r="O348" s="21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  <c r="R348" t="str" cm="1">
        <f t="array" ref="R348">_xlfn.XLOOKUP(CONTROL[[#This Row],[VEHIDCODE]],GRAPHICS_PROPERTIES[VEHIDCODE],GRAPHICS_PROPERTIES[TEMPLATE_ID]&amp;GRAPHICS_PROPERTIES[TEMPLATE_AMENDMENT_CODE])</f>
        <v>TPL_02C</v>
      </c>
    </row>
    <row r="349" spans="1:18" x14ac:dyDescent="0.35">
      <c r="A349" s="2" t="s">
        <v>2983</v>
      </c>
      <c r="B349" s="21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2" t="s">
        <v>2232</v>
      </c>
      <c r="G349" t="s">
        <v>1374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1" t="str">
        <f>"item_"&amp;CONTROL[[#This Row],[VEHIDCODE]]</f>
        <v>item_mtro_Stadler_Berlin_U_Bahn_IK</v>
      </c>
      <c r="O349" s="21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  <c r="R349" t="str" cm="1">
        <f t="array" ref="R349">_xlfn.XLOOKUP(CONTROL[[#This Row],[VEHIDCODE]],GRAPHICS_PROPERTIES[VEHIDCODE],GRAPHICS_PROPERTIES[TEMPLATE_ID]&amp;GRAPHICS_PROPERTIES[TEMPLATE_AMENDMENT_CODE])</f>
        <v>TPL_02C</v>
      </c>
    </row>
    <row r="350" spans="1:18" x14ac:dyDescent="0.35">
      <c r="A350" s="2" t="s">
        <v>2984</v>
      </c>
      <c r="B350" s="21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2" t="s">
        <v>2233</v>
      </c>
      <c r="G350" t="s">
        <v>1375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1" t="str">
        <f>"item_"&amp;CONTROL[[#This Row],[VEHIDCODE]]</f>
        <v>item_mtro_St__Louis_Car_Company_Chicago_L_6000_Series</v>
      </c>
      <c r="O350" s="21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  <c r="R350" t="str" cm="1">
        <f t="array" ref="R350">_xlfn.XLOOKUP(CONTROL[[#This Row],[VEHIDCODE]],GRAPHICS_PROPERTIES[VEHIDCODE],GRAPHICS_PROPERTIES[TEMPLATE_ID]&amp;GRAPHICS_PROPERTIES[TEMPLATE_AMENDMENT_CODE])</f>
        <v>TPL_02C</v>
      </c>
    </row>
    <row r="351" spans="1:18" x14ac:dyDescent="0.35">
      <c r="A351" s="2" t="s">
        <v>2985</v>
      </c>
      <c r="B351" s="21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2" t="s">
        <v>2234</v>
      </c>
      <c r="G351" t="s">
        <v>1376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1" t="str">
        <f>"item_"&amp;CONTROL[[#This Row],[VEHIDCODE]]</f>
        <v>item_mtro_BRC_W_London_1903_Stock</v>
      </c>
      <c r="O351" s="21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  <c r="R351" t="str" cm="1">
        <f t="array" ref="R351">_xlfn.XLOOKUP(CONTROL[[#This Row],[VEHIDCODE]],GRAPHICS_PROPERTIES[VEHIDCODE],GRAPHICS_PROPERTIES[TEMPLATE_ID]&amp;GRAPHICS_PROPERTIES[TEMPLATE_AMENDMENT_CODE])</f>
        <v>TPL_02C</v>
      </c>
    </row>
    <row r="352" spans="1:18" x14ac:dyDescent="0.35">
      <c r="A352" s="2" t="s">
        <v>2986</v>
      </c>
      <c r="B352" s="21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2" t="s">
        <v>3655</v>
      </c>
      <c r="G352" t="s">
        <v>1377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1" t="str">
        <f>"item_"&amp;CONTROL[[#This Row],[VEHIDCODE]]</f>
        <v>item_mtro_London_1938_Stock</v>
      </c>
      <c r="O352" s="21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  <c r="R352" t="str" cm="1">
        <f t="array" ref="R352">_xlfn.XLOOKUP(CONTROL[[#This Row],[VEHIDCODE]],GRAPHICS_PROPERTIES[VEHIDCODE],GRAPHICS_PROPERTIES[TEMPLATE_ID]&amp;GRAPHICS_PROPERTIES[TEMPLATE_AMENDMENT_CODE])</f>
        <v>TPL_02C</v>
      </c>
    </row>
    <row r="353" spans="1:18" x14ac:dyDescent="0.35">
      <c r="A353" s="2" t="s">
        <v>2987</v>
      </c>
      <c r="B353" s="21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2" t="s">
        <v>377</v>
      </c>
      <c r="G353" t="s">
        <v>1378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1" t="str">
        <f>"item_"&amp;CONTROL[[#This Row],[VEHIDCODE]]</f>
        <v>item_electric_NER_EF1</v>
      </c>
      <c r="O353" s="21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  <c r="R353" t="str" cm="1">
        <f t="array" ref="R353">_xlfn.XLOOKUP(CONTROL[[#This Row],[VEHIDCODE]],GRAPHICS_PROPERTIES[VEHIDCODE],GRAPHICS_PROPERTIES[TEMPLATE_ID]&amp;GRAPHICS_PROPERTIES[TEMPLATE_AMENDMENT_CODE])</f>
        <v>TPL_01A</v>
      </c>
    </row>
    <row r="354" spans="1:18" x14ac:dyDescent="0.35">
      <c r="A354" s="2" t="s">
        <v>2988</v>
      </c>
      <c r="B354" s="21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2" t="s">
        <v>378</v>
      </c>
      <c r="G354" t="s">
        <v>1379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1" t="str">
        <f>"item_"&amp;CONTROL[[#This Row],[VEHIDCODE]]</f>
        <v>item_electric_JNR_EB10</v>
      </c>
      <c r="O354" s="21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  <c r="R354" t="str" cm="1">
        <f t="array" ref="R354">_xlfn.XLOOKUP(CONTROL[[#This Row],[VEHIDCODE]],GRAPHICS_PROPERTIES[VEHIDCODE],GRAPHICS_PROPERTIES[TEMPLATE_ID]&amp;GRAPHICS_PROPERTIES[TEMPLATE_AMENDMENT_CODE])</f>
        <v>TPL_01A</v>
      </c>
    </row>
    <row r="355" spans="1:18" x14ac:dyDescent="0.35">
      <c r="A355" s="2" t="s">
        <v>2989</v>
      </c>
      <c r="B355" s="21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2" t="s">
        <v>2235</v>
      </c>
      <c r="G355" t="s">
        <v>1380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1" t="str">
        <f>"item_"&amp;CONTROL[[#This Row],[VEHIDCODE]]</f>
        <v>item_electric_Hitachi_Kawasaki_EF55</v>
      </c>
      <c r="O355" s="21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  <c r="R355" t="str" cm="1">
        <f t="array" ref="R355">_xlfn.XLOOKUP(CONTROL[[#This Row],[VEHIDCODE]],GRAPHICS_PROPERTIES[VEHIDCODE],GRAPHICS_PROPERTIES[TEMPLATE_ID]&amp;GRAPHICS_PROPERTIES[TEMPLATE_AMENDMENT_CODE])</f>
        <v>TPL_03F</v>
      </c>
    </row>
    <row r="356" spans="1:18" x14ac:dyDescent="0.35">
      <c r="A356" s="2" t="s">
        <v>2990</v>
      </c>
      <c r="B356" s="21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2" t="s">
        <v>2236</v>
      </c>
      <c r="G356" t="s">
        <v>1381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1" t="str">
        <f>"item_"&amp;CONTROL[[#This Row],[VEHIDCODE]]</f>
        <v>item_electric_SLM_NS_1000</v>
      </c>
      <c r="O356" s="21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  <c r="R356" t="str" cm="1">
        <f t="array" ref="R356">_xlfn.XLOOKUP(CONTROL[[#This Row],[VEHIDCODE]],GRAPHICS_PROPERTIES[VEHIDCODE],GRAPHICS_PROPERTIES[TEMPLATE_ID]&amp;GRAPHICS_PROPERTIES[TEMPLATE_AMENDMENT_CODE])</f>
        <v>TPL_01A</v>
      </c>
    </row>
    <row r="357" spans="1:18" x14ac:dyDescent="0.35">
      <c r="A357" s="2" t="s">
        <v>2991</v>
      </c>
      <c r="B357" s="21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2" t="s">
        <v>2547</v>
      </c>
      <c r="G357" t="s">
        <v>1382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1" t="str">
        <f>"item_"&amp;CONTROL[[#This Row],[VEHIDCODE]]</f>
        <v>item_electric_Alsthom_BB_7200_NS_1600</v>
      </c>
      <c r="O357" s="21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  <c r="R357" t="str" cm="1">
        <f t="array" ref="R357">_xlfn.XLOOKUP(CONTROL[[#This Row],[VEHIDCODE]],GRAPHICS_PROPERTIES[VEHIDCODE],GRAPHICS_PROPERTIES[TEMPLATE_ID]&amp;GRAPHICS_PROPERTIES[TEMPLATE_AMENDMENT_CODE])</f>
        <v>TPL_01A</v>
      </c>
    </row>
    <row r="358" spans="1:18" x14ac:dyDescent="0.35">
      <c r="A358" s="2" t="s">
        <v>2992</v>
      </c>
      <c r="B358" s="21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2" t="s">
        <v>379</v>
      </c>
      <c r="G358" t="s">
        <v>1383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1" t="str">
        <f>"item_"&amp;CONTROL[[#This Row],[VEHIDCODE]]</f>
        <v>item_electric_Victorian_Railways_E</v>
      </c>
      <c r="O358" s="21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  <c r="R358" t="str" cm="1">
        <f t="array" ref="R358">_xlfn.XLOOKUP(CONTROL[[#This Row],[VEHIDCODE]],GRAPHICS_PROPERTIES[VEHIDCODE],GRAPHICS_PROPERTIES[TEMPLATE_ID]&amp;GRAPHICS_PROPERTIES[TEMPLATE_AMENDMENT_CODE])</f>
        <v>TPL_01A</v>
      </c>
    </row>
    <row r="359" spans="1:18" x14ac:dyDescent="0.35">
      <c r="A359" s="2" t="s">
        <v>2993</v>
      </c>
      <c r="B359" s="21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2" t="s">
        <v>2237</v>
      </c>
      <c r="G359" t="s">
        <v>1384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1" t="str">
        <f>"item_"&amp;CONTROL[[#This Row],[VEHIDCODE]]</f>
        <v>item_electric_British_Thomson_Houston_ES1</v>
      </c>
      <c r="O359" s="21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  <c r="R359" t="str" cm="1">
        <f t="array" ref="R359">_xlfn.XLOOKUP(CONTROL[[#This Row],[VEHIDCODE]],GRAPHICS_PROPERTIES[VEHIDCODE],GRAPHICS_PROPERTIES[TEMPLATE_ID]&amp;GRAPHICS_PROPERTIES[TEMPLATE_AMENDMENT_CODE])</f>
        <v>TPL_01A</v>
      </c>
    </row>
    <row r="360" spans="1:18" x14ac:dyDescent="0.35">
      <c r="A360" s="2" t="s">
        <v>2994</v>
      </c>
      <c r="B360" s="21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2" t="s">
        <v>2238</v>
      </c>
      <c r="G360" t="s">
        <v>1385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1" t="str">
        <f>"item_"&amp;CONTROL[[#This Row],[VEHIDCODE]]</f>
        <v>item_electric_ALCO_GE_NYC_S_Motor_S1</v>
      </c>
      <c r="O360" s="21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  <c r="R360" t="str" cm="1">
        <f t="array" ref="R360">_xlfn.XLOOKUP(CONTROL[[#This Row],[VEHIDCODE]],GRAPHICS_PROPERTIES[VEHIDCODE],GRAPHICS_PROPERTIES[TEMPLATE_ID]&amp;GRAPHICS_PROPERTIES[TEMPLATE_AMENDMENT_CODE])</f>
        <v>TPL_01A</v>
      </c>
    </row>
    <row r="361" spans="1:18" x14ac:dyDescent="0.35">
      <c r="A361" s="2" t="s">
        <v>2995</v>
      </c>
      <c r="B361" s="21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2" t="s">
        <v>2239</v>
      </c>
      <c r="G361" t="s">
        <v>1386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1" t="str">
        <f>"item_"&amp;CONTROL[[#This Row],[VEHIDCODE]]</f>
        <v>item_electric_Nippon_Sharyo_DeKi_400</v>
      </c>
      <c r="O361" s="21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  <c r="R361" t="str" cm="1">
        <f t="array" ref="R361">_xlfn.XLOOKUP(CONTROL[[#This Row],[VEHIDCODE]],GRAPHICS_PROPERTIES[VEHIDCODE],GRAPHICS_PROPERTIES[TEMPLATE_ID]&amp;GRAPHICS_PROPERTIES[TEMPLATE_AMENDMENT_CODE])</f>
        <v>TPL_01A</v>
      </c>
    </row>
    <row r="362" spans="1:18" x14ac:dyDescent="0.35">
      <c r="A362" s="2" t="s">
        <v>2996</v>
      </c>
      <c r="B362" s="21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2" t="s">
        <v>2253</v>
      </c>
      <c r="G362" t="s">
        <v>1387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1" t="str">
        <f>"item_"&amp;CONTROL[[#This Row],[VEHIDCODE]]</f>
        <v>item_electric_Vulcan_Foundry_SLM_EF_1</v>
      </c>
      <c r="O362" s="21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  <c r="R362" t="str" cm="1">
        <f t="array" ref="R362">_xlfn.XLOOKUP(CONTROL[[#This Row],[VEHIDCODE]],GRAPHICS_PROPERTIES[VEHIDCODE],GRAPHICS_PROPERTIES[TEMPLATE_ID]&amp;GRAPHICS_PROPERTIES[TEMPLATE_AMENDMENT_CODE])</f>
        <v>TPL_03C</v>
      </c>
    </row>
    <row r="363" spans="1:18" x14ac:dyDescent="0.35">
      <c r="A363" s="2" t="s">
        <v>2997</v>
      </c>
      <c r="B363" s="21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2" t="s">
        <v>2240</v>
      </c>
      <c r="G363" t="s">
        <v>1388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1" t="str">
        <f>"item_"&amp;CONTROL[[#This Row],[VEHIDCODE]]</f>
        <v>item_electric_Jeumont_Schneider_BB_9004</v>
      </c>
      <c r="O363" s="21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  <c r="R363" t="str" cm="1">
        <f t="array" ref="R363">_xlfn.XLOOKUP(CONTROL[[#This Row],[VEHIDCODE]],GRAPHICS_PROPERTIES[VEHIDCODE],GRAPHICS_PROPERTIES[TEMPLATE_ID]&amp;GRAPHICS_PROPERTIES[TEMPLATE_AMENDMENT_CODE])</f>
        <v>TPL_01A</v>
      </c>
    </row>
    <row r="364" spans="1:18" x14ac:dyDescent="0.35">
      <c r="A364" s="2" t="s">
        <v>2998</v>
      </c>
      <c r="B364" s="21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2" t="s">
        <v>2241</v>
      </c>
      <c r="G364" t="s">
        <v>1389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1" t="str">
        <f>"item_"&amp;CONTROL[[#This Row],[VEHIDCODE]]</f>
        <v>item_electric_Werkspoor_ESS_3200</v>
      </c>
      <c r="O364" s="21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  <c r="R364" t="str" cm="1">
        <f t="array" ref="R364">_xlfn.XLOOKUP(CONTROL[[#This Row],[VEHIDCODE]],GRAPHICS_PROPERTIES[VEHIDCODE],GRAPHICS_PROPERTIES[TEMPLATE_ID]&amp;GRAPHICS_PROPERTIES[TEMPLATE_AMENDMENT_CODE])</f>
        <v>TPL_01A</v>
      </c>
    </row>
    <row r="365" spans="1:18" x14ac:dyDescent="0.35">
      <c r="A365" s="2" t="s">
        <v>2999</v>
      </c>
      <c r="B365" s="21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2" t="s">
        <v>3504</v>
      </c>
      <c r="G365" t="s">
        <v>1390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1" t="str">
        <f>"item_"&amp;CONTROL[[#This Row],[VEHIDCODE]]</f>
        <v>item_electric_Metropolitan_Vicerks_EM2</v>
      </c>
      <c r="O365" s="21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  <c r="R365" t="str" cm="1">
        <f t="array" ref="R365">_xlfn.XLOOKUP(CONTROL[[#This Row],[VEHIDCODE]],GRAPHICS_PROPERTIES[VEHIDCODE],GRAPHICS_PROPERTIES[TEMPLATE_ID]&amp;GRAPHICS_PROPERTIES[TEMPLATE_AMENDMENT_CODE])</f>
        <v>TPL_01A</v>
      </c>
    </row>
    <row r="366" spans="1:18" x14ac:dyDescent="0.35">
      <c r="A366" s="2" t="s">
        <v>3000</v>
      </c>
      <c r="B366" s="21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2" t="s">
        <v>380</v>
      </c>
      <c r="G366" t="s">
        <v>1391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1" t="str">
        <f>"item_"&amp;CONTROL[[#This Row],[VEHIDCODE]]</f>
        <v>item_electric_NER_EE1</v>
      </c>
      <c r="O366" s="21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  <c r="R366" t="str" cm="1">
        <f t="array" ref="R366">_xlfn.XLOOKUP(CONTROL[[#This Row],[VEHIDCODE]],GRAPHICS_PROPERTIES[VEHIDCODE],GRAPHICS_PROPERTIES[TEMPLATE_ID]&amp;GRAPHICS_PROPERTIES[TEMPLATE_AMENDMENT_CODE])</f>
        <v>TPL_01A</v>
      </c>
    </row>
    <row r="367" spans="1:18" x14ac:dyDescent="0.35">
      <c r="A367" s="2" t="s">
        <v>3001</v>
      </c>
      <c r="B367" s="21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2" t="s">
        <v>2242</v>
      </c>
      <c r="G367" t="s">
        <v>1392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1" t="str">
        <f>"item_"&amp;CONTROL[[#This Row],[VEHIDCODE]]</f>
        <v>item_electric_GE_ES_2</v>
      </c>
      <c r="O367" s="21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  <c r="R367" t="str" cm="1">
        <f t="array" ref="R367">_xlfn.XLOOKUP(CONTROL[[#This Row],[VEHIDCODE]],GRAPHICS_PROPERTIES[VEHIDCODE],GRAPHICS_PROPERTIES[TEMPLATE_ID]&amp;GRAPHICS_PROPERTIES[TEMPLATE_AMENDMENT_CODE])</f>
        <v>TPL_01A</v>
      </c>
    </row>
    <row r="368" spans="1:18" x14ac:dyDescent="0.35">
      <c r="A368" s="2" t="s">
        <v>3002</v>
      </c>
      <c r="B368" s="21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2" t="s">
        <v>2243</v>
      </c>
      <c r="G368" t="s">
        <v>1393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1" t="str">
        <f>"item_"&amp;CONTROL[[#This Row],[VEHIDCODE]]</f>
        <v>item_electric_GE_2_4_8_0_0_8_4_2_EP2</v>
      </c>
      <c r="O368" s="21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  <c r="R368" t="str" cm="1">
        <f t="array" ref="R368">_xlfn.XLOOKUP(CONTROL[[#This Row],[VEHIDCODE]],GRAPHICS_PROPERTIES[VEHIDCODE],GRAPHICS_PROPERTIES[TEMPLATE_ID]&amp;GRAPHICS_PROPERTIES[TEMPLATE_AMENDMENT_CODE])</f>
        <v>TPL_16A</v>
      </c>
    </row>
    <row r="369" spans="1:18" x14ac:dyDescent="0.35">
      <c r="A369" s="2" t="s">
        <v>3003</v>
      </c>
      <c r="B369" s="21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2" t="s">
        <v>3541</v>
      </c>
      <c r="G369" t="s">
        <v>523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1" t="str">
        <f>"item_"&amp;CONTROL[[#This Row],[VEHIDCODE]]</f>
        <v>item_electric_EFE_E_28</v>
      </c>
      <c r="O369" s="21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  <c r="R369" t="str" cm="1">
        <f t="array" ref="R369">_xlfn.XLOOKUP(CONTROL[[#This Row],[VEHIDCODE]],GRAPHICS_PROPERTIES[VEHIDCODE],GRAPHICS_PROPERTIES[TEMPLATE_ID]&amp;GRAPHICS_PROPERTIES[TEMPLATE_AMENDMENT_CODE])</f>
        <v>TPL_01A</v>
      </c>
    </row>
    <row r="370" spans="1:18" x14ac:dyDescent="0.35">
      <c r="A370" s="2" t="s">
        <v>3004</v>
      </c>
      <c r="B370" s="21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2" t="s">
        <v>2244</v>
      </c>
      <c r="G370" t="s">
        <v>1394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1" t="str">
        <f>"item_"&amp;CONTROL[[#This Row],[VEHIDCODE]]</f>
        <v>item_electric_Breda_E_428</v>
      </c>
      <c r="O370" s="21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  <c r="R370" t="str" cm="1">
        <f t="array" ref="R370">_xlfn.XLOOKUP(CONTROL[[#This Row],[VEHIDCODE]],GRAPHICS_PROPERTIES[VEHIDCODE],GRAPHICS_PROPERTIES[TEMPLATE_ID]&amp;GRAPHICS_PROPERTIES[TEMPLATE_AMENDMENT_CODE])</f>
        <v>TPL_01A</v>
      </c>
    </row>
    <row r="371" spans="1:18" x14ac:dyDescent="0.35">
      <c r="A371" s="2" t="s">
        <v>3005</v>
      </c>
      <c r="B371" s="21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2" t="s">
        <v>2245</v>
      </c>
      <c r="G371" t="s">
        <v>1395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1" t="str">
        <f>"item_"&amp;CONTROL[[#This Row],[VEHIDCODE]]</f>
        <v>item_electric_Werkspoor_SAR_ES</v>
      </c>
      <c r="O371" s="21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  <c r="R371" t="str" cm="1">
        <f t="array" ref="R371">_xlfn.XLOOKUP(CONTROL[[#This Row],[VEHIDCODE]],GRAPHICS_PROPERTIES[VEHIDCODE],GRAPHICS_PROPERTIES[TEMPLATE_ID]&amp;GRAPHICS_PROPERTIES[TEMPLATE_AMENDMENT_CODE])</f>
        <v>TPL_01A</v>
      </c>
    </row>
    <row r="372" spans="1:18" x14ac:dyDescent="0.35">
      <c r="A372" s="2" t="s">
        <v>3006</v>
      </c>
      <c r="B372" s="21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2" t="s">
        <v>1953</v>
      </c>
      <c r="G372" t="s">
        <v>1396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1" t="str">
        <f>"item_"&amp;CONTROL[[#This Row],[VEHIDCODE]]</f>
        <v>item_electric_English_Electric_E__AEI_E_</v>
      </c>
      <c r="O372" s="21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  <c r="R372" t="str" cm="1">
        <f t="array" ref="R372">_xlfn.XLOOKUP(CONTROL[[#This Row],[VEHIDCODE]],GRAPHICS_PROPERTIES[VEHIDCODE],GRAPHICS_PROPERTIES[TEMPLATE_ID]&amp;GRAPHICS_PROPERTIES[TEMPLATE_AMENDMENT_CODE])</f>
        <v>TPL_01A</v>
      </c>
    </row>
    <row r="373" spans="1:18" x14ac:dyDescent="0.35">
      <c r="A373" s="2" t="s">
        <v>3007</v>
      </c>
      <c r="B373" s="21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2" t="s">
        <v>1956</v>
      </c>
      <c r="G373" t="s">
        <v>1397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1" t="str">
        <f>"item_"&amp;CONTROL[[#This Row],[VEHIDCODE]]</f>
        <v>item_electric_HCP_203E</v>
      </c>
      <c r="O373" s="21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  <c r="R373" t="str" cm="1">
        <f t="array" ref="R373">_xlfn.XLOOKUP(CONTROL[[#This Row],[VEHIDCODE]],GRAPHICS_PROPERTIES[VEHIDCODE],GRAPHICS_PROPERTIES[TEMPLATE_ID]&amp;GRAPHICS_PROPERTIES[TEMPLATE_AMENDMENT_CODE])</f>
        <v>TPL_03D</v>
      </c>
    </row>
    <row r="374" spans="1:18" x14ac:dyDescent="0.35">
      <c r="A374" s="2" t="s">
        <v>3008</v>
      </c>
      <c r="B374" s="21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2" t="s">
        <v>1958</v>
      </c>
      <c r="G374" t="s">
        <v>1398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1" t="str">
        <f>"item_"&amp;CONTROL[[#This Row],[VEHIDCODE]]</f>
        <v>item_electric_Pafawag_104E</v>
      </c>
      <c r="O374" s="21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  <c r="R374" t="str" cm="1">
        <f t="array" ref="R374">_xlfn.XLOOKUP(CONTROL[[#This Row],[VEHIDCODE]],GRAPHICS_PROPERTIES[VEHIDCODE],GRAPHICS_PROPERTIES[TEMPLATE_ID]&amp;GRAPHICS_PROPERTIES[TEMPLATE_AMENDMENT_CODE])</f>
        <v>TPL_01A</v>
      </c>
    </row>
    <row r="375" spans="1:18" x14ac:dyDescent="0.35">
      <c r="A375" s="2" t="s">
        <v>3009</v>
      </c>
      <c r="B375" s="21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2" t="s">
        <v>1960</v>
      </c>
      <c r="G375" t="s">
        <v>1399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1" t="str">
        <f>"item_"&amp;CONTROL[[#This Row],[VEHIDCODE]]</f>
        <v>item_electric_Skoda_98E</v>
      </c>
      <c r="O375" s="21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  <c r="R375" t="str" cm="1">
        <f t="array" ref="R375">_xlfn.XLOOKUP(CONTROL[[#This Row],[VEHIDCODE]],GRAPHICS_PROPERTIES[VEHIDCODE],GRAPHICS_PROPERTIES[TEMPLATE_ID]&amp;GRAPHICS_PROPERTIES[TEMPLATE_AMENDMENT_CODE])</f>
        <v>TPL_01A</v>
      </c>
    </row>
    <row r="376" spans="1:18" x14ac:dyDescent="0.35">
      <c r="A376" s="2" t="s">
        <v>3010</v>
      </c>
      <c r="B376" s="21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2" t="s">
        <v>2246</v>
      </c>
      <c r="G376" t="s">
        <v>1400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1" t="str">
        <f>"item_"&amp;CONTROL[[#This Row],[VEHIDCODE]]</f>
        <v>item_electric_TIBB_E_646</v>
      </c>
      <c r="O376" s="21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  <c r="R376" t="str" cm="1">
        <f t="array" ref="R376">_xlfn.XLOOKUP(CONTROL[[#This Row],[VEHIDCODE]],GRAPHICS_PROPERTIES[VEHIDCODE],GRAPHICS_PROPERTIES[TEMPLATE_ID]&amp;GRAPHICS_PROPERTIES[TEMPLATE_AMENDMENT_CODE])</f>
        <v>TPL_03D</v>
      </c>
    </row>
    <row r="377" spans="1:18" x14ac:dyDescent="0.35">
      <c r="A377" s="2" t="s">
        <v>3011</v>
      </c>
      <c r="B377" s="21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2" t="s">
        <v>2247</v>
      </c>
      <c r="G377" t="s">
        <v>1401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1" t="str">
        <f>"item_"&amp;CONTROL[[#This Row],[VEHIDCODE]]</f>
        <v>item_electric_Breda_E_424</v>
      </c>
      <c r="O377" s="21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  <c r="R377" t="str" cm="1">
        <f t="array" ref="R377">_xlfn.XLOOKUP(CONTROL[[#This Row],[VEHIDCODE]],GRAPHICS_PROPERTIES[VEHIDCODE],GRAPHICS_PROPERTIES[TEMPLATE_ID]&amp;GRAPHICS_PROPERTIES[TEMPLATE_AMENDMENT_CODE])</f>
        <v>TPL_01A</v>
      </c>
    </row>
    <row r="378" spans="1:18" x14ac:dyDescent="0.35">
      <c r="A378" s="2" t="s">
        <v>3012</v>
      </c>
      <c r="B378" s="21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2" t="s">
        <v>2248</v>
      </c>
      <c r="G378" t="s">
        <v>1402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1" t="str">
        <f>"item_"&amp;CONTROL[[#This Row],[VEHIDCODE]]</f>
        <v>item_electric_Savigliano_E_444</v>
      </c>
      <c r="O378" s="21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  <c r="R378" t="str" cm="1">
        <f t="array" ref="R378">_xlfn.XLOOKUP(CONTROL[[#This Row],[VEHIDCODE]],GRAPHICS_PROPERTIES[VEHIDCODE],GRAPHICS_PROPERTIES[TEMPLATE_ID]&amp;GRAPHICS_PROPERTIES[TEMPLATE_AMENDMENT_CODE])</f>
        <v>TPL_01A</v>
      </c>
    </row>
    <row r="379" spans="1:18" x14ac:dyDescent="0.35">
      <c r="A379" s="2" t="s">
        <v>3013</v>
      </c>
      <c r="B379" s="21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2" t="s">
        <v>2249</v>
      </c>
      <c r="G379" t="s">
        <v>1403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1" t="str">
        <f>"item_"&amp;CONTROL[[#This Row],[VEHIDCODE]]</f>
        <v>item_electric_Fiat_E_633</v>
      </c>
      <c r="O379" s="21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  <c r="R379" t="str" cm="1">
        <f t="array" ref="R379">_xlfn.XLOOKUP(CONTROL[[#This Row],[VEHIDCODE]],GRAPHICS_PROPERTIES[VEHIDCODE],GRAPHICS_PROPERTIES[TEMPLATE_ID]&amp;GRAPHICS_PROPERTIES[TEMPLATE_AMENDMENT_CODE])</f>
        <v>TPL_01A</v>
      </c>
    </row>
    <row r="380" spans="1:18" x14ac:dyDescent="0.35">
      <c r="A380" s="2" t="s">
        <v>3014</v>
      </c>
      <c r="B380" s="21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2" t="s">
        <v>2250</v>
      </c>
      <c r="G380" t="s">
        <v>1404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1" t="str">
        <f>"item_"&amp;CONTROL[[#This Row],[VEHIDCODE]]</f>
        <v>item_electric_BN_ACEC_25_5</v>
      </c>
      <c r="O380" s="21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  <c r="R380" t="str" cm="1">
        <f t="array" ref="R380">_xlfn.XLOOKUP(CONTROL[[#This Row],[VEHIDCODE]],GRAPHICS_PROPERTIES[VEHIDCODE],GRAPHICS_PROPERTIES[TEMPLATE_ID]&amp;GRAPHICS_PROPERTIES[TEMPLATE_AMENDMENT_CODE])</f>
        <v>TPL_01A</v>
      </c>
    </row>
    <row r="381" spans="1:18" x14ac:dyDescent="0.35">
      <c r="A381" s="2" t="s">
        <v>3015</v>
      </c>
      <c r="B381" s="21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2" t="s">
        <v>2251</v>
      </c>
      <c r="G381" t="s">
        <v>1405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1" t="str">
        <f>"item_"&amp;CONTROL[[#This Row],[VEHIDCODE]]</f>
        <v>item_electric_Krauss_Maffei_CAF_250</v>
      </c>
      <c r="O381" s="21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  <c r="R381" t="str" cm="1">
        <f t="array" ref="R381">_xlfn.XLOOKUP(CONTROL[[#This Row],[VEHIDCODE]],GRAPHICS_PROPERTIES[VEHIDCODE],GRAPHICS_PROPERTIES[TEMPLATE_ID]&amp;GRAPHICS_PROPERTIES[TEMPLATE_AMENDMENT_CODE])</f>
        <v>TPL_01A</v>
      </c>
    </row>
    <row r="382" spans="1:18" x14ac:dyDescent="0.35">
      <c r="A382" s="2" t="s">
        <v>3016</v>
      </c>
      <c r="B382" s="21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2" t="s">
        <v>3540</v>
      </c>
      <c r="G382" t="s">
        <v>1802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1" t="str">
        <f>"item_"&amp;CONTROL[[#This Row],[VEHIDCODE]]</f>
        <v>item_electric_EFE_E_29</v>
      </c>
      <c r="O382" s="21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  <c r="R382" t="str" cm="1">
        <f t="array" ref="R382">_xlfn.XLOOKUP(CONTROL[[#This Row],[VEHIDCODE]],GRAPHICS_PROPERTIES[VEHIDCODE],GRAPHICS_PROPERTIES[TEMPLATE_ID]&amp;GRAPHICS_PROPERTIES[TEMPLATE_AMENDMENT_CODE])</f>
        <v>TPL_16A</v>
      </c>
    </row>
    <row r="383" spans="1:18" x14ac:dyDescent="0.35">
      <c r="A383" s="2" t="s">
        <v>3017</v>
      </c>
      <c r="B383" s="21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2" t="s">
        <v>3538</v>
      </c>
      <c r="G383" t="s">
        <v>3539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1" t="str">
        <f>"item_"&amp;CONTROL[[#This Row],[VEHIDCODE]]</f>
        <v>item_electric_EFE_E_17</v>
      </c>
      <c r="O383" s="21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  <c r="R383" t="str" cm="1">
        <f t="array" ref="R383">_xlfn.XLOOKUP(CONTROL[[#This Row],[VEHIDCODE]],GRAPHICS_PROPERTIES[VEHIDCODE],GRAPHICS_PROPERTIES[TEMPLATE_ID]&amp;GRAPHICS_PROPERTIES[TEMPLATE_AMENDMENT_CODE])</f>
        <v>TPL_01A</v>
      </c>
    </row>
    <row r="384" spans="1:18" x14ac:dyDescent="0.35">
      <c r="A384" s="2" t="s">
        <v>3018</v>
      </c>
      <c r="B384" s="21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2" t="s">
        <v>3523</v>
      </c>
      <c r="G384" t="s">
        <v>3524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1" t="str">
        <f>"item_"&amp;CONTROL[[#This Row],[VEHIDCODE]]</f>
        <v>item_electric_Alsthom_E_700</v>
      </c>
      <c r="O384" s="21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  <c r="R384" t="str" cm="1">
        <f t="array" ref="R384">_xlfn.XLOOKUP(CONTROL[[#This Row],[VEHIDCODE]],GRAPHICS_PROPERTIES[VEHIDCODE],GRAPHICS_PROPERTIES[TEMPLATE_ID]&amp;GRAPHICS_PROPERTIES[TEMPLATE_AMENDMENT_CODE])</f>
        <v>TPL_01A</v>
      </c>
    </row>
    <row r="385" spans="1:18" x14ac:dyDescent="0.35">
      <c r="A385" s="2" t="s">
        <v>3019</v>
      </c>
      <c r="B385" s="21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2" t="s">
        <v>2252</v>
      </c>
      <c r="G385" t="s">
        <v>1406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1" t="str">
        <f>"item_"&amp;CONTROL[[#This Row],[VEHIDCODE]]</f>
        <v>item_electric_Vulcan_Foundry_EE_EM_1</v>
      </c>
      <c r="O385" s="21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  <c r="R385" t="str" cm="1">
        <f t="array" ref="R385">_xlfn.XLOOKUP(CONTROL[[#This Row],[VEHIDCODE]],GRAPHICS_PROPERTIES[VEHIDCODE],GRAPHICS_PROPERTIES[TEMPLATE_ID]&amp;GRAPHICS_PROPERTIES[TEMPLATE_AMENDMENT_CODE])</f>
        <v>TPL_01A</v>
      </c>
    </row>
    <row r="386" spans="1:18" x14ac:dyDescent="0.35">
      <c r="A386" s="2" t="s">
        <v>3020</v>
      </c>
      <c r="B386" s="21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2" t="s">
        <v>2254</v>
      </c>
      <c r="G386" t="s">
        <v>1407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1" t="str">
        <f>"item_"&amp;CONTROL[[#This Row],[VEHIDCODE]]</f>
        <v>item_electric_Union_Carriage___Wagon_E38</v>
      </c>
      <c r="O386" s="21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  <c r="R386" t="str" cm="1">
        <f t="array" ref="R386">_xlfn.XLOOKUP(CONTROL[[#This Row],[VEHIDCODE]],GRAPHICS_PROPERTIES[VEHIDCODE],GRAPHICS_PROPERTIES[TEMPLATE_ID]&amp;GRAPHICS_PROPERTIES[TEMPLATE_AMENDMENT_CODE])</f>
        <v>TPL_01A</v>
      </c>
    </row>
    <row r="387" spans="1:18" x14ac:dyDescent="0.35">
      <c r="A387" s="2" t="s">
        <v>3021</v>
      </c>
      <c r="B387" s="21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2" t="s">
        <v>2038</v>
      </c>
      <c r="G387" t="s">
        <v>1408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1" t="str">
        <f>"item_"&amp;CONTROL[[#This Row],[VEHIDCODE]]</f>
        <v>item_electric_Mitsubishi_series_269</v>
      </c>
      <c r="O387" s="21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  <c r="R387" t="str" cm="1">
        <f t="array" ref="R387">_xlfn.XLOOKUP(CONTROL[[#This Row],[VEHIDCODE]],GRAPHICS_PROPERTIES[VEHIDCODE],GRAPHICS_PROPERTIES[TEMPLATE_ID]&amp;GRAPHICS_PROPERTIES[TEMPLATE_AMENDMENT_CODE])</f>
        <v>TPL_01A</v>
      </c>
    </row>
    <row r="388" spans="1:18" x14ac:dyDescent="0.35">
      <c r="A388" s="2" t="s">
        <v>3022</v>
      </c>
      <c r="B388" s="21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2" t="s">
        <v>1957</v>
      </c>
      <c r="G388" t="s">
        <v>1409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1" t="str">
        <f>"item_"&amp;CONTROL[[#This Row],[VEHIDCODE]]</f>
        <v>item_electric_Skoda_69E</v>
      </c>
      <c r="O388" s="21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  <c r="R388" t="str" cm="1">
        <f t="array" ref="R388">_xlfn.XLOOKUP(CONTROL[[#This Row],[VEHIDCODE]],GRAPHICS_PROPERTIES[VEHIDCODE],GRAPHICS_PROPERTIES[TEMPLATE_ID]&amp;GRAPHICS_PROPERTIES[TEMPLATE_AMENDMENT_CODE])</f>
        <v>TPL_01A</v>
      </c>
    </row>
    <row r="389" spans="1:18" x14ac:dyDescent="0.35">
      <c r="A389" s="2" t="s">
        <v>3023</v>
      </c>
      <c r="B389" s="21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2" t="s">
        <v>2255</v>
      </c>
      <c r="G389" t="s">
        <v>1410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1" t="str">
        <f>"item_"&amp;CONTROL[[#This Row],[VEHIDCODE]]</f>
        <v>item_electric_AEG_Skabo_EL7</v>
      </c>
      <c r="O389" s="21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  <c r="R389" t="str" cm="1">
        <f t="array" ref="R389">_xlfn.XLOOKUP(CONTROL[[#This Row],[VEHIDCODE]],GRAPHICS_PROPERTIES[VEHIDCODE],GRAPHICS_PROPERTIES[TEMPLATE_ID]&amp;GRAPHICS_PROPERTIES[TEMPLATE_AMENDMENT_CODE])</f>
        <v>TPL_01A</v>
      </c>
    </row>
    <row r="390" spans="1:18" x14ac:dyDescent="0.35">
      <c r="A390" s="2" t="s">
        <v>3024</v>
      </c>
      <c r="B390" s="21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2" t="s">
        <v>2256</v>
      </c>
      <c r="G390" t="s">
        <v>1411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1" t="str">
        <f>"item_"&amp;CONTROL[[#This Row],[VEHIDCODE]]</f>
        <v>item_electric_Westinghouse_FF_1_Big_Liz_</v>
      </c>
      <c r="O390" s="21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  <c r="R390" t="str" cm="1">
        <f t="array" ref="R390">_xlfn.XLOOKUP(CONTROL[[#This Row],[VEHIDCODE]],GRAPHICS_PROPERTIES[VEHIDCODE],GRAPHICS_PROPERTIES[TEMPLATE_ID]&amp;GRAPHICS_PROPERTIES[TEMPLATE_AMENDMENT_CODE])</f>
        <v>TPL_32C</v>
      </c>
    </row>
    <row r="391" spans="1:18" x14ac:dyDescent="0.35">
      <c r="A391" s="2" t="s">
        <v>3025</v>
      </c>
      <c r="B391" s="21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2" t="s">
        <v>2257</v>
      </c>
      <c r="G391" t="s">
        <v>1412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1" t="str">
        <f>"item_"&amp;CONTROL[[#This Row],[VEHIDCODE]]</f>
        <v>item_electric_ELIN_Floridsdorf_1161</v>
      </c>
      <c r="O391" s="21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  <c r="R391" t="str" cm="1">
        <f t="array" ref="R391">_xlfn.XLOOKUP(CONTROL[[#This Row],[VEHIDCODE]],GRAPHICS_PROPERTIES[VEHIDCODE],GRAPHICS_PROPERTIES[TEMPLATE_ID]&amp;GRAPHICS_PROPERTIES[TEMPLATE_AMENDMENT_CODE])</f>
        <v>TPL_03C</v>
      </c>
    </row>
    <row r="392" spans="1:18" x14ac:dyDescent="0.35">
      <c r="A392" s="2" t="s">
        <v>3026</v>
      </c>
      <c r="B392" s="21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2" t="s">
        <v>2258</v>
      </c>
      <c r="G392" t="s">
        <v>1413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1" t="str">
        <f>"item_"&amp;CONTROL[[#This Row],[VEHIDCODE]]</f>
        <v>item_electric_Maffei_SSW_Lok_5_Adolphine</v>
      </c>
      <c r="O392" s="21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  <c r="R392" t="str" cm="1">
        <f t="array" ref="R392">_xlfn.XLOOKUP(CONTROL[[#This Row],[VEHIDCODE]],GRAPHICS_PROPERTIES[VEHIDCODE],GRAPHICS_PROPERTIES[TEMPLATE_ID]&amp;GRAPHICS_PROPERTIES[TEMPLATE_AMENDMENT_CODE])</f>
        <v>TPL_01A</v>
      </c>
    </row>
    <row r="393" spans="1:18" x14ac:dyDescent="0.35">
      <c r="A393" s="2" t="s">
        <v>3027</v>
      </c>
      <c r="B393" s="21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2" t="s">
        <v>2259</v>
      </c>
      <c r="G393" t="s">
        <v>1414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1" t="str">
        <f>"item_"&amp;CONTROL[[#This Row],[VEHIDCODE]]</f>
        <v>item_electric_Thune_ASEA_EL10</v>
      </c>
      <c r="O393" s="21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  <c r="R393" t="str" cm="1">
        <f t="array" ref="R393">_xlfn.XLOOKUP(CONTROL[[#This Row],[VEHIDCODE]],GRAPHICS_PROPERTIES[VEHIDCODE],GRAPHICS_PROPERTIES[TEMPLATE_ID]&amp;GRAPHICS_PROPERTIES[TEMPLATE_AMENDMENT_CODE])</f>
        <v>TPL_01A</v>
      </c>
    </row>
    <row r="394" spans="1:18" x14ac:dyDescent="0.35">
      <c r="A394" s="2" t="s">
        <v>3028</v>
      </c>
      <c r="B394" s="21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2" t="s">
        <v>2260</v>
      </c>
      <c r="G394" t="s">
        <v>1415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1" t="str">
        <f>"item_"&amp;CONTROL[[#This Row],[VEHIDCODE]]</f>
        <v>item_electric_AEG_E_04</v>
      </c>
      <c r="O394" s="21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  <c r="R394" t="str" cm="1">
        <f t="array" ref="R394">_xlfn.XLOOKUP(CONTROL[[#This Row],[VEHIDCODE]],GRAPHICS_PROPERTIES[VEHIDCODE],GRAPHICS_PROPERTIES[TEMPLATE_ID]&amp;GRAPHICS_PROPERTIES[TEMPLATE_AMENDMENT_CODE])</f>
        <v>TPL_01A</v>
      </c>
    </row>
    <row r="395" spans="1:18" x14ac:dyDescent="0.35">
      <c r="A395" s="2" t="s">
        <v>3029</v>
      </c>
      <c r="B395" s="21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2" t="s">
        <v>2261</v>
      </c>
      <c r="G395" t="s">
        <v>1416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1" t="str">
        <f>"item_"&amp;CONTROL[[#This Row],[VEHIDCODE]]</f>
        <v>item_electric_GE_4_6_0_0_6_4OE_GG_1</v>
      </c>
      <c r="O395" s="21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  <c r="R395" t="str" cm="1">
        <f t="array" ref="R395">_xlfn.XLOOKUP(CONTROL[[#This Row],[VEHIDCODE]],GRAPHICS_PROPERTIES[VEHIDCODE],GRAPHICS_PROPERTIES[TEMPLATE_ID]&amp;GRAPHICS_PROPERTIES[TEMPLATE_AMENDMENT_CODE])</f>
        <v>TPL_16A</v>
      </c>
    </row>
    <row r="396" spans="1:18" x14ac:dyDescent="0.35">
      <c r="A396" s="2" t="s">
        <v>3030</v>
      </c>
      <c r="B396" s="21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2" t="s">
        <v>2539</v>
      </c>
      <c r="G396" t="s">
        <v>1417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1" t="str">
        <f>"item_"&amp;CONTROL[[#This Row],[VEHIDCODE]]</f>
        <v>item_electric_SLM_1100_Crocodile</v>
      </c>
      <c r="O396" s="21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  <c r="R396" t="str" cm="1">
        <f t="array" ref="R396">_xlfn.XLOOKUP(CONTROL[[#This Row],[VEHIDCODE]],GRAPHICS_PROPERTIES[VEHIDCODE],GRAPHICS_PROPERTIES[TEMPLATE_ID]&amp;GRAPHICS_PROPERTIES[TEMPLATE_AMENDMENT_CODE])</f>
        <v>TPL_01A</v>
      </c>
    </row>
    <row r="397" spans="1:18" x14ac:dyDescent="0.35">
      <c r="A397" s="2" t="s">
        <v>3031</v>
      </c>
      <c r="B397" s="21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2" t="s">
        <v>2540</v>
      </c>
      <c r="G397" t="s">
        <v>1418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1" t="str">
        <f>"item_"&amp;CONTROL[[#This Row],[VEHIDCODE]]</f>
        <v>item_electric_AEG_BBC_Henschel_Siemens_E03</v>
      </c>
      <c r="O397" s="21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  <c r="R397" t="str" cm="1">
        <f t="array" ref="R397">_xlfn.XLOOKUP(CONTROL[[#This Row],[VEHIDCODE]],GRAPHICS_PROPERTIES[VEHIDCODE],GRAPHICS_PROPERTIES[TEMPLATE_ID]&amp;GRAPHICS_PROPERTIES[TEMPLATE_AMENDMENT_CODE])</f>
        <v>TPL_01A</v>
      </c>
    </row>
    <row r="398" spans="1:18" x14ac:dyDescent="0.35">
      <c r="A398" s="2" t="s">
        <v>3032</v>
      </c>
      <c r="B398" s="21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2" t="s">
        <v>2262</v>
      </c>
      <c r="G398" t="s">
        <v>1419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1" t="str">
        <f>"item_"&amp;CONTROL[[#This Row],[VEHIDCODE]]</f>
        <v>item_electric_Krauss_WASSEG_E_91_9</v>
      </c>
      <c r="O398" s="21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  <c r="R398" t="str" cm="1">
        <f t="array" ref="R398">_xlfn.XLOOKUP(CONTROL[[#This Row],[VEHIDCODE]],GRAPHICS_PROPERTIES[VEHIDCODE],GRAPHICS_PROPERTIES[TEMPLATE_ID]&amp;GRAPHICS_PROPERTIES[TEMPLATE_AMENDMENT_CODE])</f>
        <v>TPL_01A</v>
      </c>
    </row>
    <row r="399" spans="1:18" x14ac:dyDescent="0.35">
      <c r="A399" s="2" t="s">
        <v>3033</v>
      </c>
      <c r="B399" s="21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2" t="s">
        <v>2263</v>
      </c>
      <c r="G399" t="s">
        <v>1420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1" t="str">
        <f>"item_"&amp;CONTROL[[#This Row],[VEHIDCODE]]</f>
        <v>item_electric_SLM_Ce_4_4</v>
      </c>
      <c r="O399" s="21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  <c r="R399" t="str" cm="1">
        <f t="array" ref="R399">_xlfn.XLOOKUP(CONTROL[[#This Row],[VEHIDCODE]],GRAPHICS_PROPERTIES[VEHIDCODE],GRAPHICS_PROPERTIES[TEMPLATE_ID]&amp;GRAPHICS_PROPERTIES[TEMPLATE_AMENDMENT_CODE])</f>
        <v>TPL_01A</v>
      </c>
    </row>
    <row r="400" spans="1:18" x14ac:dyDescent="0.35">
      <c r="A400" s="2" t="s">
        <v>3034</v>
      </c>
      <c r="B400" s="21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2" t="s">
        <v>2264</v>
      </c>
      <c r="G400" t="s">
        <v>1421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1" t="str">
        <f>"item_"&amp;CONTROL[[#This Row],[VEHIDCODE]]</f>
        <v>item_electric_SLM_Ae_6_6</v>
      </c>
      <c r="O400" s="21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  <c r="R400" t="str" cm="1">
        <f t="array" ref="R400">_xlfn.XLOOKUP(CONTROL[[#This Row],[VEHIDCODE]],GRAPHICS_PROPERTIES[VEHIDCODE],GRAPHICS_PROPERTIES[TEMPLATE_ID]&amp;GRAPHICS_PROPERTIES[TEMPLATE_AMENDMENT_CODE])</f>
        <v>TPL_01A</v>
      </c>
    </row>
    <row r="401" spans="1:18" x14ac:dyDescent="0.35">
      <c r="A401" s="2" t="s">
        <v>3035</v>
      </c>
      <c r="B401" s="21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2" t="s">
        <v>1959</v>
      </c>
      <c r="G401" t="s">
        <v>1422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1" t="str">
        <f>"item_"&amp;CONTROL[[#This Row],[VEHIDCODE]]</f>
        <v>item_electric_SLM_ABB_Lok_2000</v>
      </c>
      <c r="O401" s="21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  <c r="R401" t="str" cm="1">
        <f t="array" ref="R401">_xlfn.XLOOKUP(CONTROL[[#This Row],[VEHIDCODE]],GRAPHICS_PROPERTIES[VEHIDCODE],GRAPHICS_PROPERTIES[TEMPLATE_ID]&amp;GRAPHICS_PROPERTIES[TEMPLATE_AMENDMENT_CODE])</f>
        <v>TPL_01A</v>
      </c>
    </row>
    <row r="402" spans="1:18" x14ac:dyDescent="0.35">
      <c r="A402" s="2" t="s">
        <v>3036</v>
      </c>
      <c r="B402" s="21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2" t="s">
        <v>2266</v>
      </c>
      <c r="G402" t="s">
        <v>1423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1" t="str">
        <f>"item_"&amp;CONTROL[[#This Row],[VEHIDCODE]]</f>
        <v>item_electric_Stadler_Butler_Eem_923</v>
      </c>
      <c r="O402" s="21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  <c r="R402" t="str" cm="1">
        <f t="array" ref="R402">_xlfn.XLOOKUP(CONTROL[[#This Row],[VEHIDCODE]],GRAPHICS_PROPERTIES[VEHIDCODE],GRAPHICS_PROPERTIES[TEMPLATE_ID]&amp;GRAPHICS_PROPERTIES[TEMPLATE_AMENDMENT_CODE])</f>
        <v>TPL_01A</v>
      </c>
    </row>
    <row r="403" spans="1:18" x14ac:dyDescent="0.35">
      <c r="A403" s="2" t="s">
        <v>3037</v>
      </c>
      <c r="B403" s="21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2" t="s">
        <v>2541</v>
      </c>
      <c r="G403" t="s">
        <v>1424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1" t="str">
        <f>"item_"&amp;CONTROL[[#This Row],[VEHIDCODE]]</f>
        <v>item_electric_SGP_1044</v>
      </c>
      <c r="O403" s="21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  <c r="R403" t="str" cm="1">
        <f t="array" ref="R403">_xlfn.XLOOKUP(CONTROL[[#This Row],[VEHIDCODE]],GRAPHICS_PROPERTIES[VEHIDCODE],GRAPHICS_PROPERTIES[TEMPLATE_ID]&amp;GRAPHICS_PROPERTIES[TEMPLATE_AMENDMENT_CODE])</f>
        <v>TPL_01A</v>
      </c>
    </row>
    <row r="404" spans="1:18" x14ac:dyDescent="0.35">
      <c r="A404" s="2" t="s">
        <v>3038</v>
      </c>
      <c r="B404" s="21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2" t="s">
        <v>2542</v>
      </c>
      <c r="G404" t="s">
        <v>1425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1" t="str">
        <f>"item_"&amp;CONTROL[[#This Row],[VEHIDCODE]]</f>
        <v>item_electric_SGP_1063</v>
      </c>
      <c r="O404" s="21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  <c r="R404" t="str" cm="1">
        <f t="array" ref="R404">_xlfn.XLOOKUP(CONTROL[[#This Row],[VEHIDCODE]],GRAPHICS_PROPERTIES[VEHIDCODE],GRAPHICS_PROPERTIES[TEMPLATE_ID]&amp;GRAPHICS_PROPERTIES[TEMPLATE_AMENDMENT_CODE])</f>
        <v>TPL_01A</v>
      </c>
    </row>
    <row r="405" spans="1:18" x14ac:dyDescent="0.35">
      <c r="A405" s="2" t="s">
        <v>3039</v>
      </c>
      <c r="B405" s="21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2" t="s">
        <v>2267</v>
      </c>
      <c r="G405" t="s">
        <v>1426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1" t="str">
        <f>"item_"&amp;CONTROL[[#This Row],[VEHIDCODE]]</f>
        <v>item_electric_ASEA_Dm3</v>
      </c>
      <c r="O405" s="21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  <c r="R405" t="str" cm="1">
        <f t="array" ref="R405">_xlfn.XLOOKUP(CONTROL[[#This Row],[VEHIDCODE]],GRAPHICS_PROPERTIES[VEHIDCODE],GRAPHICS_PROPERTIES[TEMPLATE_ID]&amp;GRAPHICS_PROPERTIES[TEMPLATE_AMENDMENT_CODE])</f>
        <v>TPL_17D</v>
      </c>
    </row>
    <row r="406" spans="1:18" x14ac:dyDescent="0.35">
      <c r="A406" s="2" t="s">
        <v>3040</v>
      </c>
      <c r="B406" s="21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2" t="s">
        <v>1961</v>
      </c>
      <c r="G406" t="s">
        <v>1427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1" t="str">
        <f>"item_"&amp;CONTROL[[#This Row],[VEHIDCODE]]</f>
        <v>item_electric_Bombardier_Traxx_H80_AC</v>
      </c>
      <c r="O406" s="21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  <c r="R406" t="str" cm="1">
        <f t="array" ref="R406">_xlfn.XLOOKUP(CONTROL[[#This Row],[VEHIDCODE]],GRAPHICS_PROPERTIES[VEHIDCODE],GRAPHICS_PROPERTIES[TEMPLATE_ID]&amp;GRAPHICS_PROPERTIES[TEMPLATE_AMENDMENT_CODE])</f>
        <v>TPL_03D</v>
      </c>
    </row>
    <row r="407" spans="1:18" x14ac:dyDescent="0.35">
      <c r="A407" s="2" t="s">
        <v>3041</v>
      </c>
      <c r="B407" s="21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2" t="s">
        <v>2268</v>
      </c>
      <c r="G407" t="s">
        <v>1428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1" t="str">
        <f>"item_"&amp;CONTROL[[#This Row],[VEHIDCODE]]</f>
        <v>item_electric_Siemens_Oa</v>
      </c>
      <c r="O407" s="21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  <c r="R407" t="str" cm="1">
        <f t="array" ref="R407">_xlfn.XLOOKUP(CONTROL[[#This Row],[VEHIDCODE]],GRAPHICS_PROPERTIES[VEHIDCODE],GRAPHICS_PROPERTIES[TEMPLATE_ID]&amp;GRAPHICS_PROPERTIES[TEMPLATE_AMENDMENT_CODE])</f>
        <v>TPL_17E</v>
      </c>
    </row>
    <row r="408" spans="1:18" x14ac:dyDescent="0.35">
      <c r="A408" s="2" t="s">
        <v>3042</v>
      </c>
      <c r="B408" s="21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2" t="s">
        <v>2570</v>
      </c>
      <c r="G408" t="s">
        <v>1429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1" t="str">
        <f>"item_"&amp;CONTROL[[#This Row],[VEHIDCODE]]</f>
        <v>item_electric_ASEA_F</v>
      </c>
      <c r="O408" s="21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  <c r="R408" t="str" cm="1">
        <f t="array" ref="R408">_xlfn.XLOOKUP(CONTROL[[#This Row],[VEHIDCODE]],GRAPHICS_PROPERTIES[VEHIDCODE],GRAPHICS_PROPERTIES[TEMPLATE_ID]&amp;GRAPHICS_PROPERTIES[TEMPLATE_AMENDMENT_CODE])</f>
        <v>TPL_01A</v>
      </c>
    </row>
    <row r="409" spans="1:18" x14ac:dyDescent="0.35">
      <c r="A409" s="2" t="s">
        <v>3043</v>
      </c>
      <c r="B409" s="21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2" t="s">
        <v>2610</v>
      </c>
      <c r="G409" t="s">
        <v>1430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1" t="str">
        <f>"item_"&amp;CONTROL[[#This Row],[VEHIDCODE]]</f>
        <v>item_electric_Thyssen_Henschel_EL17</v>
      </c>
      <c r="O409" s="21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  <c r="R409" t="str" cm="1">
        <f t="array" ref="R409">_xlfn.XLOOKUP(CONTROL[[#This Row],[VEHIDCODE]],GRAPHICS_PROPERTIES[VEHIDCODE],GRAPHICS_PROPERTIES[TEMPLATE_ID]&amp;GRAPHICS_PROPERTIES[TEMPLATE_AMENDMENT_CODE])</f>
        <v>TPL_01A</v>
      </c>
    </row>
    <row r="410" spans="1:18" x14ac:dyDescent="0.35">
      <c r="A410" s="2" t="s">
        <v>3044</v>
      </c>
      <c r="B410" s="21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2" t="s">
        <v>2269</v>
      </c>
      <c r="G410" t="s">
        <v>1431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1" t="str">
        <f>"item_"&amp;CONTROL[[#This Row],[VEHIDCODE]]</f>
        <v>item_electric_Borsig_SSW_ES_6</v>
      </c>
      <c r="O410" s="21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  <c r="R410" t="str" cm="1">
        <f t="array" ref="R410">_xlfn.XLOOKUP(CONTROL[[#This Row],[VEHIDCODE]],GRAPHICS_PROPERTIES[VEHIDCODE],GRAPHICS_PROPERTIES[TEMPLATE_ID]&amp;GRAPHICS_PROPERTIES[TEMPLATE_AMENDMENT_CODE])</f>
        <v>TPL_03C</v>
      </c>
    </row>
    <row r="411" spans="1:18" x14ac:dyDescent="0.35">
      <c r="A411" s="2" t="s">
        <v>3045</v>
      </c>
      <c r="B411" s="21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2" t="s">
        <v>2561</v>
      </c>
      <c r="G411" t="s">
        <v>1432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1" t="str">
        <f>"item_"&amp;CONTROL[[#This Row],[VEHIDCODE]]</f>
        <v>item_electric_GE_EL_2B</v>
      </c>
      <c r="O411" s="21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  <c r="R411" t="str" cm="1">
        <f t="array" ref="R411">_xlfn.XLOOKUP(CONTROL[[#This Row],[VEHIDCODE]],GRAPHICS_PROPERTIES[VEHIDCODE],GRAPHICS_PROPERTIES[TEMPLATE_ID]&amp;GRAPHICS_PROPERTIES[TEMPLATE_AMENDMENT_CODE])</f>
        <v>TPL_03D</v>
      </c>
    </row>
    <row r="412" spans="1:18" x14ac:dyDescent="0.35">
      <c r="A412" s="2" t="s">
        <v>3046</v>
      </c>
      <c r="B412" s="21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2" t="s">
        <v>2560</v>
      </c>
      <c r="G412" t="s">
        <v>1433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1" t="str">
        <f>"item_"&amp;CONTROL[[#This Row],[VEHIDCODE]]</f>
        <v>item_electric_GE_W_1</v>
      </c>
      <c r="O412" s="21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  <c r="R412" t="str" cm="1">
        <f t="array" ref="R412">_xlfn.XLOOKUP(CONTROL[[#This Row],[VEHIDCODE]],GRAPHICS_PROPERTIES[VEHIDCODE],GRAPHICS_PROPERTIES[TEMPLATE_ID]&amp;GRAPHICS_PROPERTIES[TEMPLATE_AMENDMENT_CODE])</f>
        <v>TPL_16A</v>
      </c>
    </row>
    <row r="413" spans="1:18" x14ac:dyDescent="0.35">
      <c r="A413" s="2" t="s">
        <v>3047</v>
      </c>
      <c r="B413" s="21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2" t="s">
        <v>2270</v>
      </c>
      <c r="G413" t="s">
        <v>1434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1" t="str">
        <f>"item_"&amp;CONTROL[[#This Row],[VEHIDCODE]]</f>
        <v>item_electric_Westinghouse_6wOE_B1</v>
      </c>
      <c r="O413" s="21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  <c r="R413" t="str" cm="1">
        <f t="array" ref="R413">_xlfn.XLOOKUP(CONTROL[[#This Row],[VEHIDCODE]],GRAPHICS_PROPERTIES[VEHIDCODE],GRAPHICS_PROPERTIES[TEMPLATE_ID]&amp;GRAPHICS_PROPERTIES[TEMPLATE_AMENDMENT_CODE])</f>
        <v>TPL_01A</v>
      </c>
    </row>
    <row r="414" spans="1:18" x14ac:dyDescent="0.35">
      <c r="A414" s="2" t="s">
        <v>3048</v>
      </c>
      <c r="B414" s="21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2" t="s">
        <v>2271</v>
      </c>
      <c r="G414" t="s">
        <v>1435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1" t="str">
        <f>"item_"&amp;CONTROL[[#This Row],[VEHIDCODE]]</f>
        <v>item_electric_Siemens_E40_AG_V1</v>
      </c>
      <c r="O414" s="21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  <c r="R414" t="str" cm="1">
        <f t="array" ref="R414">_xlfn.XLOOKUP(CONTROL[[#This Row],[VEHIDCODE]],GRAPHICS_PROPERTIES[VEHIDCODE],GRAPHICS_PROPERTIES[TEMPLATE_ID]&amp;GRAPHICS_PROPERTIES[TEMPLATE_AMENDMENT_CODE])</f>
        <v>TPL_01A</v>
      </c>
    </row>
    <row r="415" spans="1:18" x14ac:dyDescent="0.35">
      <c r="A415" s="2" t="s">
        <v>3049</v>
      </c>
      <c r="B415" s="21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2" t="s">
        <v>2543</v>
      </c>
      <c r="G415" t="s">
        <v>1436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1" t="str">
        <f>"item_"&amp;CONTROL[[#This Row],[VEHIDCODE]]</f>
        <v>item_electric_Zuzhou_SS6</v>
      </c>
      <c r="O415" s="21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  <c r="R415" t="str" cm="1">
        <f t="array" ref="R415">_xlfn.XLOOKUP(CONTROL[[#This Row],[VEHIDCODE]],GRAPHICS_PROPERTIES[VEHIDCODE],GRAPHICS_PROPERTIES[TEMPLATE_ID]&amp;GRAPHICS_PROPERTIES[TEMPLATE_AMENDMENT_CODE])</f>
        <v>TPL_01A</v>
      </c>
    </row>
    <row r="416" spans="1:18" x14ac:dyDescent="0.35">
      <c r="A416" s="2" t="s">
        <v>3050</v>
      </c>
      <c r="B416" s="21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2" t="s">
        <v>2544</v>
      </c>
      <c r="G416" t="s">
        <v>1437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1" t="str">
        <f>"item_"&amp;CONTROL[[#This Row],[VEHIDCODE]]</f>
        <v>item_electric_Zuzhou_SS3</v>
      </c>
      <c r="O416" s="21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  <c r="R416" t="str" cm="1">
        <f t="array" ref="R416">_xlfn.XLOOKUP(CONTROL[[#This Row],[VEHIDCODE]],GRAPHICS_PROPERTIES[VEHIDCODE],GRAPHICS_PROPERTIES[TEMPLATE_ID]&amp;GRAPHICS_PROPERTIES[TEMPLATE_AMENDMENT_CODE])</f>
        <v>TPL_01A</v>
      </c>
    </row>
    <row r="417" spans="1:18" x14ac:dyDescent="0.35">
      <c r="A417" s="2" t="s">
        <v>3051</v>
      </c>
      <c r="B417" s="21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2" t="s">
        <v>2272</v>
      </c>
      <c r="G417" t="s">
        <v>1438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1" t="str">
        <f>"item_"&amp;CONTROL[[#This Row],[VEHIDCODE]]</f>
        <v>item_electric_Toshiba_CNR_Dalian_HXD3</v>
      </c>
      <c r="O417" s="21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  <c r="R417" t="str" cm="1">
        <f t="array" ref="R417">_xlfn.XLOOKUP(CONTROL[[#This Row],[VEHIDCODE]],GRAPHICS_PROPERTIES[VEHIDCODE],GRAPHICS_PROPERTIES[TEMPLATE_ID]&amp;GRAPHICS_PROPERTIES[TEMPLATE_AMENDMENT_CODE])</f>
        <v>TPL_01A</v>
      </c>
    </row>
    <row r="418" spans="1:18" x14ac:dyDescent="0.35">
      <c r="A418" s="2" t="s">
        <v>3052</v>
      </c>
      <c r="B418" s="21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2" t="s">
        <v>2273</v>
      </c>
      <c r="G418" t="s">
        <v>1439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1" t="str">
        <f>"item_"&amp;CONTROL[[#This Row],[VEHIDCODE]]</f>
        <v>item_electric_Toshiba_CRRC_HXD1D</v>
      </c>
      <c r="O418" s="21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  <c r="R418" t="str" cm="1">
        <f t="array" ref="R418">_xlfn.XLOOKUP(CONTROL[[#This Row],[VEHIDCODE]],GRAPHICS_PROPERTIES[VEHIDCODE],GRAPHICS_PROPERTIES[TEMPLATE_ID]&amp;GRAPHICS_PROPERTIES[TEMPLATE_AMENDMENT_CODE])</f>
        <v>TPL_01A</v>
      </c>
    </row>
    <row r="419" spans="1:18" x14ac:dyDescent="0.35">
      <c r="A419" s="2" t="s">
        <v>3053</v>
      </c>
      <c r="B419" s="21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2" t="s">
        <v>2274</v>
      </c>
      <c r="G419" t="s">
        <v>1440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1" t="str">
        <f>"item_"&amp;CONTROL[[#This Row],[VEHIDCODE]]</f>
        <v>item_electric_Kawasaki_6K</v>
      </c>
      <c r="O419" s="21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  <c r="R419" t="str" cm="1">
        <f t="array" ref="R419">_xlfn.XLOOKUP(CONTROL[[#This Row],[VEHIDCODE]],GRAPHICS_PROPERTIES[VEHIDCODE],GRAPHICS_PROPERTIES[TEMPLATE_ID]&amp;GRAPHICS_PROPERTIES[TEMPLATE_AMENDMENT_CODE])</f>
        <v>TPL_01A</v>
      </c>
    </row>
    <row r="420" spans="1:18" x14ac:dyDescent="0.35">
      <c r="A420" s="2" t="s">
        <v>3054</v>
      </c>
      <c r="B420" s="21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2" t="s">
        <v>2275</v>
      </c>
      <c r="G420" t="s">
        <v>1441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1" t="str">
        <f>"item_"&amp;CONTROL[[#This Row],[VEHIDCODE]]</f>
        <v>item_electric_GE_E44</v>
      </c>
      <c r="O420" s="21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  <c r="R420" t="str" cm="1">
        <f t="array" ref="R420">_xlfn.XLOOKUP(CONTROL[[#This Row],[VEHIDCODE]],GRAPHICS_PROPERTIES[VEHIDCODE],GRAPHICS_PROPERTIES[TEMPLATE_ID]&amp;GRAPHICS_PROPERTIES[TEMPLATE_AMENDMENT_CODE])</f>
        <v>TPL_01A</v>
      </c>
    </row>
    <row r="421" spans="1:18" x14ac:dyDescent="0.35">
      <c r="A421" s="2" t="s">
        <v>3055</v>
      </c>
      <c r="B421" s="21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2" t="s">
        <v>2285</v>
      </c>
      <c r="G421" t="s">
        <v>1442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1" t="str">
        <f>"item_"&amp;CONTROL[[#This Row],[VEHIDCODE]]</f>
        <v>item_electric_ASEA_Koncar_Rb</v>
      </c>
      <c r="O421" s="21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  <c r="R421" t="str" cm="1">
        <f t="array" ref="R421">_xlfn.XLOOKUP(CONTROL[[#This Row],[VEHIDCODE]],GRAPHICS_PROPERTIES[VEHIDCODE],GRAPHICS_PROPERTIES[TEMPLATE_ID]&amp;GRAPHICS_PROPERTIES[TEMPLATE_AMENDMENT_CODE])</f>
        <v>TPL_01A</v>
      </c>
    </row>
    <row r="422" spans="1:18" x14ac:dyDescent="0.35">
      <c r="A422" s="2" t="s">
        <v>3056</v>
      </c>
      <c r="B422" s="21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2" t="s">
        <v>2611</v>
      </c>
      <c r="G422" t="s">
        <v>1443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1" t="str">
        <f>"item_"&amp;CONTROL[[#This Row],[VEHIDCODE]]</f>
        <v>item_electric_Ganz_MAVAG_VM14_V43</v>
      </c>
      <c r="O422" s="21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  <c r="R422" t="str" cm="1">
        <f t="array" ref="R422">_xlfn.XLOOKUP(CONTROL[[#This Row],[VEHIDCODE]],GRAPHICS_PROPERTIES[VEHIDCODE],GRAPHICS_PROPERTIES[TEMPLATE_ID]&amp;GRAPHICS_PROPERTIES[TEMPLATE_AMENDMENT_CODE])</f>
        <v>TPL_01A</v>
      </c>
    </row>
    <row r="423" spans="1:18" x14ac:dyDescent="0.35">
      <c r="A423" s="2" t="s">
        <v>3057</v>
      </c>
      <c r="B423" s="21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2" t="s">
        <v>2612</v>
      </c>
      <c r="G423" t="s">
        <v>1444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1" t="str">
        <f>"item_"&amp;CONTROL[[#This Row],[VEHIDCODE]]</f>
        <v>item_electric_Alsthom_CP_2500</v>
      </c>
      <c r="O423" s="21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  <c r="R423" t="str" cm="1">
        <f t="array" ref="R423">_xlfn.XLOOKUP(CONTROL[[#This Row],[VEHIDCODE]],GRAPHICS_PROPERTIES[VEHIDCODE],GRAPHICS_PROPERTIES[TEMPLATE_ID]&amp;GRAPHICS_PROPERTIES[TEMPLATE_AMENDMENT_CODE])</f>
        <v>TPL_01A</v>
      </c>
    </row>
    <row r="424" spans="1:18" x14ac:dyDescent="0.35">
      <c r="A424" s="2" t="s">
        <v>3058</v>
      </c>
      <c r="B424" s="21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2" t="s">
        <v>2548</v>
      </c>
      <c r="G424" t="s">
        <v>1445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1" t="str">
        <f>"item_"&amp;CONTROL[[#This Row],[VEHIDCODE]]</f>
        <v>item_electric_Alsthom_CP_2600</v>
      </c>
      <c r="O424" s="21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  <c r="R424" t="str" cm="1">
        <f t="array" ref="R424">_xlfn.XLOOKUP(CONTROL[[#This Row],[VEHIDCODE]],GRAPHICS_PROPERTIES[VEHIDCODE],GRAPHICS_PROPERTIES[TEMPLATE_ID]&amp;GRAPHICS_PROPERTIES[TEMPLATE_AMENDMENT_CODE])</f>
        <v>TPL_01A</v>
      </c>
    </row>
    <row r="425" spans="1:18" x14ac:dyDescent="0.35">
      <c r="A425" s="2" t="s">
        <v>3059</v>
      </c>
      <c r="B425" s="21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2" t="s">
        <v>2283</v>
      </c>
      <c r="G425" t="s">
        <v>1446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1" t="str">
        <f>"item_"&amp;CONTROL[[#This Row],[VEHIDCODE]]</f>
        <v>item_electric_ZELC_20E_China_Doll</v>
      </c>
      <c r="O425" s="21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  <c r="R425" t="str" cm="1">
        <f t="array" ref="R425">_xlfn.XLOOKUP(CONTROL[[#This Row],[VEHIDCODE]],GRAPHICS_PROPERTIES[VEHIDCODE],GRAPHICS_PROPERTIES[TEMPLATE_ID]&amp;GRAPHICS_PROPERTIES[TEMPLATE_AMENDMENT_CODE])</f>
        <v>TPL_01A</v>
      </c>
    </row>
    <row r="426" spans="1:18" x14ac:dyDescent="0.35">
      <c r="A426" s="2" t="s">
        <v>3456</v>
      </c>
      <c r="B426" s="21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2" t="s">
        <v>3486</v>
      </c>
      <c r="G426" t="s">
        <v>1447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1" t="str">
        <f>"item_"&amp;CONTROL[[#This Row],[VEHIDCODE]]</f>
        <v>item_electric_Siemens_EuroSprinter_ES64F</v>
      </c>
      <c r="O426" s="21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  <c r="R426" t="str" cm="1">
        <f t="array" ref="R426">_xlfn.XLOOKUP(CONTROL[[#This Row],[VEHIDCODE]],GRAPHICS_PROPERTIES[VEHIDCODE],GRAPHICS_PROPERTIES[TEMPLATE_ID]&amp;GRAPHICS_PROPERTIES[TEMPLATE_AMENDMENT_CODE])</f>
        <v>TPL_01A</v>
      </c>
    </row>
    <row r="427" spans="1:18" x14ac:dyDescent="0.35">
      <c r="A427" s="2" t="s">
        <v>3060</v>
      </c>
      <c r="B427" s="21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2" t="s">
        <v>2039</v>
      </c>
      <c r="G427" t="s">
        <v>1448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1" t="str">
        <f>"item_"&amp;CONTROL[[#This Row],[VEHIDCODE]]</f>
        <v>item_electric_DEVZ_DS3</v>
      </c>
      <c r="O427" s="21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  <c r="R427" t="str" cm="1">
        <f t="array" ref="R427">_xlfn.XLOOKUP(CONTROL[[#This Row],[VEHIDCODE]],GRAPHICS_PROPERTIES[VEHIDCODE],GRAPHICS_PROPERTIES[TEMPLATE_ID]&amp;GRAPHICS_PROPERTIES[TEMPLATE_AMENDMENT_CODE])</f>
        <v>TPL_01A</v>
      </c>
    </row>
    <row r="428" spans="1:18" x14ac:dyDescent="0.35">
      <c r="A428" s="2" t="s">
        <v>3061</v>
      </c>
      <c r="B428" s="21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2" t="s">
        <v>1954</v>
      </c>
      <c r="G428" t="s">
        <v>1449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1" t="str">
        <f>"item_"&amp;CONTROL[[#This Row],[VEHIDCODE]]</f>
        <v>item_electric_Skoda_47E</v>
      </c>
      <c r="O428" s="21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  <c r="R428" t="str" cm="1">
        <f t="array" ref="R428">_xlfn.XLOOKUP(CONTROL[[#This Row],[VEHIDCODE]],GRAPHICS_PROPERTIES[VEHIDCODE],GRAPHICS_PROPERTIES[TEMPLATE_ID]&amp;GRAPHICS_PROPERTIES[TEMPLATE_AMENDMENT_CODE])</f>
        <v>TPL_01A</v>
      </c>
    </row>
    <row r="429" spans="1:18" x14ac:dyDescent="0.35">
      <c r="A429" s="2" t="s">
        <v>3062</v>
      </c>
      <c r="B429" s="21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2" t="s">
        <v>2284</v>
      </c>
      <c r="G429" t="s">
        <v>1450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1" t="str">
        <f>"item_"&amp;CONTROL[[#This Row],[VEHIDCODE]]</f>
        <v>item_electric_Ansaldo___Breda_C_F_E_491</v>
      </c>
      <c r="O429" s="21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  <c r="R429" t="str" cm="1">
        <f t="array" ref="R429">_xlfn.XLOOKUP(CONTROL[[#This Row],[VEHIDCODE]],GRAPHICS_PROPERTIES[VEHIDCODE],GRAPHICS_PROPERTIES[TEMPLATE_ID]&amp;GRAPHICS_PROPERTIES[TEMPLATE_AMENDMENT_CODE])</f>
        <v>TPL_01A</v>
      </c>
    </row>
    <row r="430" spans="1:18" x14ac:dyDescent="0.35">
      <c r="A430" s="2" t="s">
        <v>3063</v>
      </c>
      <c r="B430" s="21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2" t="s">
        <v>3483</v>
      </c>
      <c r="G430" t="s">
        <v>1451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1" t="str">
        <f>"item_"&amp;CONTROL[[#This Row],[VEHIDCODE]]</f>
        <v>item_electric_ASEA_Electroputere_Rb</v>
      </c>
      <c r="O430" s="21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  <c r="R430" t="str" cm="1">
        <f t="array" ref="R430">_xlfn.XLOOKUP(CONTROL[[#This Row],[VEHIDCODE]],GRAPHICS_PROPERTIES[VEHIDCODE],GRAPHICS_PROPERTIES[TEMPLATE_ID]&amp;GRAPHICS_PROPERTIES[TEMPLATE_AMENDMENT_CODE])</f>
        <v>TPL_01A</v>
      </c>
    </row>
    <row r="431" spans="1:18" x14ac:dyDescent="0.35">
      <c r="A431" s="2" t="s">
        <v>3064</v>
      </c>
      <c r="B431" s="21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2" t="s">
        <v>2286</v>
      </c>
      <c r="G431" t="s">
        <v>1452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1" t="str">
        <f>"item_"&amp;CONTROL[[#This Row],[VEHIDCODE]]</f>
        <v>item_electric_CEF_BB_1600</v>
      </c>
      <c r="O431" s="21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  <c r="R431" t="str" cm="1">
        <f t="array" ref="R431">_xlfn.XLOOKUP(CONTROL[[#This Row],[VEHIDCODE]],GRAPHICS_PROPERTIES[VEHIDCODE],GRAPHICS_PROPERTIES[TEMPLATE_ID]&amp;GRAPHICS_PROPERTIES[TEMPLATE_AMENDMENT_CODE])</f>
        <v>TPL_01A</v>
      </c>
    </row>
    <row r="432" spans="1:18" x14ac:dyDescent="0.35">
      <c r="A432" s="2" t="s">
        <v>3065</v>
      </c>
      <c r="B432" s="21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2" t="s">
        <v>3481</v>
      </c>
      <c r="G432" t="s">
        <v>1453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1" t="str">
        <f>"item_"&amp;CONTROL[[#This Row],[VEHIDCODE]]</f>
        <v>item_electric_BR_85</v>
      </c>
      <c r="O432" s="21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  <c r="R432" t="str" cm="1">
        <f t="array" ref="R432">_xlfn.XLOOKUP(CONTROL[[#This Row],[VEHIDCODE]],GRAPHICS_PROPERTIES[VEHIDCODE],GRAPHICS_PROPERTIES[TEMPLATE_ID]&amp;GRAPHICS_PROPERTIES[TEMPLATE_AMENDMENT_CODE])</f>
        <v>TPL_01A</v>
      </c>
    </row>
    <row r="433" spans="1:18" x14ac:dyDescent="0.35">
      <c r="A433" s="2" t="s">
        <v>3066</v>
      </c>
      <c r="B433" s="21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2" t="s">
        <v>2040</v>
      </c>
      <c r="G433" t="s">
        <v>1454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1" t="str">
        <f>"item_"&amp;CONTROL[[#This Row],[VEHIDCODE]]</f>
        <v>item_electric_GE_E60C_2</v>
      </c>
      <c r="O433" s="21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  <c r="R433" t="str" cm="1">
        <f t="array" ref="R433">_xlfn.XLOOKUP(CONTROL[[#This Row],[VEHIDCODE]],GRAPHICS_PROPERTIES[VEHIDCODE],GRAPHICS_PROPERTIES[TEMPLATE_ID]&amp;GRAPHICS_PROPERTIES[TEMPLATE_AMENDMENT_CODE])</f>
        <v>TPL_01A</v>
      </c>
    </row>
    <row r="434" spans="1:18" x14ac:dyDescent="0.35">
      <c r="A434" s="2" t="s">
        <v>3067</v>
      </c>
      <c r="B434" s="21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2" t="s">
        <v>3488</v>
      </c>
      <c r="G434" t="s">
        <v>1455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1" t="str">
        <f>"item_"&amp;CONTROL[[#This Row],[VEHIDCODE]]</f>
        <v>item_electric_Alstom_Prima_II</v>
      </c>
      <c r="O434" s="21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  <c r="R434" t="str" cm="1">
        <f t="array" ref="R434">_xlfn.XLOOKUP(CONTROL[[#This Row],[VEHIDCODE]],GRAPHICS_PROPERTIES[VEHIDCODE],GRAPHICS_PROPERTIES[TEMPLATE_ID]&amp;GRAPHICS_PROPERTIES[TEMPLATE_AMENDMENT_CODE])</f>
        <v>TPL_01A</v>
      </c>
    </row>
    <row r="435" spans="1:18" x14ac:dyDescent="0.35">
      <c r="A435" s="2" t="s">
        <v>3068</v>
      </c>
      <c r="B435" s="21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2" t="s">
        <v>2287</v>
      </c>
      <c r="G435" t="s">
        <v>1456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1" t="str">
        <f>"item_"&amp;CONTROL[[#This Row],[VEHIDCODE]]</f>
        <v>item_electric_Toshiba_EA</v>
      </c>
      <c r="O435" s="21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  <c r="R435" t="str" cm="1">
        <f t="array" ref="R435">_xlfn.XLOOKUP(CONTROL[[#This Row],[VEHIDCODE]],GRAPHICS_PROPERTIES[VEHIDCODE],GRAPHICS_PROPERTIES[TEMPLATE_ID]&amp;GRAPHICS_PROPERTIES[TEMPLATE_AMENDMENT_CODE])</f>
        <v>TPL_01A</v>
      </c>
    </row>
    <row r="436" spans="1:18" x14ac:dyDescent="0.35">
      <c r="A436" s="2" t="s">
        <v>3069</v>
      </c>
      <c r="B436" s="21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2" t="s">
        <v>2041</v>
      </c>
      <c r="G436" t="s">
        <v>1457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1" t="str">
        <f>"item_"&amp;CONTROL[[#This Row],[VEHIDCODE]]</f>
        <v>item_electric_ASEA_GMD_GF6C</v>
      </c>
      <c r="O436" s="21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  <c r="R436" t="str" cm="1">
        <f t="array" ref="R436">_xlfn.XLOOKUP(CONTROL[[#This Row],[VEHIDCODE]],GRAPHICS_PROPERTIES[VEHIDCODE],GRAPHICS_PROPERTIES[TEMPLATE_ID]&amp;GRAPHICS_PROPERTIES[TEMPLATE_AMENDMENT_CODE])</f>
        <v>TPL_01A</v>
      </c>
    </row>
    <row r="437" spans="1:18" x14ac:dyDescent="0.35">
      <c r="A437" s="2" t="s">
        <v>3070</v>
      </c>
      <c r="B437" s="21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2" t="s">
        <v>2549</v>
      </c>
      <c r="G437" t="s">
        <v>1459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1" t="str">
        <f>"item_"&amp;CONTROL[[#This Row],[VEHIDCODE]]</f>
        <v>item_electric_Alsthom_BB_22200</v>
      </c>
      <c r="O437" s="21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  <c r="R437" t="str" cm="1">
        <f t="array" ref="R437">_xlfn.XLOOKUP(CONTROL[[#This Row],[VEHIDCODE]],GRAPHICS_PROPERTIES[VEHIDCODE],GRAPHICS_PROPERTIES[TEMPLATE_ID]&amp;GRAPHICS_PROPERTIES[TEMPLATE_AMENDMENT_CODE])</f>
        <v>TPL_01A</v>
      </c>
    </row>
    <row r="438" spans="1:18" x14ac:dyDescent="0.35">
      <c r="A438" s="2" t="s">
        <v>3071</v>
      </c>
      <c r="B438" s="21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2" t="s">
        <v>2288</v>
      </c>
      <c r="G438" t="s">
        <v>1458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1" t="str">
        <f>"item_"&amp;CONTROL[[#This Row],[VEHIDCODE]]</f>
        <v>item_electric_GEC_Alsthom_BB_26000</v>
      </c>
      <c r="O438" s="21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  <c r="R438" t="str" cm="1">
        <f t="array" ref="R438">_xlfn.XLOOKUP(CONTROL[[#This Row],[VEHIDCODE]],GRAPHICS_PROPERTIES[VEHIDCODE],GRAPHICS_PROPERTIES[TEMPLATE_ID]&amp;GRAPHICS_PROPERTIES[TEMPLATE_AMENDMENT_CODE])</f>
        <v>TPL_01A</v>
      </c>
    </row>
    <row r="439" spans="1:18" x14ac:dyDescent="0.35">
      <c r="A439" s="2" t="s">
        <v>3072</v>
      </c>
      <c r="B439" s="21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2" t="s">
        <v>2550</v>
      </c>
      <c r="G439" t="s">
        <v>1460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1" t="str">
        <f>"item_"&amp;CONTROL[[#This Row],[VEHIDCODE]]</f>
        <v>item_electric_Alsthom_BB_25500</v>
      </c>
      <c r="O439" s="21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  <c r="R439" t="str" cm="1">
        <f t="array" ref="R439">_xlfn.XLOOKUP(CONTROL[[#This Row],[VEHIDCODE]],GRAPHICS_PROPERTIES[VEHIDCODE],GRAPHICS_PROPERTIES[TEMPLATE_ID]&amp;GRAPHICS_PROPERTIES[TEMPLATE_AMENDMENT_CODE])</f>
        <v>TPL_01A</v>
      </c>
    </row>
    <row r="440" spans="1:18" x14ac:dyDescent="0.35">
      <c r="A440" s="2" t="s">
        <v>3073</v>
      </c>
      <c r="B440" s="21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2" t="s">
        <v>3484</v>
      </c>
      <c r="G440" t="s">
        <v>1461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1" t="str">
        <f>"item_"&amp;CONTROL[[#This Row],[VEHIDCODE]]</f>
        <v>item_electric_Siemens_Eurosprinter_ES64U4</v>
      </c>
      <c r="O440" s="21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  <c r="R440" t="str" cm="1">
        <f t="array" ref="R440">_xlfn.XLOOKUP(CONTROL[[#This Row],[VEHIDCODE]],GRAPHICS_PROPERTIES[VEHIDCODE],GRAPHICS_PROPERTIES[TEMPLATE_ID]&amp;GRAPHICS_PROPERTIES[TEMPLATE_AMENDMENT_CODE])</f>
        <v>TPL_01A</v>
      </c>
    </row>
    <row r="441" spans="1:18" x14ac:dyDescent="0.35">
      <c r="A441" s="2" t="s">
        <v>3074</v>
      </c>
      <c r="B441" s="21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2" t="s">
        <v>2289</v>
      </c>
      <c r="G441" t="s">
        <v>1462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1" t="str">
        <f>"item_"&amp;CONTROL[[#This Row],[VEHIDCODE]]</f>
        <v>item_electric_Toshiba_EH500</v>
      </c>
      <c r="O441" s="21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  <c r="R441" t="str" cm="1">
        <f t="array" ref="R441">_xlfn.XLOOKUP(CONTROL[[#This Row],[VEHIDCODE]],GRAPHICS_PROPERTIES[VEHIDCODE],GRAPHICS_PROPERTIES[TEMPLATE_ID]&amp;GRAPHICS_PROPERTIES[TEMPLATE_AMENDMENT_CODE])</f>
        <v>TPL_03D</v>
      </c>
    </row>
    <row r="442" spans="1:18" x14ac:dyDescent="0.35">
      <c r="A442" s="2" t="s">
        <v>3075</v>
      </c>
      <c r="B442" s="21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2" t="s">
        <v>2042</v>
      </c>
      <c r="G442" t="s">
        <v>1463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1" t="str">
        <f>"item_"&amp;CONTROL[[#This Row],[VEHIDCODE]]</f>
        <v>item_electric_ASEA_EMD_AEM_7</v>
      </c>
      <c r="O442" s="21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  <c r="R442" t="str" cm="1">
        <f t="array" ref="R442">_xlfn.XLOOKUP(CONTROL[[#This Row],[VEHIDCODE]],GRAPHICS_PROPERTIES[VEHIDCODE],GRAPHICS_PROPERTIES[TEMPLATE_ID]&amp;GRAPHICS_PROPERTIES[TEMPLATE_AMENDMENT_CODE])</f>
        <v>TPL_01A</v>
      </c>
    </row>
    <row r="443" spans="1:18" x14ac:dyDescent="0.35">
      <c r="A443" s="2" t="s">
        <v>3076</v>
      </c>
      <c r="B443" s="21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2" t="s">
        <v>2043</v>
      </c>
      <c r="G443" t="s">
        <v>1464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1" t="str">
        <f>"item_"&amp;CONTROL[[#This Row],[VEHIDCODE]]</f>
        <v>item_electric_Bombardier_Alstom_HHP_8</v>
      </c>
      <c r="O443" s="21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  <c r="R443" t="str" cm="1">
        <f t="array" ref="R443">_xlfn.XLOOKUP(CONTROL[[#This Row],[VEHIDCODE]],GRAPHICS_PROPERTIES[VEHIDCODE],GRAPHICS_PROPERTIES[TEMPLATE_ID]&amp;GRAPHICS_PROPERTIES[TEMPLATE_AMENDMENT_CODE])</f>
        <v>TPL_01A</v>
      </c>
    </row>
    <row r="444" spans="1:18" x14ac:dyDescent="0.35">
      <c r="A444" s="2" t="s">
        <v>3077</v>
      </c>
      <c r="B444" s="21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2" t="s">
        <v>1962</v>
      </c>
      <c r="G444" t="s">
        <v>1465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1" t="str">
        <f>"item_"&amp;CONTROL[[#This Row],[VEHIDCODE]]</f>
        <v>item_electric_Skoda_109E</v>
      </c>
      <c r="O444" s="21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  <c r="R444" t="str" cm="1">
        <f t="array" ref="R444">_xlfn.XLOOKUP(CONTROL[[#This Row],[VEHIDCODE]],GRAPHICS_PROPERTIES[VEHIDCODE],GRAPHICS_PROPERTIES[TEMPLATE_ID]&amp;GRAPHICS_PROPERTIES[TEMPLATE_AMENDMENT_CODE])</f>
        <v>TPL_01A</v>
      </c>
    </row>
    <row r="445" spans="1:18" x14ac:dyDescent="0.35">
      <c r="A445" s="2" t="s">
        <v>3078</v>
      </c>
      <c r="B445" s="21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2" t="s">
        <v>2290</v>
      </c>
      <c r="G445" t="s">
        <v>1466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1" t="str">
        <f>"item_"&amp;CONTROL[[#This Row],[VEHIDCODE]]</f>
        <v>item_electric_CAF_Macosa_252</v>
      </c>
      <c r="O445" s="21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  <c r="R445" t="str" cm="1">
        <f t="array" ref="R445">_xlfn.XLOOKUP(CONTROL[[#This Row],[VEHIDCODE]],GRAPHICS_PROPERTIES[VEHIDCODE],GRAPHICS_PROPERTIES[TEMPLATE_ID]&amp;GRAPHICS_PROPERTIES[TEMPLATE_AMENDMENT_CODE])</f>
        <v>TPL_01A</v>
      </c>
    </row>
    <row r="446" spans="1:18" x14ac:dyDescent="0.35">
      <c r="A446" s="2" t="s">
        <v>3079</v>
      </c>
      <c r="B446" s="21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2" t="s">
        <v>2628</v>
      </c>
      <c r="G446" t="s">
        <v>1467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1" t="str">
        <f>"item_"&amp;CONTROL[[#This Row],[VEHIDCODE]]</f>
        <v>item_electric_Bombardier_Traxx_F140_MS</v>
      </c>
      <c r="O446" s="21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  <c r="R446" t="str" cm="1">
        <f t="array" ref="R446">_xlfn.XLOOKUP(CONTROL[[#This Row],[VEHIDCODE]],GRAPHICS_PROPERTIES[VEHIDCODE],GRAPHICS_PROPERTIES[TEMPLATE_ID]&amp;GRAPHICS_PROPERTIES[TEMPLATE_AMENDMENT_CODE])</f>
        <v>TPL_01A</v>
      </c>
    </row>
    <row r="447" spans="1:18" x14ac:dyDescent="0.35">
      <c r="A447" s="2" t="s">
        <v>3080</v>
      </c>
      <c r="B447" s="21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2" t="s">
        <v>2291</v>
      </c>
      <c r="G447" t="s">
        <v>1468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1" t="str">
        <f>"item_"&amp;CONTROL[[#This Row],[VEHIDCODE]]</f>
        <v>item_electric_TIBB_E_550</v>
      </c>
      <c r="O447" s="21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  <c r="R447" t="str" cm="1">
        <f t="array" ref="R447">_xlfn.XLOOKUP(CONTROL[[#This Row],[VEHIDCODE]],GRAPHICS_PROPERTIES[VEHIDCODE],GRAPHICS_PROPERTIES[TEMPLATE_ID]&amp;GRAPHICS_PROPERTIES[TEMPLATE_AMENDMENT_CODE])</f>
        <v>TPL_03C</v>
      </c>
    </row>
    <row r="448" spans="1:18" x14ac:dyDescent="0.35">
      <c r="A448" s="2" t="s">
        <v>3081</v>
      </c>
      <c r="B448" s="21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2" t="s">
        <v>2292</v>
      </c>
      <c r="G448" t="s">
        <v>1469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1" t="str">
        <f>"item_"&amp;CONTROL[[#This Row],[VEHIDCODE]]</f>
        <v>item_electric_Hitachi_EF81</v>
      </c>
      <c r="O448" s="21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  <c r="R448" t="str" cm="1">
        <f t="array" ref="R448">_xlfn.XLOOKUP(CONTROL[[#This Row],[VEHIDCODE]],GRAPHICS_PROPERTIES[VEHIDCODE],GRAPHICS_PROPERTIES[TEMPLATE_ID]&amp;GRAPHICS_PROPERTIES[TEMPLATE_AMENDMENT_CODE])</f>
        <v>TPL_01A</v>
      </c>
    </row>
    <row r="449" spans="1:18" x14ac:dyDescent="0.35">
      <c r="A449" s="2" t="s">
        <v>3082</v>
      </c>
      <c r="B449" s="21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2" t="s">
        <v>2293</v>
      </c>
      <c r="G449" t="s">
        <v>1470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1" t="str">
        <f>"item_"&amp;CONTROL[[#This Row],[VEHIDCODE]]</f>
        <v>item_electric_ABB_Brush_Class_92</v>
      </c>
      <c r="O449" s="21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  <c r="R449" t="str" cm="1">
        <f t="array" ref="R449">_xlfn.XLOOKUP(CONTROL[[#This Row],[VEHIDCODE]],GRAPHICS_PROPERTIES[VEHIDCODE],GRAPHICS_PROPERTIES[TEMPLATE_ID]&amp;GRAPHICS_PROPERTIES[TEMPLATE_AMENDMENT_CODE])</f>
        <v>TPL_01A</v>
      </c>
    </row>
    <row r="450" spans="1:18" x14ac:dyDescent="0.35">
      <c r="A450" s="2" t="s">
        <v>3083</v>
      </c>
      <c r="B450" s="21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2" t="s">
        <v>2044</v>
      </c>
      <c r="G450" t="s">
        <v>1471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1" t="str">
        <f>"item_"&amp;CONTROL[[#This Row],[VEHIDCODE]]</f>
        <v>item_electric_Siemens_ACS_64</v>
      </c>
      <c r="O450" s="21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  <c r="R450" t="str" cm="1">
        <f t="array" ref="R450">_xlfn.XLOOKUP(CONTROL[[#This Row],[VEHIDCODE]],GRAPHICS_PROPERTIES[VEHIDCODE],GRAPHICS_PROPERTIES[TEMPLATE_ID]&amp;GRAPHICS_PROPERTIES[TEMPLATE_AMENDMENT_CODE])</f>
        <v>TPL_01A</v>
      </c>
    </row>
    <row r="451" spans="1:18" x14ac:dyDescent="0.35">
      <c r="A451" s="2" t="s">
        <v>3084</v>
      </c>
      <c r="B451" s="21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2" t="s">
        <v>3482</v>
      </c>
      <c r="G451" t="s">
        <v>1472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1" t="str">
        <f>"item_"&amp;CONTROL[[#This Row],[VEHIDCODE]]</f>
        <v>item_electric_Alsthom_CC_40101</v>
      </c>
      <c r="O451" s="21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  <c r="R451" t="str" cm="1">
        <f t="array" ref="R451">_xlfn.XLOOKUP(CONTROL[[#This Row],[VEHIDCODE]],GRAPHICS_PROPERTIES[VEHIDCODE],GRAPHICS_PROPERTIES[TEMPLATE_ID]&amp;GRAPHICS_PROPERTIES[TEMPLATE_AMENDMENT_CODE])</f>
        <v>TPL_01A</v>
      </c>
    </row>
    <row r="452" spans="1:18" x14ac:dyDescent="0.35">
      <c r="A452" s="2" t="s">
        <v>3085</v>
      </c>
      <c r="B452" s="21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2" t="s">
        <v>2551</v>
      </c>
      <c r="G452" t="s">
        <v>1473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1" t="str">
        <f>"item_"&amp;CONTROL[[#This Row],[VEHIDCODE]]</f>
        <v>item_electric_Alsthom_Class_13_HLE</v>
      </c>
      <c r="O452" s="21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  <c r="R452" t="str" cm="1">
        <f t="array" ref="R452">_xlfn.XLOOKUP(CONTROL[[#This Row],[VEHIDCODE]],GRAPHICS_PROPERTIES[VEHIDCODE],GRAPHICS_PROPERTIES[TEMPLATE_ID]&amp;GRAPHICS_PROPERTIES[TEMPLATE_AMENDMENT_CODE])</f>
        <v>TPL_01A</v>
      </c>
    </row>
    <row r="453" spans="1:18" x14ac:dyDescent="0.35">
      <c r="A453" s="2" t="s">
        <v>3086</v>
      </c>
      <c r="B453" s="21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2" t="s">
        <v>2294</v>
      </c>
      <c r="G453" t="s">
        <v>1481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1" t="str">
        <f>"item_"&amp;CONTROL[[#This Row],[VEHIDCODE]]</f>
        <v>item_dmu_LHB_VT_04_0_Flying_Hamburger</v>
      </c>
      <c r="O453" s="21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  <c r="R453" t="str" cm="1">
        <f t="array" ref="R453">_xlfn.XLOOKUP(CONTROL[[#This Row],[VEHIDCODE]],GRAPHICS_PROPERTIES[VEHIDCODE],GRAPHICS_PROPERTIES[TEMPLATE_ID]&amp;GRAPHICS_PROPERTIES[TEMPLATE_AMENDMENT_CODE])</f>
        <v>TPL_02A</v>
      </c>
    </row>
    <row r="454" spans="1:18" x14ac:dyDescent="0.35">
      <c r="A454" s="2" t="s">
        <v>3087</v>
      </c>
      <c r="B454" s="21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2" t="s">
        <v>2295</v>
      </c>
      <c r="G454" t="s">
        <v>1474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1" t="str">
        <f>"item_"&amp;CONTROL[[#This Row],[VEHIDCODE]]</f>
        <v>item_dmu_Harland___Wolf_Silver_City_Comet</v>
      </c>
      <c r="O454" s="21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  <c r="R454" t="str" cm="1">
        <f t="array" ref="R454">_xlfn.XLOOKUP(CONTROL[[#This Row],[VEHIDCODE]],GRAPHICS_PROPERTIES[VEHIDCODE],GRAPHICS_PROPERTIES[TEMPLATE_ID]&amp;GRAPHICS_PROPERTIES[TEMPLATE_AMENDMENT_CODE])</f>
        <v>TPL_02A</v>
      </c>
    </row>
    <row r="455" spans="1:18" x14ac:dyDescent="0.35">
      <c r="A455" s="2" t="s">
        <v>3088</v>
      </c>
      <c r="B455" s="21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2" t="s">
        <v>2296</v>
      </c>
      <c r="G455" t="s">
        <v>1475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1" t="str">
        <f>"item_"&amp;CONTROL[[#This Row],[VEHIDCODE]]</f>
        <v>item_dmu_Tatra_M131</v>
      </c>
      <c r="O455" s="21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  <c r="R455" t="str" cm="1">
        <f t="array" ref="R455">_xlfn.XLOOKUP(CONTROL[[#This Row],[VEHIDCODE]],GRAPHICS_PROPERTIES[VEHIDCODE],GRAPHICS_PROPERTIES[TEMPLATE_ID]&amp;GRAPHICS_PROPERTIES[TEMPLATE_AMENDMENT_CODE])</f>
        <v>TPL_02A</v>
      </c>
    </row>
    <row r="456" spans="1:18" x14ac:dyDescent="0.35">
      <c r="A456" s="2" t="s">
        <v>3089</v>
      </c>
      <c r="B456" s="21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2" t="s">
        <v>2297</v>
      </c>
      <c r="G456" t="s">
        <v>1476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1" t="str">
        <f>"item_"&amp;CONTROL[[#This Row],[VEHIDCODE]]</f>
        <v>item_dmu_MAN_VT_08_5</v>
      </c>
      <c r="O456" s="21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  <c r="R456" t="str" cm="1">
        <f t="array" ref="R456">_xlfn.XLOOKUP(CONTROL[[#This Row],[VEHIDCODE]],GRAPHICS_PROPERTIES[VEHIDCODE],GRAPHICS_PROPERTIES[TEMPLATE_ID]&amp;GRAPHICS_PROPERTIES[TEMPLATE_AMENDMENT_CODE])</f>
        <v>TPL_02A</v>
      </c>
    </row>
    <row r="457" spans="1:18" x14ac:dyDescent="0.35">
      <c r="A457" s="2" t="s">
        <v>3090</v>
      </c>
      <c r="B457" s="21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2" t="s">
        <v>526</v>
      </c>
      <c r="G457" t="s">
        <v>1477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1" t="str">
        <f>"item_"&amp;CONTROL[[#This Row],[VEHIDCODE]]</f>
        <v>item_dmu_South_Australian_Railways_400_Redhen</v>
      </c>
      <c r="O457" s="21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  <c r="R457" t="str" cm="1">
        <f t="array" ref="R457">_xlfn.XLOOKUP(CONTROL[[#This Row],[VEHIDCODE]],GRAPHICS_PROPERTIES[VEHIDCODE],GRAPHICS_PROPERTIES[TEMPLATE_ID]&amp;GRAPHICS_PROPERTIES[TEMPLATE_AMENDMENT_CODE])</f>
        <v>TPL_02A</v>
      </c>
    </row>
    <row r="458" spans="1:18" x14ac:dyDescent="0.35">
      <c r="A458" s="2" t="s">
        <v>3091</v>
      </c>
      <c r="B458" s="21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2" t="s">
        <v>3533</v>
      </c>
      <c r="G458" t="s">
        <v>1478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1" t="str">
        <f>"item_"&amp;CONTROL[[#This Row],[VEHIDCODE]]</f>
        <v>item_dmu_MAN_LHB_VT11_5___DB_601_TEE</v>
      </c>
      <c r="O458" s="21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  <c r="R458" t="str" cm="1">
        <f t="array" ref="R458">_xlfn.XLOOKUP(CONTROL[[#This Row],[VEHIDCODE]],GRAPHICS_PROPERTIES[VEHIDCODE],GRAPHICS_PROPERTIES[TEMPLATE_ID]&amp;GRAPHICS_PROPERTIES[TEMPLATE_AMENDMENT_CODE])</f>
        <v>TPL_02A</v>
      </c>
    </row>
    <row r="459" spans="1:18" x14ac:dyDescent="0.35">
      <c r="A459" s="2" t="s">
        <v>3092</v>
      </c>
      <c r="B459" s="21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2" t="s">
        <v>2298</v>
      </c>
      <c r="G459" t="s">
        <v>1479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1" t="str">
        <f>"item_"&amp;CONTROL[[#This Row],[VEHIDCODE]]</f>
        <v>item_dmu_Werkspoor_Plan_U_DE_III</v>
      </c>
      <c r="O459" s="21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  <c r="R459" t="str" cm="1">
        <f t="array" ref="R459">_xlfn.XLOOKUP(CONTROL[[#This Row],[VEHIDCODE]],GRAPHICS_PROPERTIES[VEHIDCODE],GRAPHICS_PROPERTIES[TEMPLATE_ID]&amp;GRAPHICS_PROPERTIES[TEMPLATE_AMENDMENT_CODE])</f>
        <v>TPL_02A</v>
      </c>
    </row>
    <row r="460" spans="1:18" x14ac:dyDescent="0.35">
      <c r="A460" s="2" t="s">
        <v>3093</v>
      </c>
      <c r="B460" s="21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2" t="s">
        <v>2299</v>
      </c>
      <c r="G460" t="s">
        <v>1480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1" t="str">
        <f>"item_"&amp;CONTROL[[#This Row],[VEHIDCODE]]</f>
        <v>item_dmu_UAC_Turbo_Train</v>
      </c>
      <c r="O460" s="21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  <c r="R460" t="str" cm="1">
        <f t="array" ref="R460">_xlfn.XLOOKUP(CONTROL[[#This Row],[VEHIDCODE]],GRAPHICS_PROPERTIES[VEHIDCODE],GRAPHICS_PROPERTIES[TEMPLATE_ID]&amp;GRAPHICS_PROPERTIES[TEMPLATE_AMENDMENT_CODE])</f>
        <v>TPL_02A</v>
      </c>
    </row>
    <row r="461" spans="1:18" x14ac:dyDescent="0.35">
      <c r="A461" s="2" t="s">
        <v>3094</v>
      </c>
      <c r="B461" s="21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2" t="s">
        <v>3526</v>
      </c>
      <c r="G461" t="s">
        <v>3525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1" t="str">
        <f>"item_"&amp;CONTROL[[#This Row],[VEHIDCODE]]</f>
        <v>item_dmu_JZ_811</v>
      </c>
      <c r="O461" s="21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  <c r="R461" t="str" cm="1">
        <f t="array" ref="R461">_xlfn.XLOOKUP(CONTROL[[#This Row],[VEHIDCODE]],GRAPHICS_PROPERTIES[VEHIDCODE],GRAPHICS_PROPERTIES[TEMPLATE_ID]&amp;GRAPHICS_PROPERTIES[TEMPLATE_AMENDMENT_CODE])</f>
        <v>TPL_02A</v>
      </c>
    </row>
    <row r="462" spans="1:18" x14ac:dyDescent="0.35">
      <c r="A462" s="2" t="s">
        <v>3095</v>
      </c>
      <c r="B462" s="21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2" t="s">
        <v>2300</v>
      </c>
      <c r="G462" t="s">
        <v>1482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1" t="str">
        <f>"item_"&amp;CONTROL[[#This Row],[VEHIDCODE]]</f>
        <v>item_dmu_BREL_43_IC125</v>
      </c>
      <c r="O462" s="21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  <c r="R462" t="str" cm="1">
        <f t="array" ref="R462">_xlfn.XLOOKUP(CONTROL[[#This Row],[VEHIDCODE]],GRAPHICS_PROPERTIES[VEHIDCODE],GRAPHICS_PROPERTIES[TEMPLATE_ID]&amp;GRAPHICS_PROPERTIES[TEMPLATE_AMENDMENT_CODE])</f>
        <v>TPL_02A</v>
      </c>
    </row>
    <row r="463" spans="1:18" x14ac:dyDescent="0.35">
      <c r="A463" s="2" t="s">
        <v>3096</v>
      </c>
      <c r="B463" s="21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2" t="s">
        <v>2301</v>
      </c>
      <c r="G463" t="s">
        <v>1483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1" t="str">
        <f>"item_"&amp;CONTROL[[#This Row],[VEHIDCODE]]</f>
        <v>item_dmu_Bombardier_M6109</v>
      </c>
      <c r="O463" s="21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  <c r="R463" t="str" cm="1">
        <f t="array" ref="R463">_xlfn.XLOOKUP(CONTROL[[#This Row],[VEHIDCODE]],GRAPHICS_PROPERTIES[VEHIDCODE],GRAPHICS_PROPERTIES[TEMPLATE_ID]&amp;GRAPHICS_PROPERTIES[TEMPLATE_AMENDMENT_CODE])</f>
        <v>TPL_02A</v>
      </c>
    </row>
    <row r="464" spans="1:18" x14ac:dyDescent="0.35">
      <c r="A464" s="2" t="s">
        <v>3097</v>
      </c>
      <c r="B464" s="21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2" t="s">
        <v>2302</v>
      </c>
      <c r="G464" t="s">
        <v>1484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1" t="str">
        <f>"item_"&amp;CONTROL[[#This Row],[VEHIDCODE]]</f>
        <v>item_dmu_ABB_IC3_Y2</v>
      </c>
      <c r="O464" s="21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  <c r="R464" t="str" cm="1">
        <f t="array" ref="R464">_xlfn.XLOOKUP(CONTROL[[#This Row],[VEHIDCODE]],GRAPHICS_PROPERTIES[VEHIDCODE],GRAPHICS_PROPERTIES[TEMPLATE_ID]&amp;GRAPHICS_PROPERTIES[TEMPLATE_AMENDMENT_CODE])</f>
        <v>TPL_02A</v>
      </c>
    </row>
    <row r="465" spans="1:18" x14ac:dyDescent="0.35">
      <c r="A465" s="2" t="s">
        <v>3098</v>
      </c>
      <c r="B465" s="21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2" t="s">
        <v>2303</v>
      </c>
      <c r="G465" t="s">
        <v>1485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1" t="str">
        <f>"item_"&amp;CONTROL[[#This Row],[VEHIDCODE]]</f>
        <v>item_dmu_CAF_594_TRD</v>
      </c>
      <c r="O465" s="21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  <c r="R465" t="str" cm="1">
        <f t="array" ref="R465">_xlfn.XLOOKUP(CONTROL[[#This Row],[VEHIDCODE]],GRAPHICS_PROPERTIES[VEHIDCODE],GRAPHICS_PROPERTIES[TEMPLATE_ID]&amp;GRAPHICS_PROPERTIES[TEMPLATE_AMENDMENT_CODE])</f>
        <v>TPL_02A</v>
      </c>
    </row>
    <row r="466" spans="1:18" x14ac:dyDescent="0.35">
      <c r="A466" s="2" t="s">
        <v>3099</v>
      </c>
      <c r="B466" s="21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2" t="s">
        <v>2304</v>
      </c>
      <c r="G466" t="s">
        <v>1486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1" t="str">
        <f>"item_"&amp;CONTROL[[#This Row],[VEHIDCODE]]</f>
        <v>item_dmu_Adtranz_Class_168_Clubman</v>
      </c>
      <c r="O466" s="21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  <c r="R466" t="str" cm="1">
        <f t="array" ref="R466">_xlfn.XLOOKUP(CONTROL[[#This Row],[VEHIDCODE]],GRAPHICS_PROPERTIES[VEHIDCODE],GRAPHICS_PROPERTIES[TEMPLATE_ID]&amp;GRAPHICS_PROPERTIES[TEMPLATE_AMENDMENT_CODE])</f>
        <v>TPL_02A</v>
      </c>
    </row>
    <row r="467" spans="1:18" x14ac:dyDescent="0.35">
      <c r="A467" s="2" t="s">
        <v>3100</v>
      </c>
      <c r="B467" s="21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2" t="s">
        <v>2305</v>
      </c>
      <c r="G467" t="s">
        <v>1487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1" t="str">
        <f>"item_"&amp;CONTROL[[#This Row],[VEHIDCODE]]</f>
        <v>item_dmu_Adtranz_Class_612_Regio_Swinger</v>
      </c>
      <c r="O467" s="21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  <c r="R467" t="str" cm="1">
        <f t="array" ref="R467">_xlfn.XLOOKUP(CONTROL[[#This Row],[VEHIDCODE]],GRAPHICS_PROPERTIES[VEHIDCODE],GRAPHICS_PROPERTIES[TEMPLATE_ID]&amp;GRAPHICS_PROPERTIES[TEMPLATE_AMENDMENT_CODE])</f>
        <v>TPL_02A</v>
      </c>
    </row>
    <row r="468" spans="1:18" x14ac:dyDescent="0.35">
      <c r="A468" s="2" t="s">
        <v>3101</v>
      </c>
      <c r="B468" s="21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2" t="s">
        <v>2032</v>
      </c>
      <c r="G468" t="s">
        <v>1488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1" t="str">
        <f>"item_"&amp;CONTROL[[#This Row],[VEHIDCODE]]</f>
        <v>item_dmu_Siemens_Desiro</v>
      </c>
      <c r="O468" s="21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  <c r="R468" t="str" cm="1">
        <f t="array" ref="R468">_xlfn.XLOOKUP(CONTROL[[#This Row],[VEHIDCODE]],GRAPHICS_PROPERTIES[VEHIDCODE],GRAPHICS_PROPERTIES[TEMPLATE_ID]&amp;GRAPHICS_PROPERTIES[TEMPLATE_AMENDMENT_CODE])</f>
        <v>TPL_02A</v>
      </c>
    </row>
    <row r="469" spans="1:18" x14ac:dyDescent="0.35">
      <c r="A469" s="2" t="s">
        <v>3102</v>
      </c>
      <c r="B469" s="21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2" t="s">
        <v>2306</v>
      </c>
      <c r="G469" t="s">
        <v>1489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1" t="str">
        <f>"item_"&amp;CONTROL[[#This Row],[VEHIDCODE]]</f>
        <v>item_dmu_Alstom_Coradia_LINT</v>
      </c>
      <c r="O469" s="21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  <c r="R469" t="str" cm="1">
        <f t="array" ref="R469">_xlfn.XLOOKUP(CONTROL[[#This Row],[VEHIDCODE]],GRAPHICS_PROPERTIES[VEHIDCODE],GRAPHICS_PROPERTIES[TEMPLATE_ID]&amp;GRAPHICS_PROPERTIES[TEMPLATE_AMENDMENT_CODE])</f>
        <v>TPL_02A</v>
      </c>
    </row>
    <row r="470" spans="1:18" x14ac:dyDescent="0.35">
      <c r="A470" s="2" t="s">
        <v>3103</v>
      </c>
      <c r="B470" s="21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2" t="s">
        <v>2307</v>
      </c>
      <c r="G470" t="s">
        <v>1490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1" t="str">
        <f>"item_"&amp;CONTROL[[#This Row],[VEHIDCODE]]</f>
        <v>item_dmu_Bombardier_Talent_NSB_BM_93</v>
      </c>
      <c r="O470" s="21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  <c r="R470" t="str" cm="1">
        <f t="array" ref="R470">_xlfn.XLOOKUP(CONTROL[[#This Row],[VEHIDCODE]],GRAPHICS_PROPERTIES[VEHIDCODE],GRAPHICS_PROPERTIES[TEMPLATE_ID]&amp;GRAPHICS_PROPERTIES[TEMPLATE_AMENDMENT_CODE])</f>
        <v>TPL_02A</v>
      </c>
    </row>
    <row r="471" spans="1:18" x14ac:dyDescent="0.35">
      <c r="A471" s="2" t="s">
        <v>3104</v>
      </c>
      <c r="B471" s="21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2" t="s">
        <v>2308</v>
      </c>
      <c r="G471" t="s">
        <v>1491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1" t="str">
        <f>"item_"&amp;CONTROL[[#This Row],[VEHIDCODE]]</f>
        <v>item_dmu_UGL_WD_Prospector</v>
      </c>
      <c r="O471" s="21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  <c r="R471" t="str" cm="1">
        <f t="array" ref="R471">_xlfn.XLOOKUP(CONTROL[[#This Row],[VEHIDCODE]],GRAPHICS_PROPERTIES[VEHIDCODE],GRAPHICS_PROPERTIES[TEMPLATE_ID]&amp;GRAPHICS_PROPERTIES[TEMPLATE_AMENDMENT_CODE])</f>
        <v>TPL_02A</v>
      </c>
    </row>
    <row r="472" spans="1:18" x14ac:dyDescent="0.35">
      <c r="A472" s="2" t="s">
        <v>3105</v>
      </c>
      <c r="B472" s="21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2" t="s">
        <v>2309</v>
      </c>
      <c r="G472" t="s">
        <v>1492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1" t="str">
        <f>"item_"&amp;CONTROL[[#This Row],[VEHIDCODE]]</f>
        <v>item_dmu_UGL_Hunter_Railcar</v>
      </c>
      <c r="O472" s="21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  <c r="R472" t="str" cm="1">
        <f t="array" ref="R472">_xlfn.XLOOKUP(CONTROL[[#This Row],[VEHIDCODE]],GRAPHICS_PROPERTIES[VEHIDCODE],GRAPHICS_PROPERTIES[TEMPLATE_ID]&amp;GRAPHICS_PROPERTIES[TEMPLATE_AMENDMENT_CODE])</f>
        <v>TPL_02A</v>
      </c>
    </row>
    <row r="473" spans="1:18" x14ac:dyDescent="0.35">
      <c r="A473" s="2" t="s">
        <v>3106</v>
      </c>
      <c r="B473" s="21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2" t="s">
        <v>2033</v>
      </c>
      <c r="G473" t="s">
        <v>1493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1" t="str">
        <f>"item_"&amp;CONTROL[[#This Row],[VEHIDCODE]]</f>
        <v>item_dmu_MVM_RA2</v>
      </c>
      <c r="O473" s="21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  <c r="R473" t="str" cm="1">
        <f t="array" ref="R473">_xlfn.XLOOKUP(CONTROL[[#This Row],[VEHIDCODE]],GRAPHICS_PROPERTIES[VEHIDCODE],GRAPHICS_PROPERTIES[TEMPLATE_ID]&amp;GRAPHICS_PROPERTIES[TEMPLATE_AMENDMENT_CODE])</f>
        <v>TPL_02A</v>
      </c>
    </row>
    <row r="474" spans="1:18" x14ac:dyDescent="0.35">
      <c r="A474" s="2" t="s">
        <v>3107</v>
      </c>
      <c r="B474" s="21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2" t="s">
        <v>2310</v>
      </c>
      <c r="G474" t="s">
        <v>1494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1" t="str">
        <f>"item_"&amp;CONTROL[[#This Row],[VEHIDCODE]]</f>
        <v>item_dmu_AnsaldoBreda_IC4</v>
      </c>
      <c r="O474" s="21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  <c r="R474" t="str" cm="1">
        <f t="array" ref="R474">_xlfn.XLOOKUP(CONTROL[[#This Row],[VEHIDCODE]],GRAPHICS_PROPERTIES[VEHIDCODE],GRAPHICS_PROPERTIES[TEMPLATE_ID]&amp;GRAPHICS_PROPERTIES[TEMPLATE_AMENDMENT_CODE])</f>
        <v>TPL_02A</v>
      </c>
    </row>
    <row r="475" spans="1:18" x14ac:dyDescent="0.35">
      <c r="A475" s="2" t="s">
        <v>3108</v>
      </c>
      <c r="B475" s="21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2" t="s">
        <v>2311</v>
      </c>
      <c r="G475" t="s">
        <v>1495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1" t="str">
        <f>"item_"&amp;CONTROL[[#This Row],[VEHIDCODE]]</f>
        <v>item_dmu_TZV_Gredelj_7022</v>
      </c>
      <c r="O475" s="21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  <c r="R475" t="str" cm="1">
        <f t="array" ref="R475">_xlfn.XLOOKUP(CONTROL[[#This Row],[VEHIDCODE]],GRAPHICS_PROPERTIES[VEHIDCODE],GRAPHICS_PROPERTIES[TEMPLATE_ID]&amp;GRAPHICS_PROPERTIES[TEMPLATE_AMENDMENT_CODE])</f>
        <v>TPL_02A</v>
      </c>
    </row>
    <row r="476" spans="1:18" x14ac:dyDescent="0.35">
      <c r="A476" s="2" t="s">
        <v>3109</v>
      </c>
      <c r="B476" s="21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2" t="s">
        <v>2312</v>
      </c>
      <c r="G476" t="s">
        <v>1496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1" t="str">
        <f>"item_"&amp;CONTROL[[#This Row],[VEHIDCODE]]</f>
        <v>item_dmu_Fiat_TCDD_MT_5500</v>
      </c>
      <c r="O476" s="21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  <c r="R476" t="str" cm="1">
        <f t="array" ref="R476">_xlfn.XLOOKUP(CONTROL[[#This Row],[VEHIDCODE]],GRAPHICS_PROPERTIES[VEHIDCODE],GRAPHICS_PROPERTIES[TEMPLATE_ID]&amp;GRAPHICS_PROPERTIES[TEMPLATE_AMENDMENT_CODE])</f>
        <v>TPL_02A</v>
      </c>
    </row>
    <row r="477" spans="1:18" x14ac:dyDescent="0.35">
      <c r="A477" s="2" t="s">
        <v>3110</v>
      </c>
      <c r="B477" s="21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2" t="s">
        <v>2314</v>
      </c>
      <c r="G477" t="s">
        <v>2313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1" t="str">
        <f>"item_"&amp;CONTROL[[#This Row],[VEHIDCODE]]</f>
        <v>item_dmu_Fuji_KiHa_181</v>
      </c>
      <c r="O477" s="21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  <c r="R477" t="str" cm="1">
        <f t="array" ref="R477">_xlfn.XLOOKUP(CONTROL[[#This Row],[VEHIDCODE]],GRAPHICS_PROPERTIES[VEHIDCODE],GRAPHICS_PROPERTIES[TEMPLATE_ID]&amp;GRAPHICS_PROPERTIES[TEMPLATE_AMENDMENT_CODE])</f>
        <v>TPL_02A</v>
      </c>
    </row>
    <row r="478" spans="1:18" x14ac:dyDescent="0.35">
      <c r="A478" s="2" t="s">
        <v>3111</v>
      </c>
      <c r="B478" s="21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2" t="s">
        <v>2315</v>
      </c>
      <c r="G478" t="s">
        <v>1497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1" t="str">
        <f>"item_"&amp;CONTROL[[#This Row],[VEHIDCODE]]</f>
        <v>item_dmu_Vagonka_Studenka_814</v>
      </c>
      <c r="O478" s="21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  <c r="R478" t="str" cm="1">
        <f t="array" ref="R478">_xlfn.XLOOKUP(CONTROL[[#This Row],[VEHIDCODE]],GRAPHICS_PROPERTIES[VEHIDCODE],GRAPHICS_PROPERTIES[TEMPLATE_ID]&amp;GRAPHICS_PROPERTIES[TEMPLATE_AMENDMENT_CODE])</f>
        <v>TPL_02A</v>
      </c>
    </row>
    <row r="479" spans="1:18" x14ac:dyDescent="0.35">
      <c r="A479" s="2" t="s">
        <v>3112</v>
      </c>
      <c r="B479" s="21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2" t="s">
        <v>381</v>
      </c>
      <c r="G479" t="s">
        <v>1498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1" t="str">
        <f>"item_"&amp;CONTROL[[#This Row],[VEHIDCODE]]</f>
        <v>item_dmu_BR_150_0_Sprinter</v>
      </c>
      <c r="O479" s="21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  <c r="R479" t="str" cm="1">
        <f t="array" ref="R479">_xlfn.XLOOKUP(CONTROL[[#This Row],[VEHIDCODE]],GRAPHICS_PROPERTIES[VEHIDCODE],GRAPHICS_PROPERTIES[TEMPLATE_ID]&amp;GRAPHICS_PROPERTIES[TEMPLATE_AMENDMENT_CODE])</f>
        <v>TPL_02A</v>
      </c>
    </row>
    <row r="480" spans="1:18" x14ac:dyDescent="0.35">
      <c r="A480" s="2" t="s">
        <v>3113</v>
      </c>
      <c r="B480" s="21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2" t="s">
        <v>2316</v>
      </c>
      <c r="G480" t="s">
        <v>1499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1" t="str">
        <f>"item_"&amp;CONTROL[[#This Row],[VEHIDCODE]]</f>
        <v>item_dmu_BREL_141_Pacer</v>
      </c>
      <c r="O480" s="21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  <c r="R480" t="str" cm="1">
        <f t="array" ref="R480">_xlfn.XLOOKUP(CONTROL[[#This Row],[VEHIDCODE]],GRAPHICS_PROPERTIES[VEHIDCODE],GRAPHICS_PROPERTIES[TEMPLATE_ID]&amp;GRAPHICS_PROPERTIES[TEMPLATE_AMENDMENT_CODE])</f>
        <v>TPL_02A</v>
      </c>
    </row>
    <row r="481" spans="1:18" x14ac:dyDescent="0.35">
      <c r="A481" s="2" t="s">
        <v>3114</v>
      </c>
      <c r="B481" s="21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2" t="s">
        <v>2317</v>
      </c>
      <c r="G481" t="s">
        <v>1500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1" t="str">
        <f>"item_"&amp;CONTROL[[#This Row],[VEHIDCODE]]</f>
        <v>item_dmu_ABB_IC3__Israel_</v>
      </c>
      <c r="O481" s="21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1</v>
      </c>
      <c r="R481" t="str" cm="1">
        <f t="array" ref="R481">_xlfn.XLOOKUP(CONTROL[[#This Row],[VEHIDCODE]],GRAPHICS_PROPERTIES[VEHIDCODE],GRAPHICS_PROPERTIES[TEMPLATE_ID]&amp;GRAPHICS_PROPERTIES[TEMPLATE_AMENDMENT_CODE])</f>
        <v>TPL_02A</v>
      </c>
    </row>
    <row r="482" spans="1:18" x14ac:dyDescent="0.35">
      <c r="A482" s="2" t="s">
        <v>3115</v>
      </c>
      <c r="B482" s="21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2" t="s">
        <v>2318</v>
      </c>
      <c r="G482" t="s">
        <v>1501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1" t="str">
        <f>"item_"&amp;CONTROL[[#This Row],[VEHIDCODE]]</f>
        <v>item_dmu_Comeng_3100</v>
      </c>
      <c r="O482" s="21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  <c r="R482" t="str" cm="1">
        <f t="array" ref="R482">_xlfn.XLOOKUP(CONTROL[[#This Row],[VEHIDCODE]],GRAPHICS_PROPERTIES[VEHIDCODE],GRAPHICS_PROPERTIES[TEMPLATE_ID]&amp;GRAPHICS_PROPERTIES[TEMPLATE_AMENDMENT_CODE])</f>
        <v>TPL_02A</v>
      </c>
    </row>
    <row r="483" spans="1:18" x14ac:dyDescent="0.35">
      <c r="A483" s="2" t="s">
        <v>3116</v>
      </c>
      <c r="B483" s="21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2" t="s">
        <v>2319</v>
      </c>
      <c r="G483" t="s">
        <v>1502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1" t="str">
        <f>"item_"&amp;CONTROL[[#This Row],[VEHIDCODE]]</f>
        <v>item_dmu_ABB_Xplorer</v>
      </c>
      <c r="O483" s="21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  <c r="R483" t="str" cm="1">
        <f t="array" ref="R483">_xlfn.XLOOKUP(CONTROL[[#This Row],[VEHIDCODE]],GRAPHICS_PROPERTIES[VEHIDCODE],GRAPHICS_PROPERTIES[TEMPLATE_ID]&amp;GRAPHICS_PROPERTIES[TEMPLATE_AMENDMENT_CODE])</f>
        <v>TPL_02A</v>
      </c>
    </row>
    <row r="484" spans="1:18" x14ac:dyDescent="0.35">
      <c r="A484" s="2" t="s">
        <v>3117</v>
      </c>
      <c r="B484" s="21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2" t="s">
        <v>2320</v>
      </c>
      <c r="G484" t="s">
        <v>1503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1" t="str">
        <f>"item_"&amp;CONTROL[[#This Row],[VEHIDCODE]]</f>
        <v>item_dmu_Niigata_Transys_KiHa_189</v>
      </c>
      <c r="O484" s="21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  <c r="R484" t="str" cm="1">
        <f t="array" ref="R484">_xlfn.XLOOKUP(CONTROL[[#This Row],[VEHIDCODE]],GRAPHICS_PROPERTIES[VEHIDCODE],GRAPHICS_PROPERTIES[TEMPLATE_ID]&amp;GRAPHICS_PROPERTIES[TEMPLATE_AMENDMENT_CODE])</f>
        <v>TPL_02A</v>
      </c>
    </row>
    <row r="485" spans="1:18" x14ac:dyDescent="0.35">
      <c r="A485" s="2" t="s">
        <v>3118</v>
      </c>
      <c r="B485" s="21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2" t="s">
        <v>2321</v>
      </c>
      <c r="G485" t="s">
        <v>1504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1" t="str">
        <f>"item_"&amp;CONTROL[[#This Row],[VEHIDCODE]]</f>
        <v>item_dmu_Integral_Coach_Factory_S11</v>
      </c>
      <c r="O485" s="21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  <c r="R485" t="str" cm="1">
        <f t="array" ref="R485">_xlfn.XLOOKUP(CONTROL[[#This Row],[VEHIDCODE]],GRAPHICS_PROPERTIES[VEHIDCODE],GRAPHICS_PROPERTIES[TEMPLATE_ID]&amp;GRAPHICS_PROPERTIES[TEMPLATE_AMENDMENT_CODE])</f>
        <v>TPL_02A</v>
      </c>
    </row>
    <row r="486" spans="1:18" x14ac:dyDescent="0.35">
      <c r="A486" s="2" t="s">
        <v>3119</v>
      </c>
      <c r="B486" s="21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2" t="s">
        <v>2322</v>
      </c>
      <c r="G486" t="s">
        <v>1505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1" t="str">
        <f>"item_"&amp;CONTROL[[#This Row],[VEHIDCODE]]</f>
        <v>item_dmu_ZOS_Vrutky_861</v>
      </c>
      <c r="O486" s="21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  <c r="R486" t="str" cm="1">
        <f t="array" ref="R486">_xlfn.XLOOKUP(CONTROL[[#This Row],[VEHIDCODE]],GRAPHICS_PROPERTIES[VEHIDCODE],GRAPHICS_PROPERTIES[TEMPLATE_ID]&amp;GRAPHICS_PROPERTIES[TEMPLATE_AMENDMENT_CODE])</f>
        <v>TPL_02A</v>
      </c>
    </row>
    <row r="487" spans="1:18" x14ac:dyDescent="0.35">
      <c r="A487" s="2" t="s">
        <v>3120</v>
      </c>
      <c r="B487" s="21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2" t="s">
        <v>2323</v>
      </c>
      <c r="G487" t="s">
        <v>1506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1" t="str">
        <f>"item_"&amp;CONTROL[[#This Row],[VEHIDCODE]]</f>
        <v>item_dmu_CAF_TLD_500</v>
      </c>
      <c r="O487" s="21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  <c r="R487" t="str" cm="1">
        <f t="array" ref="R487">_xlfn.XLOOKUP(CONTROL[[#This Row],[VEHIDCODE]],GRAPHICS_PROPERTIES[VEHIDCODE],GRAPHICS_PROPERTIES[TEMPLATE_ID]&amp;GRAPHICS_PROPERTIES[TEMPLATE_AMENDMENT_CODE])</f>
        <v>TPL_02A</v>
      </c>
    </row>
    <row r="488" spans="1:18" x14ac:dyDescent="0.35">
      <c r="A488" s="2" t="s">
        <v>3121</v>
      </c>
      <c r="B488" s="21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2" t="s">
        <v>382</v>
      </c>
      <c r="G488" t="s">
        <v>1507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1" t="str">
        <f>"item_"&amp;CONTROL[[#This Row],[VEHIDCODE]]</f>
        <v>item_dmu_Camrail_ZE_500</v>
      </c>
      <c r="O488" s="21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  <c r="R488" t="str" cm="1">
        <f t="array" ref="R488">_xlfn.XLOOKUP(CONTROL[[#This Row],[VEHIDCODE]],GRAPHICS_PROPERTIES[VEHIDCODE],GRAPHICS_PROPERTIES[TEMPLATE_ID]&amp;GRAPHICS_PROPERTIES[TEMPLATE_AMENDMENT_CODE])</f>
        <v>TPL_02A</v>
      </c>
    </row>
    <row r="489" spans="1:18" x14ac:dyDescent="0.35">
      <c r="A489" s="2" t="s">
        <v>3122</v>
      </c>
      <c r="B489" s="21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2" t="s">
        <v>2324</v>
      </c>
      <c r="G489" t="s">
        <v>1508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1" t="str">
        <f>"item_"&amp;CONTROL[[#This Row],[VEHIDCODE]]</f>
        <v>item_dmu_Metro_Cammell_251_Blue_Pullman</v>
      </c>
      <c r="O489" s="21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  <c r="R489" t="str" cm="1">
        <f t="array" ref="R489">_xlfn.XLOOKUP(CONTROL[[#This Row],[VEHIDCODE]],GRAPHICS_PROPERTIES[VEHIDCODE],GRAPHICS_PROPERTIES[TEMPLATE_ID]&amp;GRAPHICS_PROPERTIES[TEMPLATE_AMENDMENT_CODE])</f>
        <v>TPL_02A</v>
      </c>
    </row>
    <row r="490" spans="1:18" x14ac:dyDescent="0.35">
      <c r="A490" s="2" t="s">
        <v>3123</v>
      </c>
      <c r="B490" s="21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2" t="s">
        <v>2325</v>
      </c>
      <c r="G490" t="s">
        <v>1509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1" t="str">
        <f>"item_"&amp;CONTROL[[#This Row],[VEHIDCODE]]</f>
        <v>item_dmu_Comeng_ADK</v>
      </c>
      <c r="O490" s="21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  <c r="R490" t="str" cm="1">
        <f t="array" ref="R490">_xlfn.XLOOKUP(CONTROL[[#This Row],[VEHIDCODE]],GRAPHICS_PROPERTIES[VEHIDCODE],GRAPHICS_PROPERTIES[TEMPLATE_ID]&amp;GRAPHICS_PROPERTIES[TEMPLATE_AMENDMENT_CODE])</f>
        <v>TPL_02A</v>
      </c>
    </row>
    <row r="491" spans="1:18" x14ac:dyDescent="0.35">
      <c r="A491" s="2" t="s">
        <v>3124</v>
      </c>
      <c r="B491" s="21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2" t="s">
        <v>2326</v>
      </c>
      <c r="G491" t="s">
        <v>1510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1" t="str">
        <f>"item_"&amp;CONTROL[[#This Row],[VEHIDCODE]]</f>
        <v>item_dmu_ANF_X_4630</v>
      </c>
      <c r="O491" s="21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  <c r="R491" t="str" cm="1">
        <f t="array" ref="R491">_xlfn.XLOOKUP(CONTROL[[#This Row],[VEHIDCODE]],GRAPHICS_PROPERTIES[VEHIDCODE],GRAPHICS_PROPERTIES[TEMPLATE_ID]&amp;GRAPHICS_PROPERTIES[TEMPLATE_AMENDMENT_CODE])</f>
        <v>TPL_02A</v>
      </c>
    </row>
    <row r="492" spans="1:18" x14ac:dyDescent="0.35">
      <c r="A492" s="2" t="s">
        <v>3125</v>
      </c>
      <c r="B492" s="21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2" t="s">
        <v>2327</v>
      </c>
      <c r="G492" t="s">
        <v>1511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1" t="str">
        <f>"item_"&amp;CONTROL[[#This Row],[VEHIDCODE]]</f>
        <v>item_dmu_ANF_T_2000</v>
      </c>
      <c r="O492" s="21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  <c r="R492" t="str" cm="1">
        <f t="array" ref="R492">_xlfn.XLOOKUP(CONTROL[[#This Row],[VEHIDCODE]],GRAPHICS_PROPERTIES[VEHIDCODE],GRAPHICS_PROPERTIES[TEMPLATE_ID]&amp;GRAPHICS_PROPERTIES[TEMPLATE_AMENDMENT_CODE])</f>
        <v>TPL_02A</v>
      </c>
    </row>
    <row r="493" spans="1:18" x14ac:dyDescent="0.35">
      <c r="A493" s="2" t="s">
        <v>3126</v>
      </c>
      <c r="B493" s="21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2" t="s">
        <v>2328</v>
      </c>
      <c r="G493" t="s">
        <v>1512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1" t="str">
        <f>"item_"&amp;CONTROL[[#This Row],[VEHIDCODE]]</f>
        <v>item_dmu_Duwag_Wadloper</v>
      </c>
      <c r="O493" s="21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  <c r="R493" t="str" cm="1">
        <f t="array" ref="R493">_xlfn.XLOOKUP(CONTROL[[#This Row],[VEHIDCODE]],GRAPHICS_PROPERTIES[VEHIDCODE],GRAPHICS_PROPERTIES[TEMPLATE_ID]&amp;GRAPHICS_PROPERTIES[TEMPLATE_AMENDMENT_CODE])</f>
        <v>TPL_02A</v>
      </c>
    </row>
    <row r="494" spans="1:18" x14ac:dyDescent="0.35">
      <c r="A494" s="2" t="s">
        <v>3127</v>
      </c>
      <c r="B494" s="21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2" t="s">
        <v>2329</v>
      </c>
      <c r="G494" t="s">
        <v>1513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1" t="str">
        <f>"item_"&amp;CONTROL[[#This Row],[VEHIDCODE]]</f>
        <v>item_dmu_Duwag_628_2</v>
      </c>
      <c r="O494" s="21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  <c r="R494" t="str" cm="1">
        <f t="array" ref="R494">_xlfn.XLOOKUP(CONTROL[[#This Row],[VEHIDCODE]],GRAPHICS_PROPERTIES[VEHIDCODE],GRAPHICS_PROPERTIES[TEMPLATE_ID]&amp;GRAPHICS_PROPERTIES[TEMPLATE_AMENDMENT_CODE])</f>
        <v>TPL_02A</v>
      </c>
    </row>
    <row r="495" spans="1:18" x14ac:dyDescent="0.35">
      <c r="A495" s="2" t="s">
        <v>3128</v>
      </c>
      <c r="B495" s="21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2" t="s">
        <v>2330</v>
      </c>
      <c r="G495" t="s">
        <v>1305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1" t="str">
        <f>"item_"&amp;CONTROL[[#This Row],[VEHIDCODE]]</f>
        <v>item_dmu_CAF_ZZ_2200_Autorail</v>
      </c>
      <c r="O495" s="21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  <c r="R495" t="str" cm="1">
        <f t="array" ref="R495">_xlfn.XLOOKUP(CONTROL[[#This Row],[VEHIDCODE]],GRAPHICS_PROPERTIES[VEHIDCODE],GRAPHICS_PROPERTIES[TEMPLATE_ID]&amp;GRAPHICS_PROPERTIES[TEMPLATE_AMENDMENT_CODE])</f>
        <v>TPL_02A</v>
      </c>
    </row>
    <row r="496" spans="1:18" x14ac:dyDescent="0.35">
      <c r="A496" s="2" t="s">
        <v>3129</v>
      </c>
      <c r="B496" s="21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2" t="s">
        <v>2331</v>
      </c>
      <c r="G496" t="s">
        <v>1514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1" t="str">
        <f>"item_"&amp;CONTROL[[#This Row],[VEHIDCODE]]</f>
        <v>item_dmu_CFD_AMT_800</v>
      </c>
      <c r="O496" s="21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  <c r="R496" t="str" cm="1">
        <f t="array" ref="R496">_xlfn.XLOOKUP(CONTROL[[#This Row],[VEHIDCODE]],GRAPHICS_PROPERTIES[VEHIDCODE],GRAPHICS_PROPERTIES[TEMPLATE_ID]&amp;GRAPHICS_PROPERTIES[TEMPLATE_AMENDMENT_CODE])</f>
        <v>TPL_02A</v>
      </c>
    </row>
    <row r="497" spans="1:18" x14ac:dyDescent="0.35">
      <c r="A497" s="2" t="s">
        <v>3130</v>
      </c>
      <c r="B497" s="21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2" t="s">
        <v>2332</v>
      </c>
      <c r="G497" t="s">
        <v>1515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1" t="str">
        <f>"item_"&amp;CONTROL[[#This Row],[VEHIDCODE]]</f>
        <v>item_dmu_CNR_Tangshan_Ghana_DEMU</v>
      </c>
      <c r="O497" s="21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  <c r="R497" t="str" cm="1">
        <f t="array" ref="R497">_xlfn.XLOOKUP(CONTROL[[#This Row],[VEHIDCODE]],GRAPHICS_PROPERTIES[VEHIDCODE],GRAPHICS_PROPERTIES[TEMPLATE_ID]&amp;GRAPHICS_PROPERTIES[TEMPLATE_AMENDMENT_CODE])</f>
        <v>TPL_02A</v>
      </c>
    </row>
    <row r="498" spans="1:18" x14ac:dyDescent="0.35">
      <c r="A498" s="2" t="s">
        <v>3131</v>
      </c>
      <c r="B498" s="21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2" t="s">
        <v>2333</v>
      </c>
      <c r="G498" t="s">
        <v>1516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1" t="str">
        <f>"item_"&amp;CONTROL[[#This Row],[VEHIDCODE]]</f>
        <v>item_dmu_Downer_EDI_Hitachi_Tilt_Train</v>
      </c>
      <c r="O498" s="21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  <c r="R498" t="str" cm="1">
        <f t="array" ref="R498">_xlfn.XLOOKUP(CONTROL[[#This Row],[VEHIDCODE]],GRAPHICS_PROPERTIES[VEHIDCODE],GRAPHICS_PROPERTIES[TEMPLATE_ID]&amp;GRAPHICS_PROPERTIES[TEMPLATE_AMENDMENT_CODE])</f>
        <v>TPL_02A</v>
      </c>
    </row>
    <row r="499" spans="1:18" x14ac:dyDescent="0.35">
      <c r="A499" s="2" t="s">
        <v>3132</v>
      </c>
      <c r="B499" s="21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2" t="s">
        <v>3696</v>
      </c>
      <c r="G499" t="s">
        <v>1517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1" t="str">
        <f>"item_"&amp;CONTROL[[#This Row],[VEHIDCODE]]</f>
        <v>item_dmu_Nippon_Sharyo_1000_Series</v>
      </c>
      <c r="O499" s="21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  <c r="R499" t="str" cm="1">
        <f t="array" ref="R499">_xlfn.XLOOKUP(CONTROL[[#This Row],[VEHIDCODE]],GRAPHICS_PROPERTIES[VEHIDCODE],GRAPHICS_PROPERTIES[TEMPLATE_ID]&amp;GRAPHICS_PROPERTIES[TEMPLATE_AMENDMENT_CODE])</f>
        <v>TPL_02A</v>
      </c>
    </row>
    <row r="500" spans="1:18" x14ac:dyDescent="0.35">
      <c r="A500" s="2" t="s">
        <v>3133</v>
      </c>
      <c r="B500" s="21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2" t="s">
        <v>2334</v>
      </c>
      <c r="G500" t="s">
        <v>1518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1" t="str">
        <f>"item_"&amp;CONTROL[[#This Row],[VEHIDCODE]]</f>
        <v>item_dmu_Materfer_CMM_400_2</v>
      </c>
      <c r="O500" s="21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  <c r="R500" t="str" cm="1">
        <f t="array" ref="R500">_xlfn.XLOOKUP(CONTROL[[#This Row],[VEHIDCODE]],GRAPHICS_PROPERTIES[VEHIDCODE],GRAPHICS_PROPERTIES[TEMPLATE_ID]&amp;GRAPHICS_PROPERTIES[TEMPLATE_AMENDMENT_CODE])</f>
        <v>TPL_02A</v>
      </c>
    </row>
    <row r="501" spans="1:18" x14ac:dyDescent="0.35">
      <c r="A501" s="2" t="s">
        <v>3134</v>
      </c>
      <c r="B501" s="21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2" t="s">
        <v>2335</v>
      </c>
      <c r="G501" t="s">
        <v>1519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1" t="str">
        <f>"item_"&amp;CONTROL[[#This Row],[VEHIDCODE]]</f>
        <v>item_dmu_Fiat_ALn_442_448</v>
      </c>
      <c r="O501" s="21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  <c r="R501" t="str" cm="1">
        <f t="array" ref="R501">_xlfn.XLOOKUP(CONTROL[[#This Row],[VEHIDCODE]],GRAPHICS_PROPERTIES[VEHIDCODE],GRAPHICS_PROPERTIES[TEMPLATE_ID]&amp;GRAPHICS_PROPERTIES[TEMPLATE_AMENDMENT_CODE])</f>
        <v>TPL_02A</v>
      </c>
    </row>
    <row r="502" spans="1:18" x14ac:dyDescent="0.35">
      <c r="A502" s="2" t="s">
        <v>3135</v>
      </c>
      <c r="B502" s="21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2" t="s">
        <v>2337</v>
      </c>
      <c r="G502" t="s">
        <v>1520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1" t="str">
        <f>"item_"&amp;CONTROL[[#This Row],[VEHIDCODE]]</f>
        <v>item_dmu_Sorefame_CP_0400</v>
      </c>
      <c r="O502" s="21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  <c r="R502" t="str" cm="1">
        <f t="array" ref="R502">_xlfn.XLOOKUP(CONTROL[[#This Row],[VEHIDCODE]],GRAPHICS_PROPERTIES[VEHIDCODE],GRAPHICS_PROPERTIES[TEMPLATE_ID]&amp;GRAPHICS_PROPERTIES[TEMPLATE_AMENDMENT_CODE])</f>
        <v>TPL_02A</v>
      </c>
    </row>
    <row r="503" spans="1:18" x14ac:dyDescent="0.35">
      <c r="A503" s="2" t="s">
        <v>3136</v>
      </c>
      <c r="B503" s="21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2" t="s">
        <v>2336</v>
      </c>
      <c r="G503" t="s">
        <v>1521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1" t="str">
        <f>"item_"&amp;CONTROL[[#This Row],[VEHIDCODE]]</f>
        <v>item_dmu_Sorefame_CP_0600</v>
      </c>
      <c r="O503" s="21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  <c r="R503" t="str" cm="1">
        <f t="array" ref="R503">_xlfn.XLOOKUP(CONTROL[[#This Row],[VEHIDCODE]],GRAPHICS_PROPERTIES[VEHIDCODE],GRAPHICS_PROPERTIES[TEMPLATE_ID]&amp;GRAPHICS_PROPERTIES[TEMPLATE_AMENDMENT_CODE])</f>
        <v>TPL_02A</v>
      </c>
    </row>
    <row r="504" spans="1:18" x14ac:dyDescent="0.35">
      <c r="A504" s="2" t="s">
        <v>3137</v>
      </c>
      <c r="B504" s="21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2" t="s">
        <v>2338</v>
      </c>
      <c r="G504" t="s">
        <v>1524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1" t="str">
        <f>"item_"&amp;CONTROL[[#This Row],[VEHIDCODE]]</f>
        <v>item_dmu_MTM_2400_Apollos</v>
      </c>
      <c r="O504" s="21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  <c r="R504" t="str" cm="1">
        <f t="array" ref="R504">_xlfn.XLOOKUP(CONTROL[[#This Row],[VEHIDCODE]],GRAPHICS_PROPERTIES[VEHIDCODE],GRAPHICS_PROPERTIES[TEMPLATE_ID]&amp;GRAPHICS_PROPERTIES[TEMPLATE_AMENDMENT_CODE])</f>
        <v>TPL_02A</v>
      </c>
    </row>
    <row r="505" spans="1:18" x14ac:dyDescent="0.35">
      <c r="A505" s="2" t="s">
        <v>3138</v>
      </c>
      <c r="B505" s="21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2" t="s">
        <v>2339</v>
      </c>
      <c r="G505" t="s">
        <v>1525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1" t="str">
        <f>"item_"&amp;CONTROL[[#This Row],[VEHIDCODE]]</f>
        <v>item_cargodmu_Windhoff_CargoSprinter</v>
      </c>
      <c r="O505" s="21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  <c r="R505" t="str" cm="1">
        <f t="array" ref="R505">_xlfn.XLOOKUP(CONTROL[[#This Row],[VEHIDCODE]],GRAPHICS_PROPERTIES[VEHIDCODE],GRAPHICS_PROPERTIES[TEMPLATE_ID]&amp;GRAPHICS_PROPERTIES[TEMPLATE_AMENDMENT_CODE])</f>
        <v>TPL_42A</v>
      </c>
    </row>
    <row r="506" spans="1:18" x14ac:dyDescent="0.35">
      <c r="A506" s="2" t="s">
        <v>3139</v>
      </c>
      <c r="B506" s="21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2" t="s">
        <v>2340</v>
      </c>
      <c r="G506" t="s">
        <v>1526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1" t="str">
        <f>"item_"&amp;CONTROL[[#This Row],[VEHIDCODE]]</f>
        <v>item_emu_Downer_CRRC_Hitachi_Waratah</v>
      </c>
      <c r="O506" s="21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  <c r="R506" t="str" cm="1">
        <f t="array" ref="R506">_xlfn.XLOOKUP(CONTROL[[#This Row],[VEHIDCODE]],GRAPHICS_PROPERTIES[VEHIDCODE],GRAPHICS_PROPERTIES[TEMPLATE_ID]&amp;GRAPHICS_PROPERTIES[TEMPLATE_AMENDMENT_CODE])</f>
        <v>TPL_02A</v>
      </c>
    </row>
    <row r="507" spans="1:18" x14ac:dyDescent="0.35">
      <c r="A507" s="2" t="s">
        <v>3140</v>
      </c>
      <c r="B507" s="21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2" t="s">
        <v>2341</v>
      </c>
      <c r="G507" t="s">
        <v>1527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1" t="str">
        <f>"item_"&amp;CONTROL[[#This Row],[VEHIDCODE]]</f>
        <v>item_emu_Frichs___Scandia_S_Tog_II</v>
      </c>
      <c r="O507" s="21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  <c r="R507" t="str" cm="1">
        <f t="array" ref="R507">_xlfn.XLOOKUP(CONTROL[[#This Row],[VEHIDCODE]],GRAPHICS_PROPERTIES[VEHIDCODE],GRAPHICS_PROPERTIES[TEMPLATE_ID]&amp;GRAPHICS_PROPERTIES[TEMPLATE_AMENDMENT_CODE])</f>
        <v>TPL_02D</v>
      </c>
    </row>
    <row r="508" spans="1:18" x14ac:dyDescent="0.35">
      <c r="A508" s="2" t="s">
        <v>3141</v>
      </c>
      <c r="B508" s="21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2" t="s">
        <v>2552</v>
      </c>
      <c r="G508" t="s">
        <v>1528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1" t="str">
        <f>"item_"&amp;CONTROL[[#This Row],[VEHIDCODE]]</f>
        <v>item_emu_Alsthom_S_Tog_IV</v>
      </c>
      <c r="O508" s="21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  <c r="R508" t="str" cm="1">
        <f t="array" ref="R508">_xlfn.XLOOKUP(CONTROL[[#This Row],[VEHIDCODE]],GRAPHICS_PROPERTIES[VEHIDCODE],GRAPHICS_PROPERTIES[TEMPLATE_ID]&amp;GRAPHICS_PROPERTIES[TEMPLATE_AMENDMENT_CODE])</f>
        <v>TPL_02D</v>
      </c>
    </row>
    <row r="509" spans="1:18" x14ac:dyDescent="0.35">
      <c r="A509" s="2" t="s">
        <v>3142</v>
      </c>
      <c r="B509" s="21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2" t="s">
        <v>2342</v>
      </c>
      <c r="G509" t="s">
        <v>1529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1" t="str">
        <f>"item_"&amp;CONTROL[[#This Row],[VEHIDCODE]]</f>
        <v>item_emu_TIBB_ECD_21_30</v>
      </c>
      <c r="O509" s="21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  <c r="R509" t="str" cm="1">
        <f t="array" ref="R509">_xlfn.XLOOKUP(CONTROL[[#This Row],[VEHIDCODE]],GRAPHICS_PROPERTIES[VEHIDCODE],GRAPHICS_PROPERTIES[TEMPLATE_ID]&amp;GRAPHICS_PROPERTIES[TEMPLATE_AMENDMENT_CODE])</f>
        <v>TPL_02A</v>
      </c>
    </row>
    <row r="510" spans="1:18" x14ac:dyDescent="0.35">
      <c r="A510" s="2" t="s">
        <v>3143</v>
      </c>
      <c r="B510" s="21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2" t="s">
        <v>2343</v>
      </c>
      <c r="G510" t="s">
        <v>1530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1" t="str">
        <f>"item_"&amp;CONTROL[[#This Row],[VEHIDCODE]]</f>
        <v>item_emu_Werkspoor_Mat24</v>
      </c>
      <c r="O510" s="21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  <c r="R510" t="str" cm="1">
        <f t="array" ref="R510">_xlfn.XLOOKUP(CONTROL[[#This Row],[VEHIDCODE]],GRAPHICS_PROPERTIES[VEHIDCODE],GRAPHICS_PROPERTIES[TEMPLATE_ID]&amp;GRAPHICS_PROPERTIES[TEMPLATE_AMENDMENT_CODE])</f>
        <v>TPL_02A</v>
      </c>
    </row>
    <row r="511" spans="1:18" x14ac:dyDescent="0.35">
      <c r="A511" s="2" t="s">
        <v>3144</v>
      </c>
      <c r="B511" s="21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2" t="s">
        <v>2344</v>
      </c>
      <c r="G511" t="s">
        <v>1531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1" t="str">
        <f>"item_"&amp;CONTROL[[#This Row],[VEHIDCODE]]</f>
        <v>item_emu_Werkspoor_Mat36</v>
      </c>
      <c r="O511" s="21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  <c r="R511" t="str" cm="1">
        <f t="array" ref="R511">_xlfn.XLOOKUP(CONTROL[[#This Row],[VEHIDCODE]],GRAPHICS_PROPERTIES[VEHIDCODE],GRAPHICS_PROPERTIES[TEMPLATE_ID]&amp;GRAPHICS_PROPERTIES[TEMPLATE_AMENDMENT_CODE])</f>
        <v>TPL_02A</v>
      </c>
    </row>
    <row r="512" spans="1:18" x14ac:dyDescent="0.35">
      <c r="A512" s="2" t="s">
        <v>3145</v>
      </c>
      <c r="B512" s="21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2" t="s">
        <v>2345</v>
      </c>
      <c r="G512" t="s">
        <v>1532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1" t="str">
        <f>"item_"&amp;CONTROL[[#This Row],[VEHIDCODE]]</f>
        <v>item_emu_Werkspoor_Mat54</v>
      </c>
      <c r="O512" s="21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  <c r="R512" t="str" cm="1">
        <f t="array" ref="R512">_xlfn.XLOOKUP(CONTROL[[#This Row],[VEHIDCODE]],GRAPHICS_PROPERTIES[VEHIDCODE],GRAPHICS_PROPERTIES[TEMPLATE_ID]&amp;GRAPHICS_PROPERTIES[TEMPLATE_AMENDMENT_CODE])</f>
        <v>TPL_02A</v>
      </c>
    </row>
    <row r="513" spans="1:18" x14ac:dyDescent="0.35">
      <c r="A513" s="2" t="s">
        <v>3146</v>
      </c>
      <c r="B513" s="21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2" t="s">
        <v>2346</v>
      </c>
      <c r="G513" t="s">
        <v>1533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1" t="str">
        <f>"item_"&amp;CONTROL[[#This Row],[VEHIDCODE]]</f>
        <v>item_emu_Talbot_Plan_Y</v>
      </c>
      <c r="O513" s="21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  <c r="R513" t="str" cm="1">
        <f t="array" ref="R513">_xlfn.XLOOKUP(CONTROL[[#This Row],[VEHIDCODE]],GRAPHICS_PROPERTIES[VEHIDCODE],GRAPHICS_PROPERTIES[TEMPLATE_ID]&amp;GRAPHICS_PROPERTIES[TEMPLATE_AMENDMENT_CODE])</f>
        <v>TPL_02A</v>
      </c>
    </row>
    <row r="514" spans="1:18" x14ac:dyDescent="0.35">
      <c r="A514" s="2" t="s">
        <v>3147</v>
      </c>
      <c r="B514" s="21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2" t="s">
        <v>2347</v>
      </c>
      <c r="G514" t="s">
        <v>1534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1" t="str">
        <f>"item_"&amp;CONTROL[[#This Row],[VEHIDCODE]]</f>
        <v>item_emu_Talbot_ICM_4000</v>
      </c>
      <c r="O514" s="21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  <c r="R514" t="str" cm="1">
        <f t="array" ref="R514">_xlfn.XLOOKUP(CONTROL[[#This Row],[VEHIDCODE]],GRAPHICS_PROPERTIES[VEHIDCODE],GRAPHICS_PROPERTIES[TEMPLATE_ID]&amp;GRAPHICS_PROPERTIES[TEMPLATE_AMENDMENT_CODE])</f>
        <v>TPL_02A</v>
      </c>
    </row>
    <row r="515" spans="1:18" x14ac:dyDescent="0.35">
      <c r="A515" s="2" t="s">
        <v>3148</v>
      </c>
      <c r="B515" s="21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2" t="s">
        <v>2348</v>
      </c>
      <c r="G515" t="s">
        <v>1535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1" t="str">
        <f>"item_"&amp;CONTROL[[#This Row],[VEHIDCODE]]</f>
        <v>item_emu_Talbot_DD_IRM_VIRM_8000</v>
      </c>
      <c r="O515" s="21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  <c r="R515" t="str" cm="1">
        <f t="array" ref="R515">_xlfn.XLOOKUP(CONTROL[[#This Row],[VEHIDCODE]],GRAPHICS_PROPERTIES[VEHIDCODE],GRAPHICS_PROPERTIES[TEMPLATE_ID]&amp;GRAPHICS_PROPERTIES[TEMPLATE_AMENDMENT_CODE])</f>
        <v>TPL_02A</v>
      </c>
    </row>
    <row r="516" spans="1:18" x14ac:dyDescent="0.35">
      <c r="A516" s="2" t="s">
        <v>3149</v>
      </c>
      <c r="B516" s="21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2" t="s">
        <v>2349</v>
      </c>
      <c r="G516" t="s">
        <v>1538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1" t="str">
        <f>"item_"&amp;CONTROL[[#This Row],[VEHIDCODE]]</f>
        <v>item_emu_De_Dietrich_Adtranz_mDDm_390</v>
      </c>
      <c r="O516" s="21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  <c r="R516" t="str" cm="1">
        <f t="array" ref="R516">_xlfn.XLOOKUP(CONTROL[[#This Row],[VEHIDCODE]],GRAPHICS_PROPERTIES[VEHIDCODE],GRAPHICS_PROPERTIES[TEMPLATE_ID]&amp;GRAPHICS_PROPERTIES[TEMPLATE_AMENDMENT_CODE])</f>
        <v>TPL_02A</v>
      </c>
    </row>
    <row r="517" spans="1:18" x14ac:dyDescent="0.35">
      <c r="A517" s="2" t="s">
        <v>3150</v>
      </c>
      <c r="B517" s="21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2" t="s">
        <v>3489</v>
      </c>
      <c r="G517" t="s">
        <v>1536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1" t="str">
        <f>"item_"&amp;CONTROL[[#This Row],[VEHIDCODE]]</f>
        <v>item_emu_AEG_EW90</v>
      </c>
      <c r="O517" s="21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  <c r="R517" t="str" cm="1">
        <f t="array" ref="R517">_xlfn.XLOOKUP(CONTROL[[#This Row],[VEHIDCODE]],GRAPHICS_PROPERTIES[VEHIDCODE],GRAPHICS_PROPERTIES[TEMPLATE_ID]&amp;GRAPHICS_PROPERTIES[TEMPLATE_AMENDMENT_CODE])</f>
        <v>TPL_02A</v>
      </c>
    </row>
    <row r="518" spans="1:18" x14ac:dyDescent="0.35">
      <c r="A518" s="2" t="s">
        <v>3151</v>
      </c>
      <c r="B518" s="21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2" t="s">
        <v>2350</v>
      </c>
      <c r="G518" t="s">
        <v>1537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1" t="str">
        <f>"item_"&amp;CONTROL[[#This Row],[VEHIDCODE]]</f>
        <v>item_emu_Breda_ETR_200</v>
      </c>
      <c r="O518" s="21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  <c r="R518" t="str" cm="1">
        <f t="array" ref="R518">_xlfn.XLOOKUP(CONTROL[[#This Row],[VEHIDCODE]],GRAPHICS_PROPERTIES[VEHIDCODE],GRAPHICS_PROPERTIES[TEMPLATE_ID]&amp;GRAPHICS_PROPERTIES[TEMPLATE_AMENDMENT_CODE])</f>
        <v>TPL_02A</v>
      </c>
    </row>
    <row r="519" spans="1:18" x14ac:dyDescent="0.35">
      <c r="A519" s="2" t="s">
        <v>3152</v>
      </c>
      <c r="B519" s="21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2" t="s">
        <v>2351</v>
      </c>
      <c r="G519" t="s">
        <v>1539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1" t="str">
        <f>"item_"&amp;CONTROL[[#This Row],[VEHIDCODE]]</f>
        <v>item_emu_Breda_ETR_300_Settebello</v>
      </c>
      <c r="O519" s="21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  <c r="R519" t="str" cm="1">
        <f t="array" ref="R519">_xlfn.XLOOKUP(CONTROL[[#This Row],[VEHIDCODE]],GRAPHICS_PROPERTIES[VEHIDCODE],GRAPHICS_PROPERTIES[TEMPLATE_ID]&amp;GRAPHICS_PROPERTIES[TEMPLATE_AMENDMENT_CODE])</f>
        <v>TPL_02D</v>
      </c>
    </row>
    <row r="520" spans="1:18" x14ac:dyDescent="0.35">
      <c r="A520" s="2" t="s">
        <v>3153</v>
      </c>
      <c r="B520" s="21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2" t="s">
        <v>2352</v>
      </c>
      <c r="G520" t="s">
        <v>1540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1" t="str">
        <f>"item_"&amp;CONTROL[[#This Row],[VEHIDCODE]]</f>
        <v>item_emu_TREVI_ETR_500_Frecciarossa</v>
      </c>
      <c r="O520" s="21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  <c r="R520" t="str" cm="1">
        <f t="array" ref="R520">_xlfn.XLOOKUP(CONTROL[[#This Row],[VEHIDCODE]],GRAPHICS_PROPERTIES[VEHIDCODE],GRAPHICS_PROPERTIES[TEMPLATE_ID]&amp;GRAPHICS_PROPERTIES[TEMPLATE_AMENDMENT_CODE])</f>
        <v>TPL_02A</v>
      </c>
    </row>
    <row r="521" spans="1:18" x14ac:dyDescent="0.35">
      <c r="A521" s="2" t="s">
        <v>3154</v>
      </c>
      <c r="B521" s="21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2" t="s">
        <v>2353</v>
      </c>
      <c r="G521" t="s">
        <v>1541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1" t="str">
        <f>"item_"&amp;CONTROL[[#This Row],[VEHIDCODE]]</f>
        <v>item_emu_AnsaldoBreda_ALe_426</v>
      </c>
      <c r="O521" s="21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  <c r="R521" t="str" cm="1">
        <f t="array" ref="R521">_xlfn.XLOOKUP(CONTROL[[#This Row],[VEHIDCODE]],GRAPHICS_PROPERTIES[VEHIDCODE],GRAPHICS_PROPERTIES[TEMPLATE_ID]&amp;GRAPHICS_PROPERTIES[TEMPLATE_AMENDMENT_CODE])</f>
        <v>TPL_02A</v>
      </c>
    </row>
    <row r="522" spans="1:18" x14ac:dyDescent="0.35">
      <c r="A522" s="2" t="s">
        <v>3155</v>
      </c>
      <c r="B522" s="21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2" t="s">
        <v>2354</v>
      </c>
      <c r="G522" t="s">
        <v>1542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1" t="str">
        <f>"item_"&amp;CONTROL[[#This Row],[VEHIDCODE]]</f>
        <v>item_emu_BN_ACEC_ZMC</v>
      </c>
      <c r="O522" s="21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  <c r="R522" t="str" cm="1">
        <f t="array" ref="R522">_xlfn.XLOOKUP(CONTROL[[#This Row],[VEHIDCODE]],GRAPHICS_PROPERTIES[VEHIDCODE],GRAPHICS_PROPERTIES[TEMPLATE_ID]&amp;GRAPHICS_PROPERTIES[TEMPLATE_AMENDMENT_CODE])</f>
        <v>TPL_02A</v>
      </c>
    </row>
    <row r="523" spans="1:18" x14ac:dyDescent="0.35">
      <c r="A523" s="2" t="s">
        <v>3156</v>
      </c>
      <c r="B523" s="21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2" t="s">
        <v>2355</v>
      </c>
      <c r="G523" t="s">
        <v>1543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1" t="str">
        <f>"item_"&amp;CONTROL[[#This Row],[VEHIDCODE]]</f>
        <v>item_emu_ASEA_EW54</v>
      </c>
      <c r="O523" s="21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  <c r="R523" t="str" cm="1">
        <f t="array" ref="R523">_xlfn.XLOOKUP(CONTROL[[#This Row],[VEHIDCODE]],GRAPHICS_PROPERTIES[VEHIDCODE],GRAPHICS_PROPERTIES[TEMPLATE_ID]&amp;GRAPHICS_PROPERTIES[TEMPLATE_AMENDMENT_CODE])</f>
        <v>TPL_02D</v>
      </c>
    </row>
    <row r="524" spans="1:18" x14ac:dyDescent="0.35">
      <c r="A524" s="2" t="s">
        <v>3157</v>
      </c>
      <c r="B524" s="21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2" t="s">
        <v>2356</v>
      </c>
      <c r="G524" t="s">
        <v>1544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1" t="str">
        <f>"item_"&amp;CONTROL[[#This Row],[VEHIDCODE]]</f>
        <v>item_emu_Breda_ALe_801</v>
      </c>
      <c r="O524" s="21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  <c r="R524" t="str" cm="1">
        <f t="array" ref="R524">_xlfn.XLOOKUP(CONTROL[[#This Row],[VEHIDCODE]],GRAPHICS_PROPERTIES[VEHIDCODE],GRAPHICS_PROPERTIES[TEMPLATE_ID]&amp;GRAPHICS_PROPERTIES[TEMPLATE_AMENDMENT_CODE])</f>
        <v>TPL_02A</v>
      </c>
    </row>
    <row r="525" spans="1:18" x14ac:dyDescent="0.35">
      <c r="A525" s="2" t="s">
        <v>3158</v>
      </c>
      <c r="B525" s="21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2" t="s">
        <v>2357</v>
      </c>
      <c r="G525" t="s">
        <v>1545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1" t="str">
        <f>"item_"&amp;CONTROL[[#This Row],[VEHIDCODE]]</f>
        <v>item_emu_SGP_AEG_BBC_4030</v>
      </c>
      <c r="O525" s="21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  <c r="R525" t="str" cm="1">
        <f t="array" ref="R525">_xlfn.XLOOKUP(CONTROL[[#This Row],[VEHIDCODE]],GRAPHICS_PROPERTIES[VEHIDCODE],GRAPHICS_PROPERTIES[TEMPLATE_ID]&amp;GRAPHICS_PROPERTIES[TEMPLATE_AMENDMENT_CODE])</f>
        <v>TPL_02A</v>
      </c>
    </row>
    <row r="526" spans="1:18" x14ac:dyDescent="0.35">
      <c r="A526" s="2" t="s">
        <v>3159</v>
      </c>
      <c r="B526" s="21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2" t="s">
        <v>2358</v>
      </c>
      <c r="G526" t="s">
        <v>1546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1" t="str">
        <f>"item_"&amp;CONTROL[[#This Row],[VEHIDCODE]]</f>
        <v>item_emu_ELIN_ET_10</v>
      </c>
      <c r="O526" s="21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  <c r="R526" t="str" cm="1">
        <f t="array" ref="R526">_xlfn.XLOOKUP(CONTROL[[#This Row],[VEHIDCODE]],GRAPHICS_PROPERTIES[VEHIDCODE],GRAPHICS_PROPERTIES[TEMPLATE_ID]&amp;GRAPHICS_PROPERTIES[TEMPLATE_AMENDMENT_CODE])</f>
        <v>TPL_02A</v>
      </c>
    </row>
    <row r="527" spans="1:18" x14ac:dyDescent="0.35">
      <c r="A527" s="2" t="s">
        <v>3160</v>
      </c>
      <c r="B527" s="21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2" t="s">
        <v>3490</v>
      </c>
      <c r="G527" t="s">
        <v>1547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1" t="str">
        <f>"item_"&amp;CONTROL[[#This Row],[VEHIDCODE]]</f>
        <v>item_emu_Stadler_4010_KISS</v>
      </c>
      <c r="O527" s="21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  <c r="R527" t="str" cm="1">
        <f t="array" ref="R527">_xlfn.XLOOKUP(CONTROL[[#This Row],[VEHIDCODE]],GRAPHICS_PROPERTIES[VEHIDCODE],GRAPHICS_PROPERTIES[TEMPLATE_ID]&amp;GRAPHICS_PROPERTIES[TEMPLATE_AMENDMENT_CODE])</f>
        <v>TPL_02A</v>
      </c>
    </row>
    <row r="528" spans="1:18" x14ac:dyDescent="0.35">
      <c r="A528" s="2" t="s">
        <v>3161</v>
      </c>
      <c r="B528" s="21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2" t="s">
        <v>2359</v>
      </c>
      <c r="G528" t="s">
        <v>1548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1" t="str">
        <f>"item_"&amp;CONTROL[[#This Row],[VEHIDCODE]]</f>
        <v>item_emu_LHB_420</v>
      </c>
      <c r="O528" s="21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  <c r="R528" t="str" cm="1">
        <f t="array" ref="R528">_xlfn.XLOOKUP(CONTROL[[#This Row],[VEHIDCODE]],GRAPHICS_PROPERTIES[VEHIDCODE],GRAPHICS_PROPERTIES[TEMPLATE_ID]&amp;GRAPHICS_PROPERTIES[TEMPLATE_AMENDMENT_CODE])</f>
        <v>TPL_02D</v>
      </c>
    </row>
    <row r="529" spans="1:18" x14ac:dyDescent="0.35">
      <c r="A529" s="2" t="s">
        <v>3162</v>
      </c>
      <c r="B529" s="21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2" t="s">
        <v>2360</v>
      </c>
      <c r="G529" t="s">
        <v>1549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1" t="str">
        <f>"item_"&amp;CONTROL[[#This Row],[VEHIDCODE]]</f>
        <v>item_emu_Adtranz_BM73</v>
      </c>
      <c r="O529" s="21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  <c r="R529" t="str" cm="1">
        <f t="array" ref="R529">_xlfn.XLOOKUP(CONTROL[[#This Row],[VEHIDCODE]],GRAPHICS_PROPERTIES[VEHIDCODE],GRAPHICS_PROPERTIES[TEMPLATE_ID]&amp;GRAPHICS_PROPERTIES[TEMPLATE_AMENDMENT_CODE])</f>
        <v>TPL_02D</v>
      </c>
    </row>
    <row r="530" spans="1:18" x14ac:dyDescent="0.35">
      <c r="A530" s="2" t="s">
        <v>3163</v>
      </c>
      <c r="B530" s="21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2" t="s">
        <v>2361</v>
      </c>
      <c r="G530" t="s">
        <v>1550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1" t="str">
        <f>"item_"&amp;CONTROL[[#This Row],[VEHIDCODE]]</f>
        <v>item_emu_NEBB_M65</v>
      </c>
      <c r="O530" s="21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  <c r="R530" t="str" cm="1">
        <f t="array" ref="R530">_xlfn.XLOOKUP(CONTROL[[#This Row],[VEHIDCODE]],GRAPHICS_PROPERTIES[VEHIDCODE],GRAPHICS_PROPERTIES[TEMPLATE_ID]&amp;GRAPHICS_PROPERTIES[TEMPLATE_AMENDMENT_CODE])</f>
        <v>TPL_02A</v>
      </c>
    </row>
    <row r="531" spans="1:18" x14ac:dyDescent="0.35">
      <c r="A531" s="2" t="s">
        <v>3164</v>
      </c>
      <c r="B531" s="21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2" t="s">
        <v>2362</v>
      </c>
      <c r="G531" t="s">
        <v>1551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1" t="str">
        <f>"item_"&amp;CONTROL[[#This Row],[VEHIDCODE]]</f>
        <v>item_emu_ASEA_X2000</v>
      </c>
      <c r="O531" s="21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  <c r="R531" t="str" cm="1">
        <f t="array" ref="R531">_xlfn.XLOOKUP(CONTROL[[#This Row],[VEHIDCODE]],GRAPHICS_PROPERTIES[VEHIDCODE],GRAPHICS_PROPERTIES[TEMPLATE_ID]&amp;GRAPHICS_PROPERTIES[TEMPLATE_AMENDMENT_CODE])</f>
        <v>TPL_02A</v>
      </c>
    </row>
    <row r="532" spans="1:18" x14ac:dyDescent="0.35">
      <c r="A532" s="2" t="s">
        <v>3165</v>
      </c>
      <c r="B532" s="21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2" t="s">
        <v>2363</v>
      </c>
      <c r="G532" t="s">
        <v>1552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1" t="str">
        <f>"item_"&amp;CONTROL[[#This Row],[VEHIDCODE]]</f>
        <v>item_emu_SWP_RABDe_510</v>
      </c>
      <c r="O532" s="21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  <c r="R532" t="str" cm="1">
        <f t="array" ref="R532">_xlfn.XLOOKUP(CONTROL[[#This Row],[VEHIDCODE]],GRAPHICS_PROPERTIES[VEHIDCODE],GRAPHICS_PROPERTIES[TEMPLATE_ID]&amp;GRAPHICS_PROPERTIES[TEMPLATE_AMENDMENT_CODE])</f>
        <v>TPL_02D</v>
      </c>
    </row>
    <row r="533" spans="1:18" x14ac:dyDescent="0.35">
      <c r="A533" s="2" t="s">
        <v>3166</v>
      </c>
      <c r="B533" s="21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2" t="s">
        <v>2364</v>
      </c>
      <c r="G533" t="s">
        <v>1553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1" t="str">
        <f>"item_"&amp;CONTROL[[#This Row],[VEHIDCODE]]</f>
        <v>item_emu_Schindler_RBDe_560</v>
      </c>
      <c r="O533" s="21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  <c r="R533" t="str" cm="1">
        <f t="array" ref="R533">_xlfn.XLOOKUP(CONTROL[[#This Row],[VEHIDCODE]],GRAPHICS_PROPERTIES[VEHIDCODE],GRAPHICS_PROPERTIES[TEMPLATE_ID]&amp;GRAPHICS_PROPERTIES[TEMPLATE_AMENDMENT_CODE])</f>
        <v>TPL_02A</v>
      </c>
    </row>
    <row r="534" spans="1:18" x14ac:dyDescent="0.35">
      <c r="A534" s="2" t="s">
        <v>3167</v>
      </c>
      <c r="B534" s="21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2" t="s">
        <v>2365</v>
      </c>
      <c r="G534" t="s">
        <v>1554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1" t="str">
        <f>"item_"&amp;CONTROL[[#This Row],[VEHIDCODE]]</f>
        <v>item_emu_Stadler_RABe_523_Flirt</v>
      </c>
      <c r="O534" s="21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  <c r="R534" t="str" cm="1">
        <f t="array" ref="R534">_xlfn.XLOOKUP(CONTROL[[#This Row],[VEHIDCODE]],GRAPHICS_PROPERTIES[VEHIDCODE],GRAPHICS_PROPERTIES[TEMPLATE_ID]&amp;GRAPHICS_PROPERTIES[TEMPLATE_AMENDMENT_CODE])</f>
        <v>TPL_02A</v>
      </c>
    </row>
    <row r="535" spans="1:18" x14ac:dyDescent="0.35">
      <c r="A535" s="2" t="s">
        <v>3168</v>
      </c>
      <c r="B535" s="21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2" t="s">
        <v>2366</v>
      </c>
      <c r="G535" t="s">
        <v>1555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1" t="str">
        <f>"item_"&amp;CONTROL[[#This Row],[VEHIDCODE]]</f>
        <v>item_emu_Budd_Metroliner</v>
      </c>
      <c r="O535" s="21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  <c r="R535" t="str" cm="1">
        <f t="array" ref="R535">_xlfn.XLOOKUP(CONTROL[[#This Row],[VEHIDCODE]],GRAPHICS_PROPERTIES[VEHIDCODE],GRAPHICS_PROPERTIES[TEMPLATE_ID]&amp;GRAPHICS_PROPERTIES[TEMPLATE_AMENDMENT_CODE])</f>
        <v>TPL_02A</v>
      </c>
    </row>
    <row r="536" spans="1:18" x14ac:dyDescent="0.35">
      <c r="A536" s="2" t="s">
        <v>3169</v>
      </c>
      <c r="B536" s="21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2" t="s">
        <v>2386</v>
      </c>
      <c r="G536" t="s">
        <v>1556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1" t="str">
        <f>"item_"&amp;CONTROL[[#This Row],[VEHIDCODE]]</f>
        <v>item_emu_Siemens_Velero</v>
      </c>
      <c r="O536" s="21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  <c r="R536" t="str" cm="1">
        <f t="array" ref="R536">_xlfn.XLOOKUP(CONTROL[[#This Row],[VEHIDCODE]],GRAPHICS_PROPERTIES[VEHIDCODE],GRAPHICS_PROPERTIES[TEMPLATE_ID]&amp;GRAPHICS_PROPERTIES[TEMPLATE_AMENDMENT_CODE])</f>
        <v>TPL_02D</v>
      </c>
    </row>
    <row r="537" spans="1:18" x14ac:dyDescent="0.35">
      <c r="A537" s="2" t="s">
        <v>3170</v>
      </c>
      <c r="B537" s="21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2" t="s">
        <v>2367</v>
      </c>
      <c r="G537" t="s">
        <v>1557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1" t="str">
        <f>"item_"&amp;CONTROL[[#This Row],[VEHIDCODE]]</f>
        <v>item_emu_Siemens_Desiro_BDZ</v>
      </c>
      <c r="O537" s="21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  <c r="R537" t="str" cm="1">
        <f t="array" ref="R537">_xlfn.XLOOKUP(CONTROL[[#This Row],[VEHIDCODE]],GRAPHICS_PROPERTIES[VEHIDCODE],GRAPHICS_PROPERTIES[TEMPLATE_ID]&amp;GRAPHICS_PROPERTIES[TEMPLATE_AMENDMENT_CODE])</f>
        <v>TPL_02A</v>
      </c>
    </row>
    <row r="538" spans="1:18" x14ac:dyDescent="0.35">
      <c r="A538" s="2" t="s">
        <v>3171</v>
      </c>
      <c r="B538" s="21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2" t="s">
        <v>2368</v>
      </c>
      <c r="G538" t="s">
        <v>1558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1" t="str">
        <f>"item_"&amp;CONTROL[[#This Row],[VEHIDCODE]]</f>
        <v>item_emu_Valmet_Sm2</v>
      </c>
      <c r="O538" s="21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  <c r="R538" t="str" cm="1">
        <f t="array" ref="R538">_xlfn.XLOOKUP(CONTROL[[#This Row],[VEHIDCODE]],GRAPHICS_PROPERTIES[VEHIDCODE],GRAPHICS_PROPERTIES[TEMPLATE_ID]&amp;GRAPHICS_PROPERTIES[TEMPLATE_AMENDMENT_CODE])</f>
        <v>TPL_02A</v>
      </c>
    </row>
    <row r="539" spans="1:18" x14ac:dyDescent="0.35">
      <c r="A539" s="2" t="s">
        <v>3172</v>
      </c>
      <c r="B539" s="21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2" t="s">
        <v>2369</v>
      </c>
      <c r="G539" t="s">
        <v>1559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1" t="str">
        <f>"item_"&amp;CONTROL[[#This Row],[VEHIDCODE]]</f>
        <v>item_emu_Fiat_CAF_Sm4</v>
      </c>
      <c r="O539" s="21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  <c r="R539" t="str" cm="1">
        <f t="array" ref="R539">_xlfn.XLOOKUP(CONTROL[[#This Row],[VEHIDCODE]],GRAPHICS_PROPERTIES[VEHIDCODE],GRAPHICS_PROPERTIES[TEMPLATE_ID]&amp;GRAPHICS_PROPERTIES[TEMPLATE_AMENDMENT_CODE])</f>
        <v>TPL_02A</v>
      </c>
    </row>
    <row r="540" spans="1:18" x14ac:dyDescent="0.35">
      <c r="A540" s="2" t="s">
        <v>3173</v>
      </c>
      <c r="B540" s="21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2" t="s">
        <v>2613</v>
      </c>
      <c r="G540" t="s">
        <v>1560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1" t="str">
        <f>"item_"&amp;CONTROL[[#This Row],[VEHIDCODE]]</f>
        <v>item_emu_Ganz_MAVAG_VM17_BDVmot</v>
      </c>
      <c r="O540" s="21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  <c r="R540" t="str" cm="1">
        <f t="array" ref="R540">_xlfn.XLOOKUP(CONTROL[[#This Row],[VEHIDCODE]],GRAPHICS_PROPERTIES[VEHIDCODE],GRAPHICS_PROPERTIES[TEMPLATE_ID]&amp;GRAPHICS_PROPERTIES[TEMPLATE_AMENDMENT_CODE])</f>
        <v>TPL_02A</v>
      </c>
    </row>
    <row r="541" spans="1:18" x14ac:dyDescent="0.35">
      <c r="A541" s="2" t="s">
        <v>3174</v>
      </c>
      <c r="B541" s="21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2" t="s">
        <v>2599</v>
      </c>
      <c r="G541" t="s">
        <v>523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1" t="str">
        <f>"item_"&amp;CONTROL[[#This Row],[VEHIDCODE]]</f>
        <v>item_emu_ACME_Corp__Sureot</v>
      </c>
      <c r="O541" s="21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  <c r="R541" t="str" cm="1">
        <f t="array" ref="R541">_xlfn.XLOOKUP(CONTROL[[#This Row],[VEHIDCODE]],GRAPHICS_PROPERTIES[VEHIDCODE],GRAPHICS_PROPERTIES[TEMPLATE_ID]&amp;GRAPHICS_PROPERTIES[TEMPLATE_AMENDMENT_CODE])</f>
        <v>TPL_02A</v>
      </c>
    </row>
    <row r="542" spans="1:18" x14ac:dyDescent="0.35">
      <c r="A542" s="2" t="s">
        <v>3175</v>
      </c>
      <c r="B542" s="21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2" t="s">
        <v>2370</v>
      </c>
      <c r="G542" t="s">
        <v>1561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1" t="str">
        <f>"item_"&amp;CONTROL[[#This Row],[VEHIDCODE]]</f>
        <v>item_emu_Hitachi_Shinkansen_Series_0</v>
      </c>
      <c r="O542" s="21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  <c r="R542" t="str" cm="1">
        <f t="array" ref="R542">_xlfn.XLOOKUP(CONTROL[[#This Row],[VEHIDCODE]],GRAPHICS_PROPERTIES[VEHIDCODE],GRAPHICS_PROPERTIES[TEMPLATE_ID]&amp;GRAPHICS_PROPERTIES[TEMPLATE_AMENDMENT_CODE])</f>
        <v>TPL_02D</v>
      </c>
    </row>
    <row r="543" spans="1:18" x14ac:dyDescent="0.35">
      <c r="A543" s="2" t="s">
        <v>3176</v>
      </c>
      <c r="B543" s="21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2" t="s">
        <v>2371</v>
      </c>
      <c r="G543" t="s">
        <v>1562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1" t="str">
        <f>"item_"&amp;CONTROL[[#This Row],[VEHIDCODE]]</f>
        <v>item_emu_Hitachi_Shinkansen_Series_700</v>
      </c>
      <c r="O543" s="21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  <c r="R543" t="str" cm="1">
        <f t="array" ref="R543">_xlfn.XLOOKUP(CONTROL[[#This Row],[VEHIDCODE]],GRAPHICS_PROPERTIES[VEHIDCODE],GRAPHICS_PROPERTIES[TEMPLATE_ID]&amp;GRAPHICS_PROPERTIES[TEMPLATE_AMENDMENT_CODE])</f>
        <v>TPL_02D</v>
      </c>
    </row>
    <row r="544" spans="1:18" x14ac:dyDescent="0.35">
      <c r="A544" s="2" t="s">
        <v>3177</v>
      </c>
      <c r="B544" s="21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2" t="s">
        <v>2372</v>
      </c>
      <c r="G544" s="34" t="s">
        <v>3537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1" t="str">
        <f>"item_"&amp;CONTROL[[#This Row],[VEHIDCODE]]</f>
        <v>item_emu_Hitachi_Kawasaki_Shinkansen_Series_E1_Max</v>
      </c>
      <c r="O544" s="21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  <c r="R544" t="str" cm="1">
        <f t="array" ref="R544">_xlfn.XLOOKUP(CONTROL[[#This Row],[VEHIDCODE]],GRAPHICS_PROPERTIES[VEHIDCODE],GRAPHICS_PROPERTIES[TEMPLATE_ID]&amp;GRAPHICS_PROPERTIES[TEMPLATE_AMENDMENT_CODE])</f>
        <v>TPL_02D</v>
      </c>
    </row>
    <row r="545" spans="1:18" x14ac:dyDescent="0.35">
      <c r="A545" s="2" t="s">
        <v>3178</v>
      </c>
      <c r="B545" s="21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2" t="s">
        <v>3678</v>
      </c>
      <c r="G545" t="s">
        <v>1563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1" t="str">
        <f>"item_"&amp;CONTROL[[#This Row],[VEHIDCODE]]</f>
        <v>item_emu_Alstom_Coradia_Duplex</v>
      </c>
      <c r="O545" s="21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  <c r="R545" t="str" cm="1">
        <f t="array" ref="R545">_xlfn.XLOOKUP(CONTROL[[#This Row],[VEHIDCODE]],GRAPHICS_PROPERTIES[VEHIDCODE],GRAPHICS_PROPERTIES[TEMPLATE_ID]&amp;GRAPHICS_PROPERTIES[TEMPLATE_AMENDMENT_CODE])</f>
        <v>TPL_02A</v>
      </c>
    </row>
    <row r="546" spans="1:18" x14ac:dyDescent="0.35">
      <c r="A546" s="2" t="s">
        <v>3179</v>
      </c>
      <c r="B546" s="21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2" t="s">
        <v>2373</v>
      </c>
      <c r="G546" t="s">
        <v>1564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1" t="str">
        <f>"item_"&amp;CONTROL[[#This Row],[VEHIDCODE]]</f>
        <v>item_emu_RVR_ER31</v>
      </c>
      <c r="O546" s="21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  <c r="R546" t="str" cm="1">
        <f t="array" ref="R546">_xlfn.XLOOKUP(CONTROL[[#This Row],[VEHIDCODE]],GRAPHICS_PROPERTIES[VEHIDCODE],GRAPHICS_PROPERTIES[TEMPLATE_ID]&amp;GRAPHICS_PROPERTIES[TEMPLATE_AMENDMENT_CODE])</f>
        <v>TPL_02A</v>
      </c>
    </row>
    <row r="547" spans="1:18" x14ac:dyDescent="0.35">
      <c r="A547" s="2" t="s">
        <v>3444</v>
      </c>
      <c r="B547" s="21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2" t="s">
        <v>3445</v>
      </c>
      <c r="G547" t="s">
        <v>1565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1" t="str">
        <f>"item_"&amp;CONTROL[[#This Row],[VEHIDCODE]]</f>
        <v>item_emu_Carel_et_Fouche_Alsthom_Z_6100</v>
      </c>
      <c r="O547" s="21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  <c r="R547" t="str" cm="1">
        <f t="array" ref="R547">_xlfn.XLOOKUP(CONTROL[[#This Row],[VEHIDCODE]],GRAPHICS_PROPERTIES[VEHIDCODE],GRAPHICS_PROPERTIES[TEMPLATE_ID]&amp;GRAPHICS_PROPERTIES[TEMPLATE_AMENDMENT_CODE])</f>
        <v>TPL_02A</v>
      </c>
    </row>
    <row r="548" spans="1:18" x14ac:dyDescent="0.35">
      <c r="A548" s="2" t="s">
        <v>3180</v>
      </c>
      <c r="B548" s="21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2" t="s">
        <v>2374</v>
      </c>
      <c r="G548" t="s">
        <v>1566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1" t="str">
        <f>"item_"&amp;CONTROL[[#This Row],[VEHIDCODE]]</f>
        <v>item_emu_Bombardier_UCW_Electrostar_Gautrain</v>
      </c>
      <c r="O548" s="21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  <c r="R548" t="str" cm="1">
        <f t="array" ref="R548">_xlfn.XLOOKUP(CONTROL[[#This Row],[VEHIDCODE]],GRAPHICS_PROPERTIES[VEHIDCODE],GRAPHICS_PROPERTIES[TEMPLATE_ID]&amp;GRAPHICS_PROPERTIES[TEMPLATE_AMENDMENT_CODE])</f>
        <v>TPL_02A</v>
      </c>
    </row>
    <row r="549" spans="1:18" x14ac:dyDescent="0.35">
      <c r="A549" s="2" t="s">
        <v>3181</v>
      </c>
      <c r="B549" s="21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2" t="s">
        <v>2553</v>
      </c>
      <c r="G549" t="s">
        <v>1567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1" t="str">
        <f>"item_"&amp;CONTROL[[#This Row],[VEHIDCODE]]</f>
        <v>item_emu_Alsthom_Jeumont_TCDD_E8000</v>
      </c>
      <c r="O549" s="21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  <c r="R549" t="str" cm="1">
        <f t="array" ref="R549">_xlfn.XLOOKUP(CONTROL[[#This Row],[VEHIDCODE]],GRAPHICS_PROPERTIES[VEHIDCODE],GRAPHICS_PROPERTIES[TEMPLATE_ID]&amp;GRAPHICS_PROPERTIES[TEMPLATE_AMENDMENT_CODE])</f>
        <v>TPL_02A</v>
      </c>
    </row>
    <row r="550" spans="1:18" x14ac:dyDescent="0.35">
      <c r="A550" s="2" t="s">
        <v>3182</v>
      </c>
      <c r="B550" s="21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2" t="s">
        <v>2375</v>
      </c>
      <c r="G550" t="s">
        <v>1568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1" t="str">
        <f>"item_"&amp;CONTROL[[#This Row],[VEHIDCODE]]</f>
        <v>item_emu_CSR_Qingdao_CHR380A</v>
      </c>
      <c r="O550" s="21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  <c r="R550" t="str" cm="1">
        <f t="array" ref="R550">_xlfn.XLOOKUP(CONTROL[[#This Row],[VEHIDCODE]],GRAPHICS_PROPERTIES[VEHIDCODE],GRAPHICS_PROPERTIES[TEMPLATE_ID]&amp;GRAPHICS_PROPERTIES[TEMPLATE_AMENDMENT_CODE])</f>
        <v>TPL_02D</v>
      </c>
    </row>
    <row r="551" spans="1:18" x14ac:dyDescent="0.35">
      <c r="A551" s="2" t="s">
        <v>3183</v>
      </c>
      <c r="B551" s="21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2" t="s">
        <v>383</v>
      </c>
      <c r="G551" t="s">
        <v>1569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1" t="str">
        <f>"item_"&amp;CONTROL[[#This Row],[VEHIDCODE]]</f>
        <v>item_emu_PRR_MP54</v>
      </c>
      <c r="O551" s="21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  <c r="R551" t="str" cm="1">
        <f t="array" ref="R551">_xlfn.XLOOKUP(CONTROL[[#This Row],[VEHIDCODE]],GRAPHICS_PROPERTIES[VEHIDCODE],GRAPHICS_PROPERTIES[TEMPLATE_ID]&amp;GRAPHICS_PROPERTIES[TEMPLATE_AMENDMENT_CODE])</f>
        <v>TPL_02A</v>
      </c>
    </row>
    <row r="552" spans="1:18" x14ac:dyDescent="0.35">
      <c r="A552" s="2" t="s">
        <v>3184</v>
      </c>
      <c r="B552" s="21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2" t="s">
        <v>2376</v>
      </c>
      <c r="G552" t="s">
        <v>1570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1" t="str">
        <f>"item_"&amp;CONTROL[[#This Row],[VEHIDCODE]]</f>
        <v>item_emu_Alstom_AGV</v>
      </c>
      <c r="O552" s="21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  <c r="R552" t="str" cm="1">
        <f t="array" ref="R552">_xlfn.XLOOKUP(CONTROL[[#This Row],[VEHIDCODE]],GRAPHICS_PROPERTIES[VEHIDCODE],GRAPHICS_PROPERTIES[TEMPLATE_ID]&amp;GRAPHICS_PROPERTIES[TEMPLATE_AMENDMENT_CODE])</f>
        <v>TPL_02E</v>
      </c>
    </row>
    <row r="553" spans="1:18" x14ac:dyDescent="0.35">
      <c r="A553" s="2" t="s">
        <v>3185</v>
      </c>
      <c r="B553" s="21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2" t="s">
        <v>2377</v>
      </c>
      <c r="G553" t="s">
        <v>1571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1" t="str">
        <f>"item_"&amp;CONTROL[[#This Row],[VEHIDCODE]]</f>
        <v>item_emu_Alstom_Avelia_Horizon</v>
      </c>
      <c r="O553" s="21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  <c r="R553" t="str" cm="1">
        <f t="array" ref="R553">_xlfn.XLOOKUP(CONTROL[[#This Row],[VEHIDCODE]],GRAPHICS_PROPERTIES[VEHIDCODE],GRAPHICS_PROPERTIES[TEMPLATE_ID]&amp;GRAPHICS_PROPERTIES[TEMPLATE_AMENDMENT_CODE])</f>
        <v>TPL_02E</v>
      </c>
    </row>
    <row r="554" spans="1:18" x14ac:dyDescent="0.35">
      <c r="A554" s="2" t="s">
        <v>3186</v>
      </c>
      <c r="B554" s="21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2" t="s">
        <v>2378</v>
      </c>
      <c r="G554" t="s">
        <v>1572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1" t="str">
        <f>"item_"&amp;CONTROL[[#This Row],[VEHIDCODE]]</f>
        <v>item_emu_AnsaldoBreda_V250_Albatros</v>
      </c>
      <c r="O554" s="21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  <c r="R554" t="str" cm="1">
        <f t="array" ref="R554">_xlfn.XLOOKUP(CONTROL[[#This Row],[VEHIDCODE]],GRAPHICS_PROPERTIES[VEHIDCODE],GRAPHICS_PROPERTIES[TEMPLATE_ID]&amp;GRAPHICS_PROPERTIES[TEMPLATE_AMENDMENT_CODE])</f>
        <v>TPL_02D</v>
      </c>
    </row>
    <row r="555" spans="1:18" x14ac:dyDescent="0.35">
      <c r="A555" s="2" t="s">
        <v>3187</v>
      </c>
      <c r="B555" s="21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2" t="s">
        <v>1575</v>
      </c>
      <c r="G555" t="s">
        <v>523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1" t="str">
        <f>"item_"&amp;CONTROL[[#This Row],[VEHIDCODE]]</f>
        <v>item_emu_NS_4800_HSA_Fyra</v>
      </c>
      <c r="O555" s="21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  <c r="R555" t="str" cm="1">
        <f t="array" ref="R555">_xlfn.XLOOKUP(CONTROL[[#This Row],[VEHIDCODE]],GRAPHICS_PROPERTIES[VEHIDCODE],GRAPHICS_PROPERTIES[TEMPLATE_ID]&amp;GRAPHICS_PROPERTIES[TEMPLATE_AMENDMENT_CODE])</f>
        <v>TPL_02E</v>
      </c>
    </row>
    <row r="556" spans="1:18" x14ac:dyDescent="0.35">
      <c r="A556" s="2" t="s">
        <v>3188</v>
      </c>
      <c r="B556" s="21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2" t="s">
        <v>2379</v>
      </c>
      <c r="G556" t="s">
        <v>1573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1" t="str">
        <f>"item_"&amp;CONTROL[[#This Row],[VEHIDCODE]]</f>
        <v>item_emu_SIG_Rae_TEE_II</v>
      </c>
      <c r="O556" s="21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  <c r="R556" t="str" cm="1">
        <f t="array" ref="R556">_xlfn.XLOOKUP(CONTROL[[#This Row],[VEHIDCODE]],GRAPHICS_PROPERTIES[VEHIDCODE],GRAPHICS_PROPERTIES[TEMPLATE_ID]&amp;GRAPHICS_PROPERTIES[TEMPLATE_AMENDMENT_CODE])</f>
        <v>TPL_02D</v>
      </c>
    </row>
    <row r="557" spans="1:18" x14ac:dyDescent="0.35">
      <c r="A557" s="2" t="s">
        <v>3189</v>
      </c>
      <c r="B557" s="21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2" t="s">
        <v>2562</v>
      </c>
      <c r="G557" t="s">
        <v>1574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1" t="str">
        <f>"item_"&amp;CONTROL[[#This Row],[VEHIDCODE]]</f>
        <v>item_emu_Pullman_Erie_Lackawanna_2500_Series</v>
      </c>
      <c r="O557" s="21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  <c r="R557" t="str" cm="1">
        <f t="array" ref="R557">_xlfn.XLOOKUP(CONTROL[[#This Row],[VEHIDCODE]],GRAPHICS_PROPERTIES[VEHIDCODE],GRAPHICS_PROPERTIES[TEMPLATE_ID]&amp;GRAPHICS_PROPERTIES[TEMPLATE_AMENDMENT_CODE])</f>
        <v>TPL_02A</v>
      </c>
    </row>
    <row r="558" spans="1:18" x14ac:dyDescent="0.35">
      <c r="A558" s="2" t="s">
        <v>3190</v>
      </c>
      <c r="B558" s="21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2" t="s">
        <v>2554</v>
      </c>
      <c r="G558" t="s">
        <v>1576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1" t="str">
        <f>"item_"&amp;CONTROL[[#This Row],[VEHIDCODE]]</f>
        <v>item_emu_Alsthom_TGV_23000</v>
      </c>
      <c r="O558" s="21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  <c r="R558" t="str" cm="1">
        <f t="array" ref="R558">_xlfn.XLOOKUP(CONTROL[[#This Row],[VEHIDCODE]],GRAPHICS_PROPERTIES[VEHIDCODE],GRAPHICS_PROPERTIES[TEMPLATE_ID]&amp;GRAPHICS_PROPERTIES[TEMPLATE_AMENDMENT_CODE])</f>
        <v>TPL_02E</v>
      </c>
    </row>
    <row r="559" spans="1:18" x14ac:dyDescent="0.35">
      <c r="A559" s="2" t="s">
        <v>3191</v>
      </c>
      <c r="B559" s="21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2" t="s">
        <v>2555</v>
      </c>
      <c r="G559" t="s">
        <v>1577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1" t="str">
        <f>"item_"&amp;CONTROL[[#This Row],[VEHIDCODE]]</f>
        <v>item_emu_Alsthom_TGV_Duplex</v>
      </c>
      <c r="O559" s="21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  <c r="R559" t="str" cm="1">
        <f t="array" ref="R559">_xlfn.XLOOKUP(CONTROL[[#This Row],[VEHIDCODE]],GRAPHICS_PROPERTIES[VEHIDCODE],GRAPHICS_PROPERTIES[TEMPLATE_ID]&amp;GRAPHICS_PROPERTIES[TEMPLATE_AMENDMENT_CODE])</f>
        <v>TPL_02A</v>
      </c>
    </row>
    <row r="560" spans="1:18" x14ac:dyDescent="0.35">
      <c r="A560" s="2" t="s">
        <v>3192</v>
      </c>
      <c r="B560" s="21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2" t="s">
        <v>2556</v>
      </c>
      <c r="G560" t="s">
        <v>1578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1" t="str">
        <f>"item_"&amp;CONTROL[[#This Row],[VEHIDCODE]]</f>
        <v>item_emu_GEC_Alsthom_Thalys_PBKA</v>
      </c>
      <c r="O560" s="21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  <c r="R560" t="str" cm="1">
        <f t="array" ref="R560">_xlfn.XLOOKUP(CONTROL[[#This Row],[VEHIDCODE]],GRAPHICS_PROPERTIES[VEHIDCODE],GRAPHICS_PROPERTIES[TEMPLATE_ID]&amp;GRAPHICS_PROPERTIES[TEMPLATE_AMENDMENT_CODE])</f>
        <v>TPL_02E</v>
      </c>
    </row>
    <row r="561" spans="1:18" x14ac:dyDescent="0.35">
      <c r="A561" s="2" t="s">
        <v>3193</v>
      </c>
      <c r="B561" s="21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2" t="s">
        <v>2557</v>
      </c>
      <c r="G561" t="s">
        <v>1579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1" t="str">
        <f>"item_"&amp;CONTROL[[#This Row],[VEHIDCODE]]</f>
        <v>item_emu_Alsthom_Pendolino_680</v>
      </c>
      <c r="O561" s="21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  <c r="R561" t="str" cm="1">
        <f t="array" ref="R561">_xlfn.XLOOKUP(CONTROL[[#This Row],[VEHIDCODE]],GRAPHICS_PROPERTIES[VEHIDCODE],GRAPHICS_PROPERTIES[TEMPLATE_ID]&amp;GRAPHICS_PROPERTIES[TEMPLATE_AMENDMENT_CODE])</f>
        <v>TPL_02A</v>
      </c>
    </row>
    <row r="562" spans="1:18" x14ac:dyDescent="0.35">
      <c r="A562" s="2" t="s">
        <v>3194</v>
      </c>
      <c r="B562" s="21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2" t="s">
        <v>2380</v>
      </c>
      <c r="G562" t="s">
        <v>1580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1" t="str">
        <f>"item_"&amp;CONTROL[[#This Row],[VEHIDCODE]]</f>
        <v>item_emu_CAF_Alstom_Class_120</v>
      </c>
      <c r="O562" s="21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  <c r="R562" t="str" cm="1">
        <f t="array" ref="R562">_xlfn.XLOOKUP(CONTROL[[#This Row],[VEHIDCODE]],GRAPHICS_PROPERTIES[VEHIDCODE],GRAPHICS_PROPERTIES[TEMPLATE_ID]&amp;GRAPHICS_PROPERTIES[TEMPLATE_AMENDMENT_CODE])</f>
        <v>TPL_02A</v>
      </c>
    </row>
    <row r="563" spans="1:18" x14ac:dyDescent="0.35">
      <c r="A563" s="2" t="s">
        <v>3195</v>
      </c>
      <c r="B563" s="21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2" t="s">
        <v>2388</v>
      </c>
      <c r="G563" t="s">
        <v>1581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1" t="str">
        <f>"item_"&amp;CONTROL[[#This Row],[VEHIDCODE]]</f>
        <v>item_emu_Bombarier_Alstom_Acela_Express</v>
      </c>
      <c r="O563" s="21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  <c r="R563" t="str" cm="1">
        <f t="array" ref="R563">_xlfn.XLOOKUP(CONTROL[[#This Row],[VEHIDCODE]],GRAPHICS_PROPERTIES[VEHIDCODE],GRAPHICS_PROPERTIES[TEMPLATE_ID]&amp;GRAPHICS_PROPERTIES[TEMPLATE_AMENDMENT_CODE])</f>
        <v>TPL_02A</v>
      </c>
    </row>
    <row r="564" spans="1:18" x14ac:dyDescent="0.35">
      <c r="A564" s="2" t="s">
        <v>3196</v>
      </c>
      <c r="B564" s="21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2" t="s">
        <v>1667</v>
      </c>
      <c r="G564" t="s">
        <v>1643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1" t="str">
        <f>"item_"&amp;CONTROL[[#This Row],[VEHIDCODE]]</f>
        <v>item_singlemtro_Brooklyn_Union_Gate_1300</v>
      </c>
      <c r="O564" s="21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  <c r="R564" t="str" cm="1">
        <f t="array" ref="R564">_xlfn.XLOOKUP(CONTROL[[#This Row],[VEHIDCODE]],GRAPHICS_PROPERTIES[VEHIDCODE],GRAPHICS_PROPERTIES[TEMPLATE_ID]&amp;GRAPHICS_PROPERTIES[TEMPLATE_AMENDMENT_CODE])</f>
        <v>TPL_01B</v>
      </c>
    </row>
    <row r="565" spans="1:18" x14ac:dyDescent="0.35">
      <c r="A565" s="2" t="s">
        <v>3197</v>
      </c>
      <c r="B565" s="21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2" t="s">
        <v>2389</v>
      </c>
      <c r="G565" t="s">
        <v>1644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1" t="str">
        <f>"item_"&amp;CONTROL[[#This Row],[VEHIDCODE]]</f>
        <v>item_singlemtro_Siemens___Halske_Budapest_1894_Stock</v>
      </c>
      <c r="O565" s="21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  <c r="R565" t="str" cm="1">
        <f t="array" ref="R565">_xlfn.XLOOKUP(CONTROL[[#This Row],[VEHIDCODE]],GRAPHICS_PROPERTIES[VEHIDCODE],GRAPHICS_PROPERTIES[TEMPLATE_ID]&amp;GRAPHICS_PROPERTIES[TEMPLATE_AMENDMENT_CODE])</f>
        <v>TPL_01B</v>
      </c>
    </row>
    <row r="566" spans="1:18" x14ac:dyDescent="0.35">
      <c r="A566" s="2" t="s">
        <v>3198</v>
      </c>
      <c r="B566" s="21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2" t="s">
        <v>384</v>
      </c>
      <c r="G566" t="s">
        <v>1645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1" t="str">
        <f>"item_"&amp;CONTROL[[#This Row],[VEHIDCODE]]</f>
        <v>item_singlemtro_Chicago_L_Northwest_Elevated_1907_Stock</v>
      </c>
      <c r="O566" s="21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  <c r="R566" t="str" cm="1">
        <f t="array" ref="R566">_xlfn.XLOOKUP(CONTROL[[#This Row],[VEHIDCODE]],GRAPHICS_PROPERTIES[VEHIDCODE],GRAPHICS_PROPERTIES[TEMPLATE_ID]&amp;GRAPHICS_PROPERTIES[TEMPLATE_AMENDMENT_CODE])</f>
        <v>TPL_01A</v>
      </c>
    </row>
    <row r="567" spans="1:18" x14ac:dyDescent="0.35">
      <c r="A567" s="2" t="s">
        <v>3199</v>
      </c>
      <c r="B567" s="21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2" t="s">
        <v>385</v>
      </c>
      <c r="G567" t="s">
        <v>1646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1" t="str">
        <f>"item_"&amp;CONTROL[[#This Row],[VEHIDCODE]]</f>
        <v>item_singlemtro_Berlin_U_Bahn_C_II</v>
      </c>
      <c r="O567" s="21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  <c r="R567" t="str" cm="1">
        <f t="array" ref="R567">_xlfn.XLOOKUP(CONTROL[[#This Row],[VEHIDCODE]],GRAPHICS_PROPERTIES[VEHIDCODE],GRAPHICS_PROPERTIES[TEMPLATE_ID]&amp;GRAPHICS_PROPERTIES[TEMPLATE_AMENDMENT_CODE])</f>
        <v>TPL_01B</v>
      </c>
    </row>
    <row r="568" spans="1:18" x14ac:dyDescent="0.35">
      <c r="A568" s="2" t="s">
        <v>3200</v>
      </c>
      <c r="B568" s="21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16000</v>
      </c>
      <c r="F568" s="32" t="s">
        <v>2577</v>
      </c>
      <c r="G568" t="s">
        <v>523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1" t="str">
        <f>"item_"&amp;CONTROL[[#This Row],[VEHIDCODE]]</f>
        <v>item_rbm_ACME_Corp__Turbobus</v>
      </c>
      <c r="O568" s="21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  <c r="R568" t="str" cm="1">
        <f t="array" ref="R568">_xlfn.XLOOKUP(CONTROL[[#This Row],[VEHIDCODE]],GRAPHICS_PROPERTIES[VEHIDCODE],GRAPHICS_PROPERTIES[TEMPLATE_ID]&amp;GRAPHICS_PROPERTIES[TEMPLATE_AMENDMENT_CODE])</f>
        <v>TPL_16B</v>
      </c>
    </row>
    <row r="569" spans="1:18" x14ac:dyDescent="0.35">
      <c r="A569" s="2" t="s">
        <v>3201</v>
      </c>
      <c r="B569" s="21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2" t="s">
        <v>3485</v>
      </c>
      <c r="G569" t="s">
        <v>523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1" t="str">
        <f>"item_"&amp;CONTROL[[#This Row],[VEHIDCODE]]</f>
        <v>item_mglv_Siemens_Eurosprinter_ES64U4M</v>
      </c>
      <c r="O569" s="21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  <c r="R569" t="str" cm="1">
        <f t="array" ref="R569">_xlfn.XLOOKUP(CONTROL[[#This Row],[VEHIDCODE]],GRAPHICS_PROPERTIES[VEHIDCODE],GRAPHICS_PROPERTIES[TEMPLATE_ID]&amp;GRAPHICS_PROPERTIES[TEMPLATE_AMENDMENT_CODE])</f>
        <v>TPL_01A</v>
      </c>
    </row>
    <row r="570" spans="1:18" x14ac:dyDescent="0.35">
      <c r="A570" s="2" t="s">
        <v>3202</v>
      </c>
      <c r="B570" s="21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10000</v>
      </c>
      <c r="F570" s="32" t="s">
        <v>2390</v>
      </c>
      <c r="G570" t="s">
        <v>1582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1" t="str">
        <f>"item_"&amp;CONTROL[[#This Row],[VEHIDCODE]]</f>
        <v>item_mmu_Siemens_Thyssenkrupp_Transrapid</v>
      </c>
      <c r="O570" s="21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  <c r="R570" t="str" cm="1">
        <f t="array" ref="R570">_xlfn.XLOOKUP(CONTROL[[#This Row],[VEHIDCODE]],GRAPHICS_PROPERTIES[VEHIDCODE],GRAPHICS_PROPERTIES[TEMPLATE_ID]&amp;GRAPHICS_PROPERTIES[TEMPLATE_AMENDMENT_CODE])</f>
        <v>TPL_02A</v>
      </c>
    </row>
    <row r="571" spans="1:18" x14ac:dyDescent="0.35">
      <c r="A571" s="2" t="s">
        <v>3203</v>
      </c>
      <c r="B571" s="21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10001</v>
      </c>
      <c r="F571" s="32" t="s">
        <v>2391</v>
      </c>
      <c r="G571" t="s">
        <v>1583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1" t="str">
        <f>"item_"&amp;CONTROL[[#This Row],[VEHIDCODE]]</f>
        <v>item_mmu_Mistubishi_Nippon_Sharyo_MLX01_901</v>
      </c>
      <c r="O571" s="21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  <c r="R571" t="str" cm="1">
        <f t="array" ref="R571">_xlfn.XLOOKUP(CONTROL[[#This Row],[VEHIDCODE]],GRAPHICS_PROPERTIES[VEHIDCODE],GRAPHICS_PROPERTIES[TEMPLATE_ID]&amp;GRAPHICS_PROPERTIES[TEMPLATE_AMENDMENT_CODE])</f>
        <v>TPL_02A</v>
      </c>
    </row>
    <row r="572" spans="1:18" x14ac:dyDescent="0.35">
      <c r="A572" s="2" t="s">
        <v>227</v>
      </c>
      <c r="B572" s="21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10500</v>
      </c>
      <c r="F572" s="32" t="s">
        <v>1670</v>
      </c>
      <c r="G572" t="s">
        <v>523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1" t="str">
        <f>"item_"&amp;CONTROL[[#This Row],[VEHIDCODE]]</f>
        <v>item_mglv_Wagon_Gen7M_Boxcar_Type1</v>
      </c>
      <c r="O572" s="21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  <c r="R572" t="str" cm="1">
        <f t="array" ref="R572">_xlfn.XLOOKUP(CONTROL[[#This Row],[VEHIDCODE]],GRAPHICS_PROPERTIES[VEHIDCODE],GRAPHICS_PROPERTIES[TEMPLATE_ID]&amp;GRAPHICS_PROPERTIES[TEMPLATE_AMENDMENT_CODE])</f>
        <v>TPL_04B</v>
      </c>
    </row>
    <row r="573" spans="1:18" x14ac:dyDescent="0.35">
      <c r="A573" s="2" t="s">
        <v>211</v>
      </c>
      <c r="B573" s="21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10501</v>
      </c>
      <c r="F573" s="32" t="s">
        <v>1685</v>
      </c>
      <c r="G573" t="s">
        <v>523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1" t="str">
        <f>"item_"&amp;CONTROL[[#This Row],[VEHIDCODE]]</f>
        <v>item_mglv_Wagon_Gen7M_Boxcar_Type2</v>
      </c>
      <c r="O573" s="21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  <c r="R573" t="str" cm="1">
        <f t="array" ref="R573">_xlfn.XLOOKUP(CONTROL[[#This Row],[VEHIDCODE]],GRAPHICS_PROPERTIES[VEHIDCODE],GRAPHICS_PROPERTIES[TEMPLATE_ID]&amp;GRAPHICS_PROPERTIES[TEMPLATE_AMENDMENT_CODE])</f>
        <v>TPL_04B</v>
      </c>
    </row>
    <row r="574" spans="1:18" x14ac:dyDescent="0.35">
      <c r="A574" s="2" t="s">
        <v>212</v>
      </c>
      <c r="B574" s="21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10502</v>
      </c>
      <c r="F574" s="32" t="s">
        <v>386</v>
      </c>
      <c r="G574" t="s">
        <v>523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1" t="str">
        <f>"item_"&amp;CONTROL[[#This Row],[VEHIDCODE]]</f>
        <v>item_mglv_Wagon_Gen7M_Car_Transporter</v>
      </c>
      <c r="O574" s="21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  <c r="R574" t="str" cm="1">
        <f t="array" ref="R574">_xlfn.XLOOKUP(CONTROL[[#This Row],[VEHIDCODE]],GRAPHICS_PROPERTIES[VEHIDCODE],GRAPHICS_PROPERTIES[TEMPLATE_ID]&amp;GRAPHICS_PROPERTIES[TEMPLATE_AMENDMENT_CODE])</f>
        <v>TPL_04B</v>
      </c>
    </row>
    <row r="575" spans="1:18" x14ac:dyDescent="0.35">
      <c r="A575" s="2" t="s">
        <v>213</v>
      </c>
      <c r="B575" s="21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10503</v>
      </c>
      <c r="F575" s="32" t="s">
        <v>387</v>
      </c>
      <c r="G575" t="s">
        <v>523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1" t="str">
        <f>"item_"&amp;CONTROL[[#This Row],[VEHIDCODE]]</f>
        <v>item_mglv_Wagon_Gen7M_Centerbeam</v>
      </c>
      <c r="O575" s="21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  <c r="R575" t="str" cm="1">
        <f t="array" ref="R575">_xlfn.XLOOKUP(CONTROL[[#This Row],[VEHIDCODE]],GRAPHICS_PROPERTIES[VEHIDCODE],GRAPHICS_PROPERTIES[TEMPLATE_ID]&amp;GRAPHICS_PROPERTIES[TEMPLATE_AMENDMENT_CODE])</f>
        <v>TPL_04B</v>
      </c>
    </row>
    <row r="576" spans="1:18" x14ac:dyDescent="0.35">
      <c r="A576" s="2" t="s">
        <v>214</v>
      </c>
      <c r="B576" s="21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10504</v>
      </c>
      <c r="F576" s="32" t="s">
        <v>388</v>
      </c>
      <c r="G576" t="s">
        <v>523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1" t="str">
        <f>"item_"&amp;CONTROL[[#This Row],[VEHIDCODE]]</f>
        <v>item_mglv_Wagon_Gen7M_Container_Carrier</v>
      </c>
      <c r="O576" s="21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  <c r="R576" t="str" cm="1">
        <f t="array" ref="R576">_xlfn.XLOOKUP(CONTROL[[#This Row],[VEHIDCODE]],GRAPHICS_PROPERTIES[VEHIDCODE],GRAPHICS_PROPERTIES[TEMPLATE_ID]&amp;GRAPHICS_PROPERTIES[TEMPLATE_AMENDMENT_CODE])</f>
        <v>TPL_04B</v>
      </c>
    </row>
    <row r="577" spans="1:18" x14ac:dyDescent="0.35">
      <c r="A577" s="2" t="s">
        <v>215</v>
      </c>
      <c r="B577" s="21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10505</v>
      </c>
      <c r="F577" s="32" t="s">
        <v>389</v>
      </c>
      <c r="G577" t="s">
        <v>523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1" t="str">
        <f>"item_"&amp;CONTROL[[#This Row],[VEHIDCODE]]</f>
        <v>item_mglv_Wagon_Gen7M_Container_Doublestack</v>
      </c>
      <c r="O577" s="21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  <c r="R577" t="str" cm="1">
        <f t="array" ref="R577">_xlfn.XLOOKUP(CONTROL[[#This Row],[VEHIDCODE]],GRAPHICS_PROPERTIES[VEHIDCODE],GRAPHICS_PROPERTIES[TEMPLATE_ID]&amp;GRAPHICS_PROPERTIES[TEMPLATE_AMENDMENT_CODE])</f>
        <v>TPL_04B</v>
      </c>
    </row>
    <row r="578" spans="1:18" x14ac:dyDescent="0.35">
      <c r="A578" s="2" t="s">
        <v>216</v>
      </c>
      <c r="B578" s="21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10506</v>
      </c>
      <c r="F578" s="32" t="s">
        <v>390</v>
      </c>
      <c r="G578" t="s">
        <v>523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1" t="str">
        <f>"item_"&amp;CONTROL[[#This Row],[VEHIDCODE]]</f>
        <v>item_mglv_Wagon_Gen7M_Flatcar</v>
      </c>
      <c r="O578" s="21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  <c r="R578" t="str" cm="1">
        <f t="array" ref="R578">_xlfn.XLOOKUP(CONTROL[[#This Row],[VEHIDCODE]],GRAPHICS_PROPERTIES[VEHIDCODE],GRAPHICS_PROPERTIES[TEMPLATE_ID]&amp;GRAPHICS_PROPERTIES[TEMPLATE_AMENDMENT_CODE])</f>
        <v>TPL_04B</v>
      </c>
    </row>
    <row r="579" spans="1:18" x14ac:dyDescent="0.35">
      <c r="A579" s="2" t="s">
        <v>217</v>
      </c>
      <c r="B579" s="21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10507</v>
      </c>
      <c r="F579" s="32" t="s">
        <v>391</v>
      </c>
      <c r="G579" t="s">
        <v>523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1" t="str">
        <f>"item_"&amp;CONTROL[[#This Row],[VEHIDCODE]]</f>
        <v>item_mglv_Wagon_Gen7M_Gondola</v>
      </c>
      <c r="O579" s="21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  <c r="R579" t="str" cm="1">
        <f t="array" ref="R579">_xlfn.XLOOKUP(CONTROL[[#This Row],[VEHIDCODE]],GRAPHICS_PROPERTIES[VEHIDCODE],GRAPHICS_PROPERTIES[TEMPLATE_ID]&amp;GRAPHICS_PROPERTIES[TEMPLATE_AMENDMENT_CODE])</f>
        <v>TPL_04B</v>
      </c>
    </row>
    <row r="580" spans="1:18" x14ac:dyDescent="0.35">
      <c r="A580" s="2" t="s">
        <v>218</v>
      </c>
      <c r="B580" s="21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10508</v>
      </c>
      <c r="F580" s="32" t="s">
        <v>392</v>
      </c>
      <c r="G580" t="s">
        <v>523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1" t="str">
        <f>"item_"&amp;CONTROL[[#This Row],[VEHIDCODE]]</f>
        <v>item_mglv_Wagon_Gen7M_Heavy_Flatcar</v>
      </c>
      <c r="O580" s="21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  <c r="R580" t="str" cm="1">
        <f t="array" ref="R580">_xlfn.XLOOKUP(CONTROL[[#This Row],[VEHIDCODE]],GRAPHICS_PROPERTIES[VEHIDCODE],GRAPHICS_PROPERTIES[TEMPLATE_ID]&amp;GRAPHICS_PROPERTIES[TEMPLATE_AMENDMENT_CODE])</f>
        <v>TPL_04B</v>
      </c>
    </row>
    <row r="581" spans="1:18" x14ac:dyDescent="0.35">
      <c r="A581" s="2" t="s">
        <v>219</v>
      </c>
      <c r="B581" s="21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10509</v>
      </c>
      <c r="F581" s="32" t="s">
        <v>1671</v>
      </c>
      <c r="G581" t="s">
        <v>523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1" t="str">
        <f>"item_"&amp;CONTROL[[#This Row],[VEHIDCODE]]</f>
        <v>item_mglv_Wagon_Gen7M_Hopper_Type1</v>
      </c>
      <c r="O581" s="21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  <c r="R581" t="str" cm="1">
        <f t="array" ref="R581">_xlfn.XLOOKUP(CONTROL[[#This Row],[VEHIDCODE]],GRAPHICS_PROPERTIES[VEHIDCODE],GRAPHICS_PROPERTIES[TEMPLATE_ID]&amp;GRAPHICS_PROPERTIES[TEMPLATE_AMENDMENT_CODE])</f>
        <v>TPL_04B</v>
      </c>
    </row>
    <row r="582" spans="1:18" x14ac:dyDescent="0.35">
      <c r="A582" s="2" t="s">
        <v>220</v>
      </c>
      <c r="B582" s="21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10510</v>
      </c>
      <c r="F582" s="32" t="s">
        <v>1686</v>
      </c>
      <c r="G582" t="s">
        <v>523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1" t="str">
        <f>"item_"&amp;CONTROL[[#This Row],[VEHIDCODE]]</f>
        <v>item_mglv_Wagon_Gen7M_Hopper_Type2</v>
      </c>
      <c r="O582" s="21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  <c r="R582" t="str" cm="1">
        <f t="array" ref="R582">_xlfn.XLOOKUP(CONTROL[[#This Row],[VEHIDCODE]],GRAPHICS_PROPERTIES[VEHIDCODE],GRAPHICS_PROPERTIES[TEMPLATE_ID]&amp;GRAPHICS_PROPERTIES[TEMPLATE_AMENDMENT_CODE])</f>
        <v>TPL_04B</v>
      </c>
    </row>
    <row r="583" spans="1:18" x14ac:dyDescent="0.35">
      <c r="A583" s="2" t="s">
        <v>221</v>
      </c>
      <c r="B583" s="21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10511</v>
      </c>
      <c r="F583" s="32" t="s">
        <v>1672</v>
      </c>
      <c r="G583" t="s">
        <v>523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1" t="str">
        <f>"item_"&amp;CONTROL[[#This Row],[VEHIDCODE]]</f>
        <v>item_mglv_Wagon_Gen7M_Silo_Type1</v>
      </c>
      <c r="O583" s="21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  <c r="R583" t="str" cm="1">
        <f t="array" ref="R583">_xlfn.XLOOKUP(CONTROL[[#This Row],[VEHIDCODE]],GRAPHICS_PROPERTIES[VEHIDCODE],GRAPHICS_PROPERTIES[TEMPLATE_ID]&amp;GRAPHICS_PROPERTIES[TEMPLATE_AMENDMENT_CODE])</f>
        <v>TPL_04B</v>
      </c>
    </row>
    <row r="584" spans="1:18" x14ac:dyDescent="0.35">
      <c r="A584" s="2" t="s">
        <v>222</v>
      </c>
      <c r="B584" s="21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10512</v>
      </c>
      <c r="F584" s="32" t="s">
        <v>1687</v>
      </c>
      <c r="G584" t="s">
        <v>523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1" t="str">
        <f>"item_"&amp;CONTROL[[#This Row],[VEHIDCODE]]</f>
        <v>item_mglv_Wagon_Gen7M_Silo_Type2</v>
      </c>
      <c r="O584" s="21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  <c r="R584" t="str" cm="1">
        <f t="array" ref="R584">_xlfn.XLOOKUP(CONTROL[[#This Row],[VEHIDCODE]],GRAPHICS_PROPERTIES[VEHIDCODE],GRAPHICS_PROPERTIES[TEMPLATE_ID]&amp;GRAPHICS_PROPERTIES[TEMPLATE_AMENDMENT_CODE])</f>
        <v>TPL_04B</v>
      </c>
    </row>
    <row r="585" spans="1:18" x14ac:dyDescent="0.35">
      <c r="A585" s="2" t="s">
        <v>223</v>
      </c>
      <c r="B585" s="21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10513</v>
      </c>
      <c r="F585" s="32" t="s">
        <v>393</v>
      </c>
      <c r="G585" t="s">
        <v>523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1" t="str">
        <f>"item_"&amp;CONTROL[[#This Row],[VEHIDCODE]]</f>
        <v>item_mglv_Wagon_Gen7M_Superheavy_Flatcar</v>
      </c>
      <c r="O585" s="21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  <c r="R585" t="str" cm="1">
        <f t="array" ref="R585">_xlfn.XLOOKUP(CONTROL[[#This Row],[VEHIDCODE]],GRAPHICS_PROPERTIES[VEHIDCODE],GRAPHICS_PROPERTIES[TEMPLATE_ID]&amp;GRAPHICS_PROPERTIES[TEMPLATE_AMENDMENT_CODE])</f>
        <v>TPL_25A</v>
      </c>
    </row>
    <row r="586" spans="1:18" x14ac:dyDescent="0.35">
      <c r="A586" s="2" t="s">
        <v>224</v>
      </c>
      <c r="B586" s="21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10514</v>
      </c>
      <c r="F586" s="32" t="s">
        <v>394</v>
      </c>
      <c r="G586" t="s">
        <v>523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1" t="str">
        <f>"item_"&amp;CONTROL[[#This Row],[VEHIDCODE]]</f>
        <v>item_mglv_Wagon_Gen7M_Tanker</v>
      </c>
      <c r="O586" s="21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  <c r="R586" t="str" cm="1">
        <f t="array" ref="R586">_xlfn.XLOOKUP(CONTROL[[#This Row],[VEHIDCODE]],GRAPHICS_PROPERTIES[VEHIDCODE],GRAPHICS_PROPERTIES[TEMPLATE_ID]&amp;GRAPHICS_PROPERTIES[TEMPLATE_AMENDMENT_CODE])</f>
        <v>TPL_04B</v>
      </c>
    </row>
    <row r="587" spans="1:18" x14ac:dyDescent="0.35">
      <c r="A587" s="2" t="s">
        <v>3204</v>
      </c>
      <c r="B587" s="21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2" t="s">
        <v>2392</v>
      </c>
      <c r="G587" t="s">
        <v>1615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1" t="str">
        <f>"item_"&amp;CONTROL[[#This Row],[VEHIDCODE]]</f>
        <v>item_rbd_Niigata_Transys_Shikoku_1000</v>
      </c>
      <c r="O587" s="21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  <c r="R587" t="str" cm="1">
        <f t="array" ref="R587">_xlfn.XLOOKUP(CONTROL[[#This Row],[VEHIDCODE]],GRAPHICS_PROPERTIES[VEHIDCODE],GRAPHICS_PROPERTIES[TEMPLATE_ID]&amp;GRAPHICS_PROPERTIES[TEMPLATE_AMENDMENT_CODE])</f>
        <v>TPL_01B</v>
      </c>
    </row>
    <row r="588" spans="1:18" x14ac:dyDescent="0.35">
      <c r="A588" s="2" t="s">
        <v>3205</v>
      </c>
      <c r="B588" s="21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2" t="s">
        <v>2393</v>
      </c>
      <c r="G588" t="s">
        <v>1616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1" t="str">
        <f>"item_"&amp;CONTROL[[#This Row],[VEHIDCODE]]</f>
        <v>item_rbd_Niigata_Transys_KiHa_E120</v>
      </c>
      <c r="O588" s="21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  <c r="R588" t="str" cm="1">
        <f t="array" ref="R588">_xlfn.XLOOKUP(CONTROL[[#This Row],[VEHIDCODE]],GRAPHICS_PROPERTIES[VEHIDCODE],GRAPHICS_PROPERTIES[TEMPLATE_ID]&amp;GRAPHICS_PROPERTIES[TEMPLATE_AMENDMENT_CODE])</f>
        <v>TPL_01B</v>
      </c>
    </row>
    <row r="589" spans="1:18" x14ac:dyDescent="0.35">
      <c r="A589" s="2" t="s">
        <v>3206</v>
      </c>
      <c r="B589" s="21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2" t="s">
        <v>3536</v>
      </c>
      <c r="G589" t="s">
        <v>3535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1" t="str">
        <f>"item_"&amp;CONTROL[[#This Row],[VEHIDCODE]]</f>
        <v>item_rbd_EFE_SB_56_Buscarril</v>
      </c>
      <c r="O589" s="21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  <c r="R589" t="str" cm="1">
        <f t="array" ref="R589">_xlfn.XLOOKUP(CONTROL[[#This Row],[VEHIDCODE]],GRAPHICS_PROPERTIES[VEHIDCODE],GRAPHICS_PROPERTIES[TEMPLATE_ID]&amp;GRAPHICS_PROPERTIES[TEMPLATE_AMENDMENT_CODE])</f>
        <v>TPL_01B</v>
      </c>
    </row>
    <row r="590" spans="1:18" x14ac:dyDescent="0.35">
      <c r="A590" s="2" t="s">
        <v>3207</v>
      </c>
      <c r="B590" s="21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2" t="s">
        <v>2394</v>
      </c>
      <c r="G590" t="s">
        <v>1618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1" t="str">
        <f>"item_"&amp;CONTROL[[#This Row],[VEHIDCODE]]</f>
        <v>item_rbd_Sulzer_M_Railcar</v>
      </c>
      <c r="O590" s="21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  <c r="R590" t="str" cm="1">
        <f t="array" ref="R590">_xlfn.XLOOKUP(CONTROL[[#This Row],[VEHIDCODE]],GRAPHICS_PROPERTIES[VEHIDCODE],GRAPHICS_PROPERTIES[TEMPLATE_ID]&amp;GRAPHICS_PROPERTIES[TEMPLATE_AMENDMENT_CODE])</f>
        <v>TPL_01B</v>
      </c>
    </row>
    <row r="591" spans="1:18" x14ac:dyDescent="0.35">
      <c r="A591" s="2" t="s">
        <v>3208</v>
      </c>
      <c r="B591" s="21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2" t="s">
        <v>395</v>
      </c>
      <c r="G591" t="s">
        <v>1617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1" t="str">
        <f>"item_"&amp;CONTROL[[#This Row],[VEHIDCODE]]</f>
        <v>item_rbd_Eritrean_Railway_A_62_70_Littorina</v>
      </c>
      <c r="O591" s="21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  <c r="R591" t="str" cm="1">
        <f t="array" ref="R591">_xlfn.XLOOKUP(CONTROL[[#This Row],[VEHIDCODE]],GRAPHICS_PROPERTIES[VEHIDCODE],GRAPHICS_PROPERTIES[TEMPLATE_ID]&amp;GRAPHICS_PROPERTIES[TEMPLATE_AMENDMENT_CODE])</f>
        <v>TPL_01B</v>
      </c>
    </row>
    <row r="592" spans="1:18" x14ac:dyDescent="0.35">
      <c r="A592" s="2" t="s">
        <v>3209</v>
      </c>
      <c r="B592" s="21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2" t="s">
        <v>2395</v>
      </c>
      <c r="G592" t="s">
        <v>1619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1" t="str">
        <f>"item_"&amp;CONTROL[[#This Row],[VEHIDCODE]]</f>
        <v>item_rbe_SLM_CFe_3_3</v>
      </c>
      <c r="O592" s="21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  <c r="R592" t="str" cm="1">
        <f t="array" ref="R592">_xlfn.XLOOKUP(CONTROL[[#This Row],[VEHIDCODE]],GRAPHICS_PROPERTIES[VEHIDCODE],GRAPHICS_PROPERTIES[TEMPLATE_ID]&amp;GRAPHICS_PROPERTIES[TEMPLATE_AMENDMENT_CODE])</f>
        <v>TPL_01B</v>
      </c>
    </row>
    <row r="593" spans="1:18" x14ac:dyDescent="0.35">
      <c r="A593" s="2" t="s">
        <v>3210</v>
      </c>
      <c r="B593" s="21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2" t="s">
        <v>396</v>
      </c>
      <c r="G593" t="s">
        <v>3534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1" t="str">
        <f>"item_"&amp;CONTROL[[#This Row],[VEHIDCODE]]</f>
        <v>item_rbe_TPC_BVB_Be_2_2</v>
      </c>
      <c r="O593" s="21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  <c r="R593" t="str" cm="1">
        <f t="array" ref="R593">_xlfn.XLOOKUP(CONTROL[[#This Row],[VEHIDCODE]],GRAPHICS_PROPERTIES[VEHIDCODE],GRAPHICS_PROPERTIES[TEMPLATE_ID]&amp;GRAPHICS_PROPERTIES[TEMPLATE_AMENDMENT_CODE])</f>
        <v>TPL_01B</v>
      </c>
    </row>
    <row r="594" spans="1:18" x14ac:dyDescent="0.35">
      <c r="A594" s="2" t="s">
        <v>3211</v>
      </c>
      <c r="B594" s="21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2" t="s">
        <v>397</v>
      </c>
      <c r="G594" t="s">
        <v>1620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1" t="str">
        <f>"item_"&amp;CONTROL[[#This Row],[VEHIDCODE]]</f>
        <v>item_rbe_MVR_Beh_2_4</v>
      </c>
      <c r="O594" s="21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  <c r="R594" t="str" cm="1">
        <f t="array" ref="R594">_xlfn.XLOOKUP(CONTROL[[#This Row],[VEHIDCODE]],GRAPHICS_PROPERTIES[VEHIDCODE],GRAPHICS_PROPERTIES[TEMPLATE_ID]&amp;GRAPHICS_PROPERTIES[TEMPLATE_AMENDMENT_CODE])</f>
        <v>TPL_01B</v>
      </c>
    </row>
    <row r="595" spans="1:18" x14ac:dyDescent="0.35">
      <c r="A595" s="2" t="s">
        <v>3212</v>
      </c>
      <c r="B595" s="21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2" t="s">
        <v>398</v>
      </c>
      <c r="G595" t="s">
        <v>1621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1" t="str">
        <f>"item_"&amp;CONTROL[[#This Row],[VEHIDCODE]]</f>
        <v>item_rbe_Ferrocarril_de_Soller_1_3</v>
      </c>
      <c r="O595" s="21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  <c r="R595" t="str" cm="1">
        <f t="array" ref="R595">_xlfn.XLOOKUP(CONTROL[[#This Row],[VEHIDCODE]],GRAPHICS_PROPERTIES[VEHIDCODE],GRAPHICS_PROPERTIES[TEMPLATE_ID]&amp;GRAPHICS_PROPERTIES[TEMPLATE_AMENDMENT_CODE])</f>
        <v>TPL_01B</v>
      </c>
    </row>
    <row r="596" spans="1:18" x14ac:dyDescent="0.35">
      <c r="A596" s="2" t="s">
        <v>3213</v>
      </c>
      <c r="B596" s="21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2" t="s">
        <v>2396</v>
      </c>
      <c r="G596" t="s">
        <v>1622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1" t="str">
        <f>"item_"&amp;CONTROL[[#This Row],[VEHIDCODE]]</f>
        <v>item_rbe_Hitachi_Choshi_DeHa_1000</v>
      </c>
      <c r="O596" s="21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  <c r="R596" t="str" cm="1">
        <f t="array" ref="R596">_xlfn.XLOOKUP(CONTROL[[#This Row],[VEHIDCODE]],GRAPHICS_PROPERTIES[VEHIDCODE],GRAPHICS_PROPERTIES[TEMPLATE_ID]&amp;GRAPHICS_PROPERTIES[TEMPLATE_AMENDMENT_CODE])</f>
        <v>TPL_01B</v>
      </c>
    </row>
    <row r="597" spans="1:18" x14ac:dyDescent="0.35">
      <c r="A597" s="2" t="s">
        <v>3214</v>
      </c>
      <c r="B597" s="21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2" t="s">
        <v>2397</v>
      </c>
      <c r="G597" t="s">
        <v>1623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1" t="str">
        <f>"item_"&amp;CONTROL[[#This Row],[VEHIDCODE]]</f>
        <v>item_steam_SLM_G_3_4</v>
      </c>
      <c r="O597" s="21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  <c r="R597" t="str" cm="1">
        <f t="array" ref="R597">_xlfn.XLOOKUP(CONTROL[[#This Row],[VEHIDCODE]],GRAPHICS_PROPERTIES[VEHIDCODE],GRAPHICS_PROPERTIES[TEMPLATE_ID]&amp;GRAPHICS_PROPERTIES[TEMPLATE_AMENDMENT_CODE])</f>
        <v>TPL_03C</v>
      </c>
    </row>
    <row r="598" spans="1:18" x14ac:dyDescent="0.35">
      <c r="A598" s="2" t="s">
        <v>3215</v>
      </c>
      <c r="B598" s="21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2" t="s">
        <v>2398</v>
      </c>
      <c r="G598" t="s">
        <v>1624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1" t="str">
        <f>"item_"&amp;CONTROL[[#This Row],[VEHIDCODE]]</f>
        <v>item_steam_Kisha_Seizo_2_10_4T_E10</v>
      </c>
      <c r="O598" s="21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  <c r="R598" t="str" cm="1">
        <f t="array" ref="R598">_xlfn.XLOOKUP(CONTROL[[#This Row],[VEHIDCODE]],GRAPHICS_PROPERTIES[VEHIDCODE],GRAPHICS_PROPERTIES[TEMPLATE_ID]&amp;GRAPHICS_PROPERTIES[TEMPLATE_AMENDMENT_CODE])</f>
        <v>TPL_03C</v>
      </c>
    </row>
    <row r="599" spans="1:18" x14ac:dyDescent="0.35">
      <c r="A599" s="2" t="s">
        <v>3216</v>
      </c>
      <c r="B599" s="21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2" t="s">
        <v>2568</v>
      </c>
      <c r="G599" t="s">
        <v>1625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1" t="str">
        <f>"item_"&amp;CONTROL[[#This Row],[VEHIDCODE]]</f>
        <v>item_steam_H__K__Porter__Inc_2_6_0_7100</v>
      </c>
      <c r="O599" s="21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  <c r="R599" t="str" cm="1">
        <f t="array" ref="R599">_xlfn.XLOOKUP(CONTROL[[#This Row],[VEHIDCODE]],GRAPHICS_PROPERTIES[VEHIDCODE],GRAPHICS_PROPERTIES[TEMPLATE_ID]&amp;GRAPHICS_PROPERTIES[TEMPLATE_AMENDMENT_CODE])</f>
        <v>TPL_03A</v>
      </c>
    </row>
    <row r="600" spans="1:18" x14ac:dyDescent="0.35">
      <c r="A600" s="2" t="s">
        <v>3217</v>
      </c>
      <c r="B600" s="21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2" t="s">
        <v>2399</v>
      </c>
      <c r="G600" t="s">
        <v>1626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1" t="str">
        <f>"item_"&amp;CONTROL[[#This Row],[VEHIDCODE]]</f>
        <v>item_steam_Richard_Francis_Trevithick_2_4_2T_860</v>
      </c>
      <c r="O600" s="21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  <c r="R600" t="str" cm="1">
        <f t="array" ref="R600">_xlfn.XLOOKUP(CONTROL[[#This Row],[VEHIDCODE]],GRAPHICS_PROPERTIES[VEHIDCODE],GRAPHICS_PROPERTIES[TEMPLATE_ID]&amp;GRAPHICS_PROPERTIES[TEMPLATE_AMENDMENT_CODE])</f>
        <v>TPL_03C</v>
      </c>
    </row>
    <row r="601" spans="1:18" x14ac:dyDescent="0.35">
      <c r="A601" s="2" t="s">
        <v>3218</v>
      </c>
      <c r="B601" s="21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2" t="s">
        <v>2400</v>
      </c>
      <c r="G601" t="s">
        <v>1627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1" t="str">
        <f>"item_"&amp;CONTROL[[#This Row],[VEHIDCODE]]</f>
        <v>item_steam_Kawasaki_2_8_0_9600</v>
      </c>
      <c r="O601" s="21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  <c r="R601" t="str" cm="1">
        <f t="array" ref="R601">_xlfn.XLOOKUP(CONTROL[[#This Row],[VEHIDCODE]],GRAPHICS_PROPERTIES[VEHIDCODE],GRAPHICS_PROPERTIES[TEMPLATE_ID]&amp;GRAPHICS_PROPERTIES[TEMPLATE_AMENDMENT_CODE])</f>
        <v>TPL_03A</v>
      </c>
    </row>
    <row r="602" spans="1:18" x14ac:dyDescent="0.35">
      <c r="A602" s="2" t="s">
        <v>3219</v>
      </c>
      <c r="B602" s="21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2" t="s">
        <v>2401</v>
      </c>
      <c r="G602" t="s">
        <v>1628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1" t="str">
        <f>"item_"&amp;CONTROL[[#This Row],[VEHIDCODE]]</f>
        <v>item_steam_Kawasaki_2_8_2_D50</v>
      </c>
      <c r="O602" s="21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  <c r="R602" t="str" cm="1">
        <f t="array" ref="R602">_xlfn.XLOOKUP(CONTROL[[#This Row],[VEHIDCODE]],GRAPHICS_PROPERTIES[VEHIDCODE],GRAPHICS_PROPERTIES[TEMPLATE_ID]&amp;GRAPHICS_PROPERTIES[TEMPLATE_AMENDMENT_CODE])</f>
        <v>TPL_03A</v>
      </c>
    </row>
    <row r="603" spans="1:18" x14ac:dyDescent="0.35">
      <c r="A603" s="2" t="s">
        <v>3220</v>
      </c>
      <c r="B603" s="21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2" t="s">
        <v>2402</v>
      </c>
      <c r="G603" t="s">
        <v>1629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1" t="str">
        <f>"item_"&amp;CONTROL[[#This Row],[VEHIDCODE]]</f>
        <v>item_diesel_Kisha_Mitsubishi_NS_DF50</v>
      </c>
      <c r="O603" s="21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  <c r="R603" t="str" cm="1">
        <f t="array" ref="R603">_xlfn.XLOOKUP(CONTROL[[#This Row],[VEHIDCODE]],GRAPHICS_PROPERTIES[VEHIDCODE],GRAPHICS_PROPERTIES[TEMPLATE_ID]&amp;GRAPHICS_PROPERTIES[TEMPLATE_AMENDMENT_CODE])</f>
        <v>TPL_01A</v>
      </c>
    </row>
    <row r="604" spans="1:18" x14ac:dyDescent="0.35">
      <c r="A604" s="2" t="s">
        <v>3221</v>
      </c>
      <c r="B604" s="21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2" t="s">
        <v>2403</v>
      </c>
      <c r="G604" t="s">
        <v>1630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1" t="str">
        <f>"item_"&amp;CONTROL[[#This Row],[VEHIDCODE]]</f>
        <v>item_electric_SIG_Alioth_De_2_2</v>
      </c>
      <c r="O604" s="21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  <c r="R604" t="str" cm="1">
        <f t="array" ref="R604">_xlfn.XLOOKUP(CONTROL[[#This Row],[VEHIDCODE]],GRAPHICS_PROPERTIES[VEHIDCODE],GRAPHICS_PROPERTIES[TEMPLATE_ID]&amp;GRAPHICS_PROPERTIES[TEMPLATE_AMENDMENT_CODE])</f>
        <v>TPL_01A</v>
      </c>
    </row>
    <row r="605" spans="1:18" x14ac:dyDescent="0.35">
      <c r="A605" s="2" t="s">
        <v>3222</v>
      </c>
      <c r="B605" s="21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2" t="s">
        <v>2404</v>
      </c>
      <c r="G605" t="s">
        <v>1631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1" t="str">
        <f>"item_"&amp;CONTROL[[#This Row],[VEHIDCODE]]</f>
        <v>item_electric_Toshiba_EH10</v>
      </c>
      <c r="O605" s="21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  <c r="R605" t="str" cm="1">
        <f t="array" ref="R605">_xlfn.XLOOKUP(CONTROL[[#This Row],[VEHIDCODE]],GRAPHICS_PROPERTIES[VEHIDCODE],GRAPHICS_PROPERTIES[TEMPLATE_ID]&amp;GRAPHICS_PROPERTIES[TEMPLATE_AMENDMENT_CODE])</f>
        <v>TPL_03D</v>
      </c>
    </row>
    <row r="606" spans="1:18" x14ac:dyDescent="0.35">
      <c r="A606" s="2" t="s">
        <v>3223</v>
      </c>
      <c r="B606" s="21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2" t="s">
        <v>2405</v>
      </c>
      <c r="G606" t="s">
        <v>1632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1" t="str">
        <f>"item_"&amp;CONTROL[[#This Row],[VEHIDCODE]]</f>
        <v>item_electric_Kawasaki_Toshiba_EF64</v>
      </c>
      <c r="O606" s="21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  <c r="R606" t="str" cm="1">
        <f t="array" ref="R606">_xlfn.XLOOKUP(CONTROL[[#This Row],[VEHIDCODE]],GRAPHICS_PROPERTIES[VEHIDCODE],GRAPHICS_PROPERTIES[TEMPLATE_ID]&amp;GRAPHICS_PROPERTIES[TEMPLATE_AMENDMENT_CODE])</f>
        <v>TPL_01A</v>
      </c>
    </row>
    <row r="607" spans="1:18" x14ac:dyDescent="0.35">
      <c r="A607" s="2" t="s">
        <v>3224</v>
      </c>
      <c r="B607" s="21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2" t="s">
        <v>2406</v>
      </c>
      <c r="G607" t="s">
        <v>1633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1" t="str">
        <f>"item_"&amp;CONTROL[[#This Row],[VEHIDCODE]]</f>
        <v>item_electric_EEC_EO_Class</v>
      </c>
      <c r="O607" s="21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  <c r="R607" t="str" cm="1">
        <f t="array" ref="R607">_xlfn.XLOOKUP(CONTROL[[#This Row],[VEHIDCODE]],GRAPHICS_PROPERTIES[VEHIDCODE],GRAPHICS_PROPERTIES[TEMPLATE_ID]&amp;GRAPHICS_PROPERTIES[TEMPLATE_AMENDMENT_CODE])</f>
        <v>TPL_01A</v>
      </c>
    </row>
    <row r="608" spans="1:18" x14ac:dyDescent="0.35">
      <c r="A608" s="2" t="s">
        <v>3225</v>
      </c>
      <c r="B608" s="21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2" t="s">
        <v>3480</v>
      </c>
      <c r="G608" t="s">
        <v>1634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1" t="str">
        <f>"item_"&amp;CONTROL[[#This Row],[VEHIDCODE]]</f>
        <v>item_electric_Tulloch_0_6_0DM_W_Class</v>
      </c>
      <c r="O608" s="21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  <c r="R608" t="str" cm="1">
        <f t="array" ref="R608">_xlfn.XLOOKUP(CONTROL[[#This Row],[VEHIDCODE]],GRAPHICS_PROPERTIES[VEHIDCODE],GRAPHICS_PROPERTIES[TEMPLATE_ID]&amp;GRAPHICS_PROPERTIES[TEMPLATE_AMENDMENT_CODE])</f>
        <v>TPL_01A</v>
      </c>
    </row>
    <row r="609" spans="1:18" x14ac:dyDescent="0.35">
      <c r="A609" s="2" t="s">
        <v>3226</v>
      </c>
      <c r="B609" s="21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2" t="s">
        <v>2408</v>
      </c>
      <c r="G609" t="s">
        <v>1635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1" t="str">
        <f>"item_"&amp;CONTROL[[#This Row],[VEHIDCODE]]</f>
        <v>item_electric_GEC_NBLC_SAR_4E_</v>
      </c>
      <c r="O609" s="21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  <c r="R609" t="str" cm="1">
        <f t="array" ref="R609">_xlfn.XLOOKUP(CONTROL[[#This Row],[VEHIDCODE]],GRAPHICS_PROPERTIES[VEHIDCODE],GRAPHICS_PROPERTIES[TEMPLATE_ID]&amp;GRAPHICS_PROPERTIES[TEMPLATE_AMENDMENT_CODE])</f>
        <v>TPL_01A</v>
      </c>
    </row>
    <row r="610" spans="1:18" x14ac:dyDescent="0.35">
      <c r="A610" s="2" t="s">
        <v>3227</v>
      </c>
      <c r="B610" s="21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2" t="s">
        <v>2409</v>
      </c>
      <c r="G610" t="s">
        <v>1636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1" t="str">
        <f>"item_"&amp;CONTROL[[#This Row],[VEHIDCODE]]</f>
        <v>item_electric_Metrowick_MV_5E1</v>
      </c>
      <c r="O610" s="21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  <c r="R610" t="str" cm="1">
        <f t="array" ref="R610">_xlfn.XLOOKUP(CONTROL[[#This Row],[VEHIDCODE]],GRAPHICS_PROPERTIES[VEHIDCODE],GRAPHICS_PROPERTIES[TEMPLATE_ID]&amp;GRAPHICS_PROPERTIES[TEMPLATE_AMENDMENT_CODE])</f>
        <v>TPL_01A</v>
      </c>
    </row>
    <row r="611" spans="1:18" x14ac:dyDescent="0.35">
      <c r="A611" s="2" t="s">
        <v>3228</v>
      </c>
      <c r="B611" s="21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2" t="s">
        <v>2410</v>
      </c>
      <c r="G611" t="s">
        <v>1637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1" t="str">
        <f>"item_"&amp;CONTROL[[#This Row],[VEHIDCODE]]</f>
        <v>item_electric_UCW_6E</v>
      </c>
      <c r="O611" s="21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  <c r="R611" t="str" cm="1">
        <f t="array" ref="R611">_xlfn.XLOOKUP(CONTROL[[#This Row],[VEHIDCODE]],GRAPHICS_PROPERTIES[VEHIDCODE],GRAPHICS_PROPERTIES[TEMPLATE_ID]&amp;GRAPHICS_PROPERTIES[TEMPLATE_AMENDMENT_CODE])</f>
        <v>TPL_01A</v>
      </c>
    </row>
    <row r="612" spans="1:18" x14ac:dyDescent="0.35">
      <c r="A612" s="2" t="s">
        <v>3229</v>
      </c>
      <c r="B612" s="21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2" t="s">
        <v>2411</v>
      </c>
      <c r="G612" t="s">
        <v>1640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1" t="str">
        <f>"item_"&amp;CONTROL[[#This Row],[VEHIDCODE]]</f>
        <v>item_electric_SLM_BBC_MFO_Ge_4_4_I</v>
      </c>
      <c r="O612" s="21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  <c r="R612" t="str" cm="1">
        <f t="array" ref="R612">_xlfn.XLOOKUP(CONTROL[[#This Row],[VEHIDCODE]],GRAPHICS_PROPERTIES[VEHIDCODE],GRAPHICS_PROPERTIES[TEMPLATE_ID]&amp;GRAPHICS_PROPERTIES[TEMPLATE_AMENDMENT_CODE])</f>
        <v>TPL_01A</v>
      </c>
    </row>
    <row r="613" spans="1:18" x14ac:dyDescent="0.35">
      <c r="A613" s="2" t="s">
        <v>3230</v>
      </c>
      <c r="B613" s="21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2" t="s">
        <v>2412</v>
      </c>
      <c r="G613" t="s">
        <v>1641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1" t="str">
        <f>"item_"&amp;CONTROL[[#This Row],[VEHIDCODE]]</f>
        <v>item_electric_SLM_BBC_MFO_Ge_6_6_Krokodil</v>
      </c>
      <c r="O613" s="21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  <c r="R613" t="str" cm="1">
        <f t="array" ref="R613">_xlfn.XLOOKUP(CONTROL[[#This Row],[VEHIDCODE]],GRAPHICS_PROPERTIES[VEHIDCODE],GRAPHICS_PROPERTIES[TEMPLATE_ID]&amp;GRAPHICS_PROPERTIES[TEMPLATE_AMENDMENT_CODE])</f>
        <v>TPL_03C</v>
      </c>
    </row>
    <row r="614" spans="1:18" x14ac:dyDescent="0.35">
      <c r="A614" s="2" t="s">
        <v>3231</v>
      </c>
      <c r="B614" s="21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2" t="s">
        <v>1963</v>
      </c>
      <c r="G614" t="s">
        <v>1964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1" t="str">
        <f>"item_"&amp;CONTROL[[#This Row],[VEHIDCODE]]</f>
        <v>item_electric_Stadler_He_4_4</v>
      </c>
      <c r="O614" s="21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  <c r="R614" t="str" cm="1">
        <f t="array" ref="R614">_xlfn.XLOOKUP(CONTROL[[#This Row],[VEHIDCODE]],GRAPHICS_PROPERTIES[VEHIDCODE],GRAPHICS_PROPERTIES[TEMPLATE_ID]&amp;GRAPHICS_PROPERTIES[TEMPLATE_AMENDMENT_CODE])</f>
        <v>TPL_01A</v>
      </c>
    </row>
    <row r="615" spans="1:18" x14ac:dyDescent="0.35">
      <c r="A615" s="2" t="s">
        <v>3232</v>
      </c>
      <c r="B615" s="21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2" t="s">
        <v>2413</v>
      </c>
      <c r="G615" t="s">
        <v>1638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1" t="str">
        <f>"item_"&amp;CONTROL[[#This Row],[VEHIDCODE]]</f>
        <v>item_electric_UCW_50_c_s_Group_7E</v>
      </c>
      <c r="O615" s="21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  <c r="R615" t="str" cm="1">
        <f t="array" ref="R615">_xlfn.XLOOKUP(CONTROL[[#This Row],[VEHIDCODE]],GRAPHICS_PROPERTIES[VEHIDCODE],GRAPHICS_PROPERTIES[TEMPLATE_ID]&amp;GRAPHICS_PROPERTIES[TEMPLATE_AMENDMENT_CODE])</f>
        <v>TPL_01A</v>
      </c>
    </row>
    <row r="616" spans="1:18" x14ac:dyDescent="0.35">
      <c r="A616" s="2" t="s">
        <v>3233</v>
      </c>
      <c r="B616" s="21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2" t="s">
        <v>2414</v>
      </c>
      <c r="G616" t="s">
        <v>1639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1" t="str">
        <f>"item_"&amp;CONTROL[[#This Row],[VEHIDCODE]]</f>
        <v>item_electric_General_Motors_GM5FC</v>
      </c>
      <c r="O616" s="21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  <c r="R616" t="str" cm="1">
        <f t="array" ref="R616">_xlfn.XLOOKUP(CONTROL[[#This Row],[VEHIDCODE]],GRAPHICS_PROPERTIES[VEHIDCODE],GRAPHICS_PROPERTIES[TEMPLATE_ID]&amp;GRAPHICS_PROPERTIES[TEMPLATE_AMENDMENT_CODE])</f>
        <v>TPL_01A</v>
      </c>
    </row>
    <row r="617" spans="1:18" x14ac:dyDescent="0.35">
      <c r="A617" s="2" t="s">
        <v>3234</v>
      </c>
      <c r="B617" s="21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2" t="s">
        <v>2415</v>
      </c>
      <c r="G617" t="s">
        <v>1642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1" t="str">
        <f>"item_"&amp;CONTROL[[#This Row],[VEHIDCODE]]</f>
        <v>item_electric_Brush_EF_Class</v>
      </c>
      <c r="O617" s="21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  <c r="R617" t="str" cm="1">
        <f t="array" ref="R617">_xlfn.XLOOKUP(CONTROL[[#This Row],[VEHIDCODE]],GRAPHICS_PROPERTIES[VEHIDCODE],GRAPHICS_PROPERTIES[TEMPLATE_ID]&amp;GRAPHICS_PROPERTIES[TEMPLATE_AMENDMENT_CODE])</f>
        <v>TPL_01A</v>
      </c>
    </row>
    <row r="618" spans="1:18" x14ac:dyDescent="0.35">
      <c r="A618" s="2" t="s">
        <v>3235</v>
      </c>
      <c r="B618" s="21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2" t="s">
        <v>2416</v>
      </c>
      <c r="G618" t="s">
        <v>1584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1" t="str">
        <f>"item_"&amp;CONTROL[[#This Row],[VEHIDCODE]]</f>
        <v>item_emu_Nippon_Sharyo_Odakyu_3100_series_NSE</v>
      </c>
      <c r="O618" s="21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  <c r="R618" t="str" cm="1">
        <f t="array" ref="R618">_xlfn.XLOOKUP(CONTROL[[#This Row],[VEHIDCODE]],GRAPHICS_PROPERTIES[VEHIDCODE],GRAPHICS_PROPERTIES[TEMPLATE_ID]&amp;GRAPHICS_PROPERTIES[TEMPLATE_AMENDMENT_CODE])</f>
        <v>TPL_02D</v>
      </c>
    </row>
    <row r="619" spans="1:18" x14ac:dyDescent="0.35">
      <c r="A619" s="2" t="s">
        <v>3236</v>
      </c>
      <c r="B619" s="21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2" t="s">
        <v>2417</v>
      </c>
      <c r="G619" t="s">
        <v>1585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1" t="str">
        <f>"item_"&amp;CONTROL[[#This Row],[VEHIDCODE]]</f>
        <v>item_emu_Nippon_Sharyo_Odakyu_10000_series_HiSE</v>
      </c>
      <c r="O619" s="21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  <c r="R619" t="str" cm="1">
        <f t="array" ref="R619">_xlfn.XLOOKUP(CONTROL[[#This Row],[VEHIDCODE]],GRAPHICS_PROPERTIES[VEHIDCODE],GRAPHICS_PROPERTIES[TEMPLATE_ID]&amp;GRAPHICS_PROPERTIES[TEMPLATE_AMENDMENT_CODE])</f>
        <v>TPL_02D</v>
      </c>
    </row>
    <row r="620" spans="1:18" x14ac:dyDescent="0.35">
      <c r="A620" s="2" t="s">
        <v>3237</v>
      </c>
      <c r="B620" s="21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2" t="s">
        <v>2418</v>
      </c>
      <c r="G620" t="s">
        <v>1586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1" t="str">
        <f>"item_"&amp;CONTROL[[#This Row],[VEHIDCODE]]</f>
        <v>item_emu_Comeng_Goninan_S_set</v>
      </c>
      <c r="O620" s="21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  <c r="R620" t="str" cm="1">
        <f t="array" ref="R620">_xlfn.XLOOKUP(CONTROL[[#This Row],[VEHIDCODE]],GRAPHICS_PROPERTIES[VEHIDCODE],GRAPHICS_PROPERTIES[TEMPLATE_ID]&amp;GRAPHICS_PROPERTIES[TEMPLATE_AMENDMENT_CODE])</f>
        <v>TPL_02A</v>
      </c>
    </row>
    <row r="621" spans="1:18" x14ac:dyDescent="0.35">
      <c r="A621" s="2" t="s">
        <v>3238</v>
      </c>
      <c r="B621" s="21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2" t="s">
        <v>2419</v>
      </c>
      <c r="G621" t="s">
        <v>1587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1" t="str">
        <f>"item_"&amp;CONTROL[[#This Row],[VEHIDCODE]]</f>
        <v>item_emu_UGL_Rail_H_set_OSCAR</v>
      </c>
      <c r="O621" s="21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  <c r="R621" t="str" cm="1">
        <f t="array" ref="R621">_xlfn.XLOOKUP(CONTROL[[#This Row],[VEHIDCODE]],GRAPHICS_PROPERTIES[VEHIDCODE],GRAPHICS_PROPERTIES[TEMPLATE_ID]&amp;GRAPHICS_PROPERTIES[TEMPLATE_AMENDMENT_CODE])</f>
        <v>TPL_02A</v>
      </c>
    </row>
    <row r="622" spans="1:18" x14ac:dyDescent="0.35">
      <c r="A622" s="2" t="s">
        <v>3239</v>
      </c>
      <c r="B622" s="21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2" t="s">
        <v>399</v>
      </c>
      <c r="G622" t="s">
        <v>1588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1" t="str">
        <f>"item_"&amp;CONTROL[[#This Row],[VEHIDCODE]]</f>
        <v>item_emu_Victorian_Railways_Swing_Door</v>
      </c>
      <c r="O622" s="21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  <c r="R622" t="str" cm="1">
        <f t="array" ref="R622">_xlfn.XLOOKUP(CONTROL[[#This Row],[VEHIDCODE]],GRAPHICS_PROPERTIES[VEHIDCODE],GRAPHICS_PROPERTIES[TEMPLATE_ID]&amp;GRAPHICS_PROPERTIES[TEMPLATE_AMENDMENT_CODE])</f>
        <v>TPL_02A</v>
      </c>
    </row>
    <row r="623" spans="1:18" x14ac:dyDescent="0.35">
      <c r="A623" s="2" t="s">
        <v>3478</v>
      </c>
      <c r="B623" s="21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2" t="s">
        <v>2420</v>
      </c>
      <c r="G623" t="s">
        <v>1589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1" t="str">
        <f>"item_"&amp;CONTROL[[#This Row],[VEHIDCODE]]</f>
        <v>item_emu_Ganz_MAVAG_EM_ET_DNU</v>
      </c>
      <c r="O623" s="21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  <c r="R623" t="str" cm="1">
        <f t="array" ref="R623">_xlfn.XLOOKUP(CONTROL[[#This Row],[VEHIDCODE]],GRAPHICS_PROPERTIES[VEHIDCODE],GRAPHICS_PROPERTIES[TEMPLATE_ID]&amp;GRAPHICS_PROPERTIES[TEMPLATE_AMENDMENT_CODE])</f>
        <v>TPL_02A</v>
      </c>
    </row>
    <row r="624" spans="1:18" x14ac:dyDescent="0.35">
      <c r="A624" s="2" t="s">
        <v>3241</v>
      </c>
      <c r="B624" s="21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2" t="s">
        <v>2421</v>
      </c>
      <c r="G624" t="s">
        <v>1590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1" t="str">
        <f>"item_"&amp;CONTROL[[#This Row],[VEHIDCODE]]</f>
        <v>item_emu_Metro_Cammell_5M2</v>
      </c>
      <c r="O624" s="21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  <c r="R624" t="str" cm="1">
        <f t="array" ref="R624">_xlfn.XLOOKUP(CONTROL[[#This Row],[VEHIDCODE]],GRAPHICS_PROPERTIES[VEHIDCODE],GRAPHICS_PROPERTIES[TEMPLATE_ID]&amp;GRAPHICS_PROPERTIES[TEMPLATE_AMENDMENT_CODE])</f>
        <v>TPL_02A</v>
      </c>
    </row>
    <row r="625" spans="1:18" x14ac:dyDescent="0.35">
      <c r="A625" s="2" t="s">
        <v>3242</v>
      </c>
      <c r="B625" s="21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2" t="s">
        <v>2422</v>
      </c>
      <c r="G625" t="s">
        <v>1591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1" t="str">
        <f>"item_"&amp;CONTROL[[#This Row],[VEHIDCODE]]</f>
        <v>item_emu_Alstom_XTrapolis_100</v>
      </c>
      <c r="O625" s="21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  <c r="R625" t="str" cm="1">
        <f t="array" ref="R625">_xlfn.XLOOKUP(CONTROL[[#This Row],[VEHIDCODE]],GRAPHICS_PROPERTIES[VEHIDCODE],GRAPHICS_PROPERTIES[TEMPLATE_ID]&amp;GRAPHICS_PROPERTIES[TEMPLATE_AMENDMENT_CODE])</f>
        <v>TPL_02A</v>
      </c>
    </row>
    <row r="626" spans="1:18" x14ac:dyDescent="0.35">
      <c r="A626" s="2" t="s">
        <v>3243</v>
      </c>
      <c r="B626" s="21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2" t="s">
        <v>2423</v>
      </c>
      <c r="G626" t="s">
        <v>1592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1" t="str">
        <f>"item_"&amp;CONTROL[[#This Row],[VEHIDCODE]]</f>
        <v>item_emu_GEC_Fiat_AES_Railcar</v>
      </c>
      <c r="O626" s="21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  <c r="R626" t="str" cm="1">
        <f t="array" ref="R626">_xlfn.XLOOKUP(CONTROL[[#This Row],[VEHIDCODE]],GRAPHICS_PROPERTIES[VEHIDCODE],GRAPHICS_PROPERTIES[TEMPLATE_ID]&amp;GRAPHICS_PROPERTIES[TEMPLATE_AMENDMENT_CODE])</f>
        <v>TPL_02A</v>
      </c>
    </row>
    <row r="627" spans="1:18" x14ac:dyDescent="0.35">
      <c r="A627" s="2" t="s">
        <v>3244</v>
      </c>
      <c r="B627" s="21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2" t="s">
        <v>2424</v>
      </c>
      <c r="G627" t="s">
        <v>2425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1" t="str">
        <f>"item_"&amp;CONTROL[[#This Row],[VEHIDCODE]]</f>
        <v>item_emu_Ganz_MAVAG_YZ_E</v>
      </c>
      <c r="O627" s="21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  <c r="R627" t="str" cm="1">
        <f t="array" ref="R627">_xlfn.XLOOKUP(CONTROL[[#This Row],[VEHIDCODE]],GRAPHICS_PROPERTIES[VEHIDCODE],GRAPHICS_PROPERTIES[TEMPLATE_ID]&amp;GRAPHICS_PROPERTIES[TEMPLATE_AMENDMENT_CODE])</f>
        <v>TPL_02D</v>
      </c>
    </row>
    <row r="628" spans="1:18" x14ac:dyDescent="0.35">
      <c r="A628" s="2" t="s">
        <v>3245</v>
      </c>
      <c r="B628" s="21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2" t="s">
        <v>2426</v>
      </c>
      <c r="G628" t="s">
        <v>1593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1" t="str">
        <f>"item_"&amp;CONTROL[[#This Row],[VEHIDCODE]]</f>
        <v>item_emu_Walkers_Tilt_Train_ETT</v>
      </c>
      <c r="O628" s="21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  <c r="R628" t="str" cm="1">
        <f t="array" ref="R628">_xlfn.XLOOKUP(CONTROL[[#This Row],[VEHIDCODE]],GRAPHICS_PROPERTIES[VEHIDCODE],GRAPHICS_PROPERTIES[TEMPLATE_ID]&amp;GRAPHICS_PROPERTIES[TEMPLATE_AMENDMENT_CODE])</f>
        <v>TPL_02D</v>
      </c>
    </row>
    <row r="629" spans="1:18" x14ac:dyDescent="0.35">
      <c r="A629" s="2" t="s">
        <v>3246</v>
      </c>
      <c r="B629" s="21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2" t="s">
        <v>2045</v>
      </c>
      <c r="G629" t="s">
        <v>1599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1" t="str">
        <f>"item_"&amp;CONTROL[[#This Row],[VEHIDCODE]]</f>
        <v>item_electric_NEVZ_TEVZ_VL15</v>
      </c>
      <c r="O629" s="21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  <c r="R629" t="str" cm="1">
        <f t="array" ref="R629">_xlfn.XLOOKUP(CONTROL[[#This Row],[VEHIDCODE]],GRAPHICS_PROPERTIES[VEHIDCODE],GRAPHICS_PROPERTIES[TEMPLATE_ID]&amp;GRAPHICS_PROPERTIES[TEMPLATE_AMENDMENT_CODE])</f>
        <v>TPL_03D</v>
      </c>
    </row>
    <row r="630" spans="1:18" x14ac:dyDescent="0.35">
      <c r="A630" s="2" t="s">
        <v>3247</v>
      </c>
      <c r="B630" s="21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2" t="s">
        <v>2046</v>
      </c>
      <c r="G630" t="s">
        <v>1600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1" t="str">
        <f>"item_"&amp;CONTROL[[#This Row],[VEHIDCODE]]</f>
        <v>item_electric_TEVZ_VL11</v>
      </c>
      <c r="O630" s="21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  <c r="R630" t="str" cm="1">
        <f t="array" ref="R630">_xlfn.XLOOKUP(CONTROL[[#This Row],[VEHIDCODE]],GRAPHICS_PROPERTIES[VEHIDCODE],GRAPHICS_PROPERTIES[TEMPLATE_ID]&amp;GRAPHICS_PROPERTIES[TEMPLATE_AMENDMENT_CODE])</f>
        <v>TPL_03D</v>
      </c>
    </row>
    <row r="631" spans="1:18" x14ac:dyDescent="0.35">
      <c r="A631" s="2" t="s">
        <v>3248</v>
      </c>
      <c r="B631" s="21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2" t="s">
        <v>2034</v>
      </c>
      <c r="G631" t="s">
        <v>1601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1" t="str">
        <f>"item_"&amp;CONTROL[[#This Row],[VEHIDCODE]]</f>
        <v>item_electric_NEVZ_VL22M</v>
      </c>
      <c r="O631" s="21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  <c r="R631" t="str" cm="1">
        <f t="array" ref="R631">_xlfn.XLOOKUP(CONTROL[[#This Row],[VEHIDCODE]],GRAPHICS_PROPERTIES[VEHIDCODE],GRAPHICS_PROPERTIES[TEMPLATE_ID]&amp;GRAPHICS_PROPERTIES[TEMPLATE_AMENDMENT_CODE])</f>
        <v>TPL_01A</v>
      </c>
    </row>
    <row r="632" spans="1:18" x14ac:dyDescent="0.35">
      <c r="A632" s="2" t="s">
        <v>3249</v>
      </c>
      <c r="B632" s="21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2" t="s">
        <v>2047</v>
      </c>
      <c r="G632" t="s">
        <v>1602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1" t="str">
        <f>"item_"&amp;CONTROL[[#This Row],[VEHIDCODE]]</f>
        <v>item_electric_DEVZ_DE1</v>
      </c>
      <c r="O632" s="21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  <c r="R632" t="str" cm="1">
        <f t="array" ref="R632">_xlfn.XLOOKUP(CONTROL[[#This Row],[VEHIDCODE]],GRAPHICS_PROPERTIES[VEHIDCODE],GRAPHICS_PROPERTIES[TEMPLATE_ID]&amp;GRAPHICS_PROPERTIES[TEMPLATE_AMENDMENT_CODE])</f>
        <v>TPL_03D</v>
      </c>
    </row>
    <row r="633" spans="1:18" x14ac:dyDescent="0.35">
      <c r="A633" s="2" t="s">
        <v>3250</v>
      </c>
      <c r="B633" s="21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2" t="s">
        <v>3636</v>
      </c>
      <c r="G633" t="s">
        <v>1603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1" t="str">
        <f>"item_"&amp;CONTROL[[#This Row],[VEHIDCODE]]</f>
        <v>item_electric_Skoda_29E</v>
      </c>
      <c r="O633" s="21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  <c r="R633" t="str" cm="1">
        <f t="array" ref="R633">_xlfn.XLOOKUP(CONTROL[[#This Row],[VEHIDCODE]],GRAPHICS_PROPERTIES[VEHIDCODE],GRAPHICS_PROPERTIES[TEMPLATE_ID]&amp;GRAPHICS_PROPERTIES[TEMPLATE_AMENDMENT_CODE])</f>
        <v>TPL_01A</v>
      </c>
    </row>
    <row r="634" spans="1:18" x14ac:dyDescent="0.35">
      <c r="A634" s="2" t="s">
        <v>3251</v>
      </c>
      <c r="B634" s="21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2" t="s">
        <v>2048</v>
      </c>
      <c r="G634" t="s">
        <v>1604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1" t="str">
        <f>"item_"&amp;CONTROL[[#This Row],[VEHIDCODE]]</f>
        <v>item_electric_Skoda_82E</v>
      </c>
      <c r="O634" s="21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  <c r="R634" t="str" cm="1">
        <f t="array" ref="R634">_xlfn.XLOOKUP(CONTROL[[#This Row],[VEHIDCODE]],GRAPHICS_PROPERTIES[VEHIDCODE],GRAPHICS_PROPERTIES[TEMPLATE_ID]&amp;GRAPHICS_PROPERTIES[TEMPLATE_AMENDMENT_CODE])</f>
        <v>TPL_03D</v>
      </c>
    </row>
    <row r="635" spans="1:18" x14ac:dyDescent="0.35">
      <c r="A635" s="2" t="s">
        <v>3252</v>
      </c>
      <c r="B635" s="21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2" t="s">
        <v>2427</v>
      </c>
      <c r="G635" t="s">
        <v>1605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1" t="str">
        <f>"item_"&amp;CONTROL[[#This Row],[VEHIDCODE]]</f>
        <v>item_electric_GE_C_C_4400_RFFSA</v>
      </c>
      <c r="O635" s="21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  <c r="R635" t="str" cm="1">
        <f t="array" ref="R635">_xlfn.XLOOKUP(CONTROL[[#This Row],[VEHIDCODE]],GRAPHICS_PROPERTIES[VEHIDCODE],GRAPHICS_PROPERTIES[TEMPLATE_ID]&amp;GRAPHICS_PROPERTIES[TEMPLATE_AMENDMENT_CODE])</f>
        <v>TPL_03D</v>
      </c>
    </row>
    <row r="636" spans="1:18" x14ac:dyDescent="0.35">
      <c r="A636" s="2" t="s">
        <v>3253</v>
      </c>
      <c r="B636" s="21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2" t="s">
        <v>2049</v>
      </c>
      <c r="G636" t="s">
        <v>1606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1" t="str">
        <f>"item_"&amp;CONTROL[[#This Row],[VEHIDCODE]]</f>
        <v>item_electric_NEVZ_VL85</v>
      </c>
      <c r="O636" s="21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  <c r="R636" t="str" cm="1">
        <f t="array" ref="R636">_xlfn.XLOOKUP(CONTROL[[#This Row],[VEHIDCODE]],GRAPHICS_PROPERTIES[VEHIDCODE],GRAPHICS_PROPERTIES[TEMPLATE_ID]&amp;GRAPHICS_PROPERTIES[TEMPLATE_AMENDMENT_CODE])</f>
        <v>TPL_03D</v>
      </c>
    </row>
    <row r="637" spans="1:18" x14ac:dyDescent="0.35">
      <c r="A637" s="2" t="s">
        <v>3254</v>
      </c>
      <c r="B637" s="21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2" t="s">
        <v>2050</v>
      </c>
      <c r="G637" t="s">
        <v>1607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1" t="str">
        <f>"item_"&amp;CONTROL[[#This Row],[VEHIDCODE]]</f>
        <v>item_electric_DEVZ_VL41</v>
      </c>
      <c r="O637" s="21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  <c r="R637" t="str" cm="1">
        <f t="array" ref="R637">_xlfn.XLOOKUP(CONTROL[[#This Row],[VEHIDCODE]],GRAPHICS_PROPERTIES[VEHIDCODE],GRAPHICS_PROPERTIES[TEMPLATE_ID]&amp;GRAPHICS_PROPERTIES[TEMPLATE_AMENDMENT_CODE])</f>
        <v>TPL_01A</v>
      </c>
    </row>
    <row r="638" spans="1:18" x14ac:dyDescent="0.35">
      <c r="A638" s="2" t="s">
        <v>3255</v>
      </c>
      <c r="B638" s="21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2" t="s">
        <v>2428</v>
      </c>
      <c r="G638" t="s">
        <v>1608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1" t="str">
        <f>"item_"&amp;CONTROL[[#This Row],[VEHIDCODE]]</f>
        <v>item_electric_CLW_WAP_4</v>
      </c>
      <c r="O638" s="21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  <c r="R638" t="str" cm="1">
        <f t="array" ref="R638">_xlfn.XLOOKUP(CONTROL[[#This Row],[VEHIDCODE]],GRAPHICS_PROPERTIES[VEHIDCODE],GRAPHICS_PROPERTIES[TEMPLATE_ID]&amp;GRAPHICS_PROPERTIES[TEMPLATE_AMENDMENT_CODE])</f>
        <v>TPL_01A</v>
      </c>
    </row>
    <row r="639" spans="1:18" x14ac:dyDescent="0.35">
      <c r="A639" s="2" t="s">
        <v>3256</v>
      </c>
      <c r="B639" s="21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2" t="s">
        <v>1955</v>
      </c>
      <c r="G639" t="s">
        <v>1609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1" t="str">
        <f>"item_"&amp;CONTROL[[#This Row],[VEHIDCODE]]</f>
        <v>item_electric_NEVZ_ES40</v>
      </c>
      <c r="O639" s="21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  <c r="R639" t="str" cm="1">
        <f t="array" ref="R639">_xlfn.XLOOKUP(CONTROL[[#This Row],[VEHIDCODE]],GRAPHICS_PROPERTIES[VEHIDCODE],GRAPHICS_PROPERTIES[TEMPLATE_ID]&amp;GRAPHICS_PROPERTIES[TEMPLATE_AMENDMENT_CODE])</f>
        <v>TPL_01A</v>
      </c>
    </row>
    <row r="640" spans="1:18" x14ac:dyDescent="0.35">
      <c r="A640" s="2" t="s">
        <v>3257</v>
      </c>
      <c r="B640" s="21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2" t="s">
        <v>2384</v>
      </c>
      <c r="G640" t="s">
        <v>1610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1" t="str">
        <f>"item_"&amp;CONTROL[[#This Row],[VEHIDCODE]]</f>
        <v>item_electric_Zuzhou_KZ4A</v>
      </c>
      <c r="O640" s="21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  <c r="R640" t="str" cm="1">
        <f t="array" ref="R640">_xlfn.XLOOKUP(CONTROL[[#This Row],[VEHIDCODE]],GRAPHICS_PROPERTIES[VEHIDCODE],GRAPHICS_PROPERTIES[TEMPLATE_ID]&amp;GRAPHICS_PROPERTIES[TEMPLATE_AMENDMENT_CODE])</f>
        <v>TPL_01A</v>
      </c>
    </row>
    <row r="641" spans="1:18" x14ac:dyDescent="0.35">
      <c r="A641" s="2" t="s">
        <v>3258</v>
      </c>
      <c r="B641" s="21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2" t="s">
        <v>2383</v>
      </c>
      <c r="G641" t="s">
        <v>1611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1" t="str">
        <f>"item_"&amp;CONTROL[[#This Row],[VEHIDCODE]]</f>
        <v>item_electric_Alstom_KZ8A</v>
      </c>
      <c r="O641" s="21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  <c r="R641" t="str" cm="1">
        <f t="array" ref="R641">_xlfn.XLOOKUP(CONTROL[[#This Row],[VEHIDCODE]],GRAPHICS_PROPERTIES[VEHIDCODE],GRAPHICS_PROPERTIES[TEMPLATE_ID]&amp;GRAPHICS_PROPERTIES[TEMPLATE_AMENDMENT_CODE])</f>
        <v>TPL_03D</v>
      </c>
    </row>
    <row r="642" spans="1:18" x14ac:dyDescent="0.35">
      <c r="A642" s="2" t="s">
        <v>3259</v>
      </c>
      <c r="B642" s="21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2" t="s">
        <v>2429</v>
      </c>
      <c r="G642" t="s">
        <v>1612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1" t="str">
        <f>"item_"&amp;CONTROL[[#This Row],[VEHIDCODE]]</f>
        <v>item_electric_TRTrans_NEVZ_EP20</v>
      </c>
      <c r="O642" s="21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  <c r="R642" t="str" cm="1">
        <f t="array" ref="R642">_xlfn.XLOOKUP(CONTROL[[#This Row],[VEHIDCODE]],GRAPHICS_PROPERTIES[VEHIDCODE],GRAPHICS_PROPERTIES[TEMPLATE_ID]&amp;GRAPHICS_PROPERTIES[TEMPLATE_AMENDMENT_CODE])</f>
        <v>TPL_01A</v>
      </c>
    </row>
    <row r="643" spans="1:18" x14ac:dyDescent="0.35">
      <c r="A643" s="2" t="s">
        <v>3260</v>
      </c>
      <c r="B643" s="21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2" t="s">
        <v>2430</v>
      </c>
      <c r="G643" t="s">
        <v>1613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1" t="str">
        <f>"item_"&amp;CONTROL[[#This Row],[VEHIDCODE]]</f>
        <v>item_rbd_Valmet_Dm7</v>
      </c>
      <c r="O643" s="21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  <c r="R643" t="str" cm="1">
        <f t="array" ref="R643">_xlfn.XLOOKUP(CONTROL[[#This Row],[VEHIDCODE]],GRAPHICS_PROPERTIES[VEHIDCODE],GRAPHICS_PROPERTIES[TEMPLATE_ID]&amp;GRAPHICS_PROPERTIES[TEMPLATE_AMENDMENT_CODE])</f>
        <v>TPL_01B</v>
      </c>
    </row>
    <row r="644" spans="1:18" x14ac:dyDescent="0.35">
      <c r="A644" s="2" t="s">
        <v>3261</v>
      </c>
      <c r="B644" s="21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2" t="s">
        <v>1974</v>
      </c>
      <c r="G644" t="s">
        <v>1614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1" t="str">
        <f>"item_"&amp;CONTROL[[#This Row],[VEHIDCODE]]</f>
        <v>item_rbd_Vagonka_Studenka_91M0_</v>
      </c>
      <c r="O644" s="21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  <c r="R644" t="str" cm="1">
        <f t="array" ref="R644">_xlfn.XLOOKUP(CONTROL[[#This Row],[VEHIDCODE]],GRAPHICS_PROPERTIES[VEHIDCODE],GRAPHICS_PROPERTIES[TEMPLATE_ID]&amp;GRAPHICS_PROPERTIES[TEMPLATE_AMENDMENT_CODE])</f>
        <v>TPL_01B</v>
      </c>
    </row>
    <row r="645" spans="1:18" x14ac:dyDescent="0.35">
      <c r="A645" s="2" t="s">
        <v>3262</v>
      </c>
      <c r="B645" s="21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2" t="s">
        <v>2387</v>
      </c>
      <c r="G645" t="s">
        <v>1594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1" t="str">
        <f>"item_"&amp;CONTROL[[#This Row],[VEHIDCODE]]</f>
        <v>item_emu_RVR_ER200</v>
      </c>
      <c r="O645" s="21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  <c r="R645" t="str" cm="1">
        <f t="array" ref="R645">_xlfn.XLOOKUP(CONTROL[[#This Row],[VEHIDCODE]],GRAPHICS_PROPERTIES[VEHIDCODE],GRAPHICS_PROPERTIES[TEMPLATE_ID]&amp;GRAPHICS_PROPERTIES[TEMPLATE_AMENDMENT_CODE])</f>
        <v>TPL_02D</v>
      </c>
    </row>
    <row r="646" spans="1:18" x14ac:dyDescent="0.35">
      <c r="A646" s="2" t="s">
        <v>3263</v>
      </c>
      <c r="B646" s="21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2" t="s">
        <v>2431</v>
      </c>
      <c r="G646" t="s">
        <v>1595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1" t="str">
        <f>"item_"&amp;CONTROL[[#This Row],[VEHIDCODE]]</f>
        <v>item_emu_MMZ_S</v>
      </c>
      <c r="O646" s="21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  <c r="R646" t="str" cm="1">
        <f t="array" ref="R646">_xlfn.XLOOKUP(CONTROL[[#This Row],[VEHIDCODE]],GRAPHICS_PROPERTIES[VEHIDCODE],GRAPHICS_PROPERTIES[TEMPLATE_ID]&amp;GRAPHICS_PROPERTIES[TEMPLATE_AMENDMENT_CODE])</f>
        <v>TPL_02D</v>
      </c>
    </row>
    <row r="647" spans="1:18" x14ac:dyDescent="0.35">
      <c r="A647" s="2" t="s">
        <v>3264</v>
      </c>
      <c r="B647" s="21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2" t="s">
        <v>2432</v>
      </c>
      <c r="G647" t="s">
        <v>1596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1" t="str">
        <f>"item_"&amp;CONTROL[[#This Row],[VEHIDCODE]]</f>
        <v>item_emu_Koncar_6112</v>
      </c>
      <c r="O647" s="21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  <c r="R647" t="str" cm="1">
        <f t="array" ref="R647">_xlfn.XLOOKUP(CONTROL[[#This Row],[VEHIDCODE]],GRAPHICS_PROPERTIES[VEHIDCODE],GRAPHICS_PROPERTIES[TEMPLATE_ID]&amp;GRAPHICS_PROPERTIES[TEMPLATE_AMENDMENT_CODE])</f>
        <v>TPL_02A</v>
      </c>
    </row>
    <row r="648" spans="1:18" x14ac:dyDescent="0.35">
      <c r="A648" s="2" t="s">
        <v>3265</v>
      </c>
      <c r="B648" s="21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2" t="s">
        <v>2433</v>
      </c>
      <c r="G648" t="s">
        <v>1597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1" t="str">
        <f>"item_"&amp;CONTROL[[#This Row],[VEHIDCODE]]</f>
        <v>item_emu_Siemens_Desiro_ES1_Lastochka</v>
      </c>
      <c r="O648" s="21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  <c r="R648" t="str" cm="1">
        <f t="array" ref="R648">_xlfn.XLOOKUP(CONTROL[[#This Row],[VEHIDCODE]],GRAPHICS_PROPERTIES[VEHIDCODE],GRAPHICS_PROPERTIES[TEMPLATE_ID]&amp;GRAPHICS_PROPERTIES[TEMPLATE_AMENDMENT_CODE])</f>
        <v>TPL_02D</v>
      </c>
    </row>
    <row r="649" spans="1:18" x14ac:dyDescent="0.35">
      <c r="A649" s="2" t="s">
        <v>74</v>
      </c>
      <c r="B649" s="21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2" t="s">
        <v>400</v>
      </c>
      <c r="G649" t="s">
        <v>523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1" t="str">
        <f>"item_"&amp;CONTROL[[#This Row],[VEHIDCODE]]</f>
        <v>item_mtro_Metro_Wagon_Powered</v>
      </c>
      <c r="O649" s="21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  <c r="R649" t="str" cm="1">
        <f t="array" ref="R649">_xlfn.XLOOKUP(CONTROL[[#This Row],[VEHIDCODE]],GRAPHICS_PROPERTIES[VEHIDCODE],GRAPHICS_PROPERTIES[TEMPLATE_ID]&amp;GRAPHICS_PROPERTIES[TEMPLATE_AMENDMENT_CODE])</f>
        <v>TPL_01F</v>
      </c>
    </row>
    <row r="650" spans="1:18" x14ac:dyDescent="0.35">
      <c r="A650" s="2" t="s">
        <v>73</v>
      </c>
      <c r="B650" s="21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2" t="s">
        <v>400</v>
      </c>
      <c r="G650" t="s">
        <v>523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1" t="str">
        <f>"item_"&amp;CONTROL[[#This Row],[VEHIDCODE]]</f>
        <v>item_mtro_Metro_Wagon_Unpowered</v>
      </c>
      <c r="O650" s="21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  <c r="R650" t="str" cm="1">
        <f t="array" ref="R650">_xlfn.XLOOKUP(CONTROL[[#This Row],[VEHIDCODE]],GRAPHICS_PROPERTIES[VEHIDCODE],GRAPHICS_PROPERTIES[TEMPLATE_ID]&amp;GRAPHICS_PROPERTIES[TEMPLATE_AMENDMENT_CODE])</f>
        <v>TPL_01F</v>
      </c>
    </row>
    <row r="651" spans="1:18" x14ac:dyDescent="0.35">
      <c r="A651" s="2" t="s">
        <v>75</v>
      </c>
      <c r="B651" s="21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2" t="s">
        <v>401</v>
      </c>
      <c r="G651" t="s">
        <v>523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1" t="str">
        <f>"item_"&amp;CONTROL[[#This Row],[VEHIDCODE]]</f>
        <v>item_mu_MU_Cargo_Wagon_Powered</v>
      </c>
      <c r="O651" s="21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  <c r="R651" t="str" cm="1">
        <f t="array" ref="R651">_xlfn.XLOOKUP(CONTROL[[#This Row],[VEHIDCODE]],GRAPHICS_PROPERTIES[VEHIDCODE],GRAPHICS_PROPERTIES[TEMPLATE_ID]&amp;GRAPHICS_PROPERTIES[TEMPLATE_AMENDMENT_CODE])</f>
        <v>TPL_01F</v>
      </c>
    </row>
    <row r="652" spans="1:18" x14ac:dyDescent="0.35">
      <c r="A652" s="2" t="s">
        <v>76</v>
      </c>
      <c r="B652" s="21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2" t="s">
        <v>401</v>
      </c>
      <c r="G652" t="s">
        <v>523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1" t="str">
        <f>"item_"&amp;CONTROL[[#This Row],[VEHIDCODE]]</f>
        <v>item_mu_MU_Cargo_Wagon_Unpowered</v>
      </c>
      <c r="O652" s="21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  <c r="R652" t="str" cm="1">
        <f t="array" ref="R652">_xlfn.XLOOKUP(CONTROL[[#This Row],[VEHIDCODE]],GRAPHICS_PROPERTIES[VEHIDCODE],GRAPHICS_PROPERTIES[TEMPLATE_ID]&amp;GRAPHICS_PROPERTIES[TEMPLATE_AMENDMENT_CODE])</f>
        <v>TPL_01F</v>
      </c>
    </row>
    <row r="653" spans="1:18" x14ac:dyDescent="0.35">
      <c r="A653" s="2" t="s">
        <v>77</v>
      </c>
      <c r="B653" s="21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2" t="s">
        <v>402</v>
      </c>
      <c r="G653" t="s">
        <v>523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1" t="str">
        <f>"item_"&amp;CONTROL[[#This Row],[VEHIDCODE]]</f>
        <v>item_mu_MU_Wagon_Powered</v>
      </c>
      <c r="O653" s="21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  <c r="R653" t="str" cm="1">
        <f t="array" ref="R653">_xlfn.XLOOKUP(CONTROL[[#This Row],[VEHIDCODE]],GRAPHICS_PROPERTIES[VEHIDCODE],GRAPHICS_PROPERTIES[TEMPLATE_ID]&amp;GRAPHICS_PROPERTIES[TEMPLATE_AMENDMENT_CODE])</f>
        <v>TPL_01F</v>
      </c>
    </row>
    <row r="654" spans="1:18" x14ac:dyDescent="0.35">
      <c r="A654" s="2" t="s">
        <v>78</v>
      </c>
      <c r="B654" s="21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2" t="s">
        <v>402</v>
      </c>
      <c r="G654" t="s">
        <v>523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1" t="str">
        <f>"item_"&amp;CONTROL[[#This Row],[VEHIDCODE]]</f>
        <v>item_mu_MU_Wagon_Unpowered</v>
      </c>
      <c r="O654" s="21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  <c r="R654" t="str" cm="1">
        <f t="array" ref="R654">_xlfn.XLOOKUP(CONTROL[[#This Row],[VEHIDCODE]],GRAPHICS_PROPERTIES[VEHIDCODE],GRAPHICS_PROPERTIES[TEMPLATE_ID]&amp;GRAPHICS_PROPERTIES[TEMPLATE_AMENDMENT_CODE])</f>
        <v>TPL_01F</v>
      </c>
    </row>
    <row r="655" spans="1:18" x14ac:dyDescent="0.35">
      <c r="A655" s="2" t="s">
        <v>79</v>
      </c>
      <c r="B655" s="21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2" t="s">
        <v>403</v>
      </c>
      <c r="G655" t="s">
        <v>523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1" t="str">
        <f>"item_"&amp;CONTROL[[#This Row],[VEHIDCODE]]</f>
        <v>item_mu_Wagon_Gen1_Flat_Wagon</v>
      </c>
      <c r="O655" s="21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  <c r="R655" t="str" cm="1">
        <f t="array" ref="R655">_xlfn.XLOOKUP(CONTROL[[#This Row],[VEHIDCODE]],GRAPHICS_PROPERTIES[VEHIDCODE],GRAPHICS_PROPERTIES[TEMPLATE_ID]&amp;GRAPHICS_PROPERTIES[TEMPLATE_AMENDMENT_CODE])</f>
        <v>TPL_04B</v>
      </c>
    </row>
    <row r="656" spans="1:18" x14ac:dyDescent="0.35">
      <c r="A656" s="2" t="s">
        <v>80</v>
      </c>
      <c r="B656" s="21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2" t="s">
        <v>404</v>
      </c>
      <c r="G656" t="s">
        <v>523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1" t="str">
        <f>"item_"&amp;CONTROL[[#This Row],[VEHIDCODE]]</f>
        <v>item_mu_Wagon_Gen1_Boxcar</v>
      </c>
      <c r="O656" s="21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  <c r="R656" t="str" cm="1">
        <f t="array" ref="R656">_xlfn.XLOOKUP(CONTROL[[#This Row],[VEHIDCODE]],GRAPHICS_PROPERTIES[VEHIDCODE],GRAPHICS_PROPERTIES[TEMPLATE_ID]&amp;GRAPHICS_PROPERTIES[TEMPLATE_AMENDMENT_CODE])</f>
        <v>TPL_04B</v>
      </c>
    </row>
    <row r="657" spans="1:18" x14ac:dyDescent="0.35">
      <c r="A657" s="2" t="s">
        <v>81</v>
      </c>
      <c r="B657" s="21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2" t="s">
        <v>405</v>
      </c>
      <c r="G657" t="s">
        <v>523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1" t="str">
        <f>"item_"&amp;CONTROL[[#This Row],[VEHIDCODE]]</f>
        <v>item_mu_Wagon_Gen1_Tanker</v>
      </c>
      <c r="O657" s="21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  <c r="R657" t="str" cm="1">
        <f t="array" ref="R657">_xlfn.XLOOKUP(CONTROL[[#This Row],[VEHIDCODE]],GRAPHICS_PROPERTIES[VEHIDCODE],GRAPHICS_PROPERTIES[TEMPLATE_ID]&amp;GRAPHICS_PROPERTIES[TEMPLATE_AMENDMENT_CODE])</f>
        <v>TPL_04B</v>
      </c>
    </row>
    <row r="658" spans="1:18" x14ac:dyDescent="0.35">
      <c r="A658" s="2" t="s">
        <v>82</v>
      </c>
      <c r="B658" s="21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2" t="s">
        <v>406</v>
      </c>
      <c r="G658" t="s">
        <v>523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1" t="str">
        <f>"item_"&amp;CONTROL[[#This Row],[VEHIDCODE]]</f>
        <v>item_mu_Wagon_Gen1_Open_Wagon</v>
      </c>
      <c r="O658" s="21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  <c r="R658" t="str" cm="1">
        <f t="array" ref="R658">_xlfn.XLOOKUP(CONTROL[[#This Row],[VEHIDCODE]],GRAPHICS_PROPERTIES[VEHIDCODE],GRAPHICS_PROPERTIES[TEMPLATE_ID]&amp;GRAPHICS_PROPERTIES[TEMPLATE_AMENDMENT_CODE])</f>
        <v>TPL_04B</v>
      </c>
    </row>
    <row r="659" spans="1:18" x14ac:dyDescent="0.35">
      <c r="A659" s="2" t="s">
        <v>153</v>
      </c>
      <c r="B659" s="21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2" t="s">
        <v>407</v>
      </c>
      <c r="G659" t="s">
        <v>523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1" t="str">
        <f>"item_"&amp;CONTROL[[#This Row],[VEHIDCODE]]</f>
        <v>item_mu_Wagon_Gen2_Flat_Wagon</v>
      </c>
      <c r="O659" s="21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  <c r="R659" t="str" cm="1">
        <f t="array" ref="R659">_xlfn.XLOOKUP(CONTROL[[#This Row],[VEHIDCODE]],GRAPHICS_PROPERTIES[VEHIDCODE],GRAPHICS_PROPERTIES[TEMPLATE_ID]&amp;GRAPHICS_PROPERTIES[TEMPLATE_AMENDMENT_CODE])</f>
        <v>TPL_04B</v>
      </c>
    </row>
    <row r="660" spans="1:18" x14ac:dyDescent="0.35">
      <c r="A660" s="2" t="s">
        <v>154</v>
      </c>
      <c r="B660" s="21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2" t="s">
        <v>1673</v>
      </c>
      <c r="G660" t="s">
        <v>523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1" t="str">
        <f>"item_"&amp;CONTROL[[#This Row],[VEHIDCODE]]</f>
        <v>item_mu_Wagon_Gen2_Boxcar_Type1</v>
      </c>
      <c r="O660" s="21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  <c r="R660" t="str" cm="1">
        <f t="array" ref="R660">_xlfn.XLOOKUP(CONTROL[[#This Row],[VEHIDCODE]],GRAPHICS_PROPERTIES[VEHIDCODE],GRAPHICS_PROPERTIES[TEMPLATE_ID]&amp;GRAPHICS_PROPERTIES[TEMPLATE_AMENDMENT_CODE])</f>
        <v>TPL_04B</v>
      </c>
    </row>
    <row r="661" spans="1:18" x14ac:dyDescent="0.35">
      <c r="A661" s="2" t="s">
        <v>155</v>
      </c>
      <c r="B661" s="21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2" t="s">
        <v>1688</v>
      </c>
      <c r="G661" t="s">
        <v>523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1" t="str">
        <f>"item_"&amp;CONTROL[[#This Row],[VEHIDCODE]]</f>
        <v>item_mu_Wagon_Gen2_Boxcar_Type2</v>
      </c>
      <c r="O661" s="21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  <c r="R661" t="str" cm="1">
        <f t="array" ref="R661">_xlfn.XLOOKUP(CONTROL[[#This Row],[VEHIDCODE]],GRAPHICS_PROPERTIES[VEHIDCODE],GRAPHICS_PROPERTIES[TEMPLATE_ID]&amp;GRAPHICS_PROPERTIES[TEMPLATE_AMENDMENT_CODE])</f>
        <v>TPL_04B</v>
      </c>
    </row>
    <row r="662" spans="1:18" x14ac:dyDescent="0.35">
      <c r="A662" s="2" t="s">
        <v>156</v>
      </c>
      <c r="B662" s="21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2" t="s">
        <v>408</v>
      </c>
      <c r="G662" t="s">
        <v>523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1" t="str">
        <f>"item_"&amp;CONTROL[[#This Row],[VEHIDCODE]]</f>
        <v>item_mu_Wagon_Gen2_Tanker</v>
      </c>
      <c r="O662" s="21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  <c r="R662" t="str" cm="1">
        <f t="array" ref="R662">_xlfn.XLOOKUP(CONTROL[[#This Row],[VEHIDCODE]],GRAPHICS_PROPERTIES[VEHIDCODE],GRAPHICS_PROPERTIES[TEMPLATE_ID]&amp;GRAPHICS_PROPERTIES[TEMPLATE_AMENDMENT_CODE])</f>
        <v>TPL_04B</v>
      </c>
    </row>
    <row r="663" spans="1:18" x14ac:dyDescent="0.35">
      <c r="A663" s="2" t="s">
        <v>157</v>
      </c>
      <c r="B663" s="21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2" t="s">
        <v>409</v>
      </c>
      <c r="G663" t="s">
        <v>523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1" t="str">
        <f>"item_"&amp;CONTROL[[#This Row],[VEHIDCODE]]</f>
        <v>item_mu_Wagon_Gen2_Open_Wagon</v>
      </c>
      <c r="O663" s="21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  <c r="R663" t="str" cm="1">
        <f t="array" ref="R663">_xlfn.XLOOKUP(CONTROL[[#This Row],[VEHIDCODE]],GRAPHICS_PROPERTIES[VEHIDCODE],GRAPHICS_PROPERTIES[TEMPLATE_ID]&amp;GRAPHICS_PROPERTIES[TEMPLATE_AMENDMENT_CODE])</f>
        <v>TPL_04B</v>
      </c>
    </row>
    <row r="664" spans="1:18" x14ac:dyDescent="0.35">
      <c r="A664" s="2" t="s">
        <v>158</v>
      </c>
      <c r="B664" s="21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2" t="s">
        <v>410</v>
      </c>
      <c r="G664" t="s">
        <v>523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1" t="str">
        <f>"item_"&amp;CONTROL[[#This Row],[VEHIDCODE]]</f>
        <v>item_mu_Wagon_Gen2_Silo</v>
      </c>
      <c r="O664" s="21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  <c r="R664" t="str" cm="1">
        <f t="array" ref="R664">_xlfn.XLOOKUP(CONTROL[[#This Row],[VEHIDCODE]],GRAPHICS_PROPERTIES[VEHIDCODE],GRAPHICS_PROPERTIES[TEMPLATE_ID]&amp;GRAPHICS_PROPERTIES[TEMPLATE_AMENDMENT_CODE])</f>
        <v>TPL_04B</v>
      </c>
    </row>
    <row r="665" spans="1:18" x14ac:dyDescent="0.35">
      <c r="A665" s="2" t="s">
        <v>159</v>
      </c>
      <c r="B665" s="21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2" t="s">
        <v>411</v>
      </c>
      <c r="G665" t="s">
        <v>523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1" t="str">
        <f>"item_"&amp;CONTROL[[#This Row],[VEHIDCODE]]</f>
        <v>item_mu_Wagon_Gen2_Hopper</v>
      </c>
      <c r="O665" s="21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  <c r="R665" t="str" cm="1">
        <f t="array" ref="R665">_xlfn.XLOOKUP(CONTROL[[#This Row],[VEHIDCODE]],GRAPHICS_PROPERTIES[VEHIDCODE],GRAPHICS_PROPERTIES[TEMPLATE_ID]&amp;GRAPHICS_PROPERTIES[TEMPLATE_AMENDMENT_CODE])</f>
        <v>TPL_04B</v>
      </c>
    </row>
    <row r="666" spans="1:18" x14ac:dyDescent="0.35">
      <c r="A666" s="2" t="s">
        <v>160</v>
      </c>
      <c r="B666" s="21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2" t="s">
        <v>412</v>
      </c>
      <c r="G666" t="s">
        <v>523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1" t="str">
        <f>"item_"&amp;CONTROL[[#This Row],[VEHIDCODE]]</f>
        <v>item_mu_Wagon_Gen3_Flat_Wagon</v>
      </c>
      <c r="O666" s="21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  <c r="R666" t="str" cm="1">
        <f t="array" ref="R666">_xlfn.XLOOKUP(CONTROL[[#This Row],[VEHIDCODE]],GRAPHICS_PROPERTIES[VEHIDCODE],GRAPHICS_PROPERTIES[TEMPLATE_ID]&amp;GRAPHICS_PROPERTIES[TEMPLATE_AMENDMENT_CODE])</f>
        <v>TPL_04B</v>
      </c>
    </row>
    <row r="667" spans="1:18" x14ac:dyDescent="0.35">
      <c r="A667" s="2" t="s">
        <v>161</v>
      </c>
      <c r="B667" s="21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2" t="s">
        <v>1674</v>
      </c>
      <c r="G667" t="s">
        <v>523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1" t="str">
        <f>"item_"&amp;CONTROL[[#This Row],[VEHIDCODE]]</f>
        <v>item_mu_Wagon_Gen3_Boxcar_Type1</v>
      </c>
      <c r="O667" s="21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  <c r="R667" t="str" cm="1">
        <f t="array" ref="R667">_xlfn.XLOOKUP(CONTROL[[#This Row],[VEHIDCODE]],GRAPHICS_PROPERTIES[VEHIDCODE],GRAPHICS_PROPERTIES[TEMPLATE_ID]&amp;GRAPHICS_PROPERTIES[TEMPLATE_AMENDMENT_CODE])</f>
        <v>TPL_04B</v>
      </c>
    </row>
    <row r="668" spans="1:18" x14ac:dyDescent="0.35">
      <c r="A668" s="2" t="s">
        <v>162</v>
      </c>
      <c r="B668" s="21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2" t="s">
        <v>1689</v>
      </c>
      <c r="G668" t="s">
        <v>523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1" t="str">
        <f>"item_"&amp;CONTROL[[#This Row],[VEHIDCODE]]</f>
        <v>item_mu_Wagon_Gen3_Boxcar_Type2</v>
      </c>
      <c r="O668" s="21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  <c r="R668" t="str" cm="1">
        <f t="array" ref="R668">_xlfn.XLOOKUP(CONTROL[[#This Row],[VEHIDCODE]],GRAPHICS_PROPERTIES[VEHIDCODE],GRAPHICS_PROPERTIES[TEMPLATE_ID]&amp;GRAPHICS_PROPERTIES[TEMPLATE_AMENDMENT_CODE])</f>
        <v>TPL_04B</v>
      </c>
    </row>
    <row r="669" spans="1:18" x14ac:dyDescent="0.35">
      <c r="A669" s="2" t="s">
        <v>163</v>
      </c>
      <c r="B669" s="21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2" t="s">
        <v>413</v>
      </c>
      <c r="G669" t="s">
        <v>523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1" t="str">
        <f>"item_"&amp;CONTROL[[#This Row],[VEHIDCODE]]</f>
        <v>item_mu_Wagon_Gen3_Tanker</v>
      </c>
      <c r="O669" s="21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  <c r="R669" t="str" cm="1">
        <f t="array" ref="R669">_xlfn.XLOOKUP(CONTROL[[#This Row],[VEHIDCODE]],GRAPHICS_PROPERTIES[VEHIDCODE],GRAPHICS_PROPERTIES[TEMPLATE_ID]&amp;GRAPHICS_PROPERTIES[TEMPLATE_AMENDMENT_CODE])</f>
        <v>TPL_04B</v>
      </c>
    </row>
    <row r="670" spans="1:18" x14ac:dyDescent="0.35">
      <c r="A670" s="2" t="s">
        <v>164</v>
      </c>
      <c r="B670" s="21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2" t="s">
        <v>414</v>
      </c>
      <c r="G670" t="s">
        <v>523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1" t="str">
        <f>"item_"&amp;CONTROL[[#This Row],[VEHIDCODE]]</f>
        <v>item_mu_Wagon_Gen3_Open_Wagon</v>
      </c>
      <c r="O670" s="21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  <c r="R670" t="str" cm="1">
        <f t="array" ref="R670">_xlfn.XLOOKUP(CONTROL[[#This Row],[VEHIDCODE]],GRAPHICS_PROPERTIES[VEHIDCODE],GRAPHICS_PROPERTIES[TEMPLATE_ID]&amp;GRAPHICS_PROPERTIES[TEMPLATE_AMENDMENT_CODE])</f>
        <v>TPL_04B</v>
      </c>
    </row>
    <row r="671" spans="1:18" x14ac:dyDescent="0.35">
      <c r="A671" s="2" t="s">
        <v>165</v>
      </c>
      <c r="B671" s="21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2" t="s">
        <v>1675</v>
      </c>
      <c r="G671" t="s">
        <v>523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1" t="str">
        <f>"item_"&amp;CONTROL[[#This Row],[VEHIDCODE]]</f>
        <v>item_mu_Wagon_Gen3_Silo_Type1</v>
      </c>
      <c r="O671" s="21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  <c r="R671" t="str" cm="1">
        <f t="array" ref="R671">_xlfn.XLOOKUP(CONTROL[[#This Row],[VEHIDCODE]],GRAPHICS_PROPERTIES[VEHIDCODE],GRAPHICS_PROPERTIES[TEMPLATE_ID]&amp;GRAPHICS_PROPERTIES[TEMPLATE_AMENDMENT_CODE])</f>
        <v>TPL_04B</v>
      </c>
    </row>
    <row r="672" spans="1:18" x14ac:dyDescent="0.35">
      <c r="A672" s="2" t="s">
        <v>166</v>
      </c>
      <c r="B672" s="21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2" t="s">
        <v>1690</v>
      </c>
      <c r="G672" t="s">
        <v>523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1" t="str">
        <f>"item_"&amp;CONTROL[[#This Row],[VEHIDCODE]]</f>
        <v>item_mu_Wagon_Gen3_Silo_Type2</v>
      </c>
      <c r="O672" s="21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  <c r="R672" t="str" cm="1">
        <f t="array" ref="R672">_xlfn.XLOOKUP(CONTROL[[#This Row],[VEHIDCODE]],GRAPHICS_PROPERTIES[VEHIDCODE],GRAPHICS_PROPERTIES[TEMPLATE_ID]&amp;GRAPHICS_PROPERTIES[TEMPLATE_AMENDMENT_CODE])</f>
        <v>TPL_04B</v>
      </c>
    </row>
    <row r="673" spans="1:18" x14ac:dyDescent="0.35">
      <c r="A673" s="2" t="s">
        <v>167</v>
      </c>
      <c r="B673" s="21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2" t="s">
        <v>415</v>
      </c>
      <c r="G673" t="s">
        <v>523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1" t="str">
        <f>"item_"&amp;CONTROL[[#This Row],[VEHIDCODE]]</f>
        <v>item_mu_Wagon_Gen3_Hopper</v>
      </c>
      <c r="O673" s="21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  <c r="R673" t="str" cm="1">
        <f t="array" ref="R673">_xlfn.XLOOKUP(CONTROL[[#This Row],[VEHIDCODE]],GRAPHICS_PROPERTIES[VEHIDCODE],GRAPHICS_PROPERTIES[TEMPLATE_ID]&amp;GRAPHICS_PROPERTIES[TEMPLATE_AMENDMENT_CODE])</f>
        <v>TPL_04B</v>
      </c>
    </row>
    <row r="674" spans="1:18" x14ac:dyDescent="0.35">
      <c r="A674" s="2" t="s">
        <v>168</v>
      </c>
      <c r="B674" s="21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2" t="s">
        <v>416</v>
      </c>
      <c r="G674" t="s">
        <v>523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1" t="str">
        <f>"item_"&amp;CONTROL[[#This Row],[VEHIDCODE]]</f>
        <v>item_mu_Wagon_Gen4_Flatcar</v>
      </c>
      <c r="O674" s="21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  <c r="R674" t="str" cm="1">
        <f t="array" ref="R674">_xlfn.XLOOKUP(CONTROL[[#This Row],[VEHIDCODE]],GRAPHICS_PROPERTIES[VEHIDCODE],GRAPHICS_PROPERTIES[TEMPLATE_ID]&amp;GRAPHICS_PROPERTIES[TEMPLATE_AMENDMENT_CODE])</f>
        <v>TPL_04B</v>
      </c>
    </row>
    <row r="675" spans="1:18" x14ac:dyDescent="0.35">
      <c r="A675" s="2" t="s">
        <v>169</v>
      </c>
      <c r="B675" s="21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2" t="s">
        <v>417</v>
      </c>
      <c r="G675" t="s">
        <v>523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1" t="str">
        <f>"item_"&amp;CONTROL[[#This Row],[VEHIDCODE]]</f>
        <v>item_mu_Wagon_Gen4_Heavy_Flatcar</v>
      </c>
      <c r="O675" s="21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  <c r="R675" t="str" cm="1">
        <f t="array" ref="R675">_xlfn.XLOOKUP(CONTROL[[#This Row],[VEHIDCODE]],GRAPHICS_PROPERTIES[VEHIDCODE],GRAPHICS_PROPERTIES[TEMPLATE_ID]&amp;GRAPHICS_PROPERTIES[TEMPLATE_AMENDMENT_CODE])</f>
        <v>TPL_04B</v>
      </c>
    </row>
    <row r="676" spans="1:18" x14ac:dyDescent="0.35">
      <c r="A676" s="2" t="s">
        <v>170</v>
      </c>
      <c r="B676" s="21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2" t="s">
        <v>1676</v>
      </c>
      <c r="G676" t="s">
        <v>523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1" t="str">
        <f>"item_"&amp;CONTROL[[#This Row],[VEHIDCODE]]</f>
        <v>item_mu_Wagon_Gen4_Boxcar_Type1</v>
      </c>
      <c r="O676" s="21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  <c r="R676" t="str" cm="1">
        <f t="array" ref="R676">_xlfn.XLOOKUP(CONTROL[[#This Row],[VEHIDCODE]],GRAPHICS_PROPERTIES[VEHIDCODE],GRAPHICS_PROPERTIES[TEMPLATE_ID]&amp;GRAPHICS_PROPERTIES[TEMPLATE_AMENDMENT_CODE])</f>
        <v>TPL_04B</v>
      </c>
    </row>
    <row r="677" spans="1:18" x14ac:dyDescent="0.35">
      <c r="A677" s="2" t="s">
        <v>171</v>
      </c>
      <c r="B677" s="21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2" t="s">
        <v>1691</v>
      </c>
      <c r="G677" t="s">
        <v>523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1" t="str">
        <f>"item_"&amp;CONTROL[[#This Row],[VEHIDCODE]]</f>
        <v>item_mu_Wagon_Gen4_Boxcar_Type2</v>
      </c>
      <c r="O677" s="21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  <c r="R677" t="str" cm="1">
        <f t="array" ref="R677">_xlfn.XLOOKUP(CONTROL[[#This Row],[VEHIDCODE]],GRAPHICS_PROPERTIES[VEHIDCODE],GRAPHICS_PROPERTIES[TEMPLATE_ID]&amp;GRAPHICS_PROPERTIES[TEMPLATE_AMENDMENT_CODE])</f>
        <v>TPL_04B</v>
      </c>
    </row>
    <row r="678" spans="1:18" x14ac:dyDescent="0.35">
      <c r="A678" s="2" t="s">
        <v>172</v>
      </c>
      <c r="B678" s="21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2" t="s">
        <v>418</v>
      </c>
      <c r="G678" t="s">
        <v>523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1" t="str">
        <f>"item_"&amp;CONTROL[[#This Row],[VEHIDCODE]]</f>
        <v>item_mu_Wagon_Gen4_Tanker</v>
      </c>
      <c r="O678" s="21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  <c r="R678" t="str" cm="1">
        <f t="array" ref="R678">_xlfn.XLOOKUP(CONTROL[[#This Row],[VEHIDCODE]],GRAPHICS_PROPERTIES[VEHIDCODE],GRAPHICS_PROPERTIES[TEMPLATE_ID]&amp;GRAPHICS_PROPERTIES[TEMPLATE_AMENDMENT_CODE])</f>
        <v>TPL_04B</v>
      </c>
    </row>
    <row r="679" spans="1:18" x14ac:dyDescent="0.35">
      <c r="A679" s="2" t="s">
        <v>173</v>
      </c>
      <c r="B679" s="21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2" t="s">
        <v>419</v>
      </c>
      <c r="G679" t="s">
        <v>523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1" t="str">
        <f>"item_"&amp;CONTROL[[#This Row],[VEHIDCODE]]</f>
        <v>item_mu_Wagon_Gen4_Gondola</v>
      </c>
      <c r="O679" s="21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  <c r="R679" t="str" cm="1">
        <f t="array" ref="R679">_xlfn.XLOOKUP(CONTROL[[#This Row],[VEHIDCODE]],GRAPHICS_PROPERTIES[VEHIDCODE],GRAPHICS_PROPERTIES[TEMPLATE_ID]&amp;GRAPHICS_PROPERTIES[TEMPLATE_AMENDMENT_CODE])</f>
        <v>TPL_04B</v>
      </c>
    </row>
    <row r="680" spans="1:18" x14ac:dyDescent="0.35">
      <c r="A680" s="2" t="s">
        <v>174</v>
      </c>
      <c r="B680" s="21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2" t="s">
        <v>1677</v>
      </c>
      <c r="G680" t="s">
        <v>523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1" t="str">
        <f>"item_"&amp;CONTROL[[#This Row],[VEHIDCODE]]</f>
        <v>item_mu_Wagon_Gen4_Silo_Type1</v>
      </c>
      <c r="O680" s="21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  <c r="R680" t="str" cm="1">
        <f t="array" ref="R680">_xlfn.XLOOKUP(CONTROL[[#This Row],[VEHIDCODE]],GRAPHICS_PROPERTIES[VEHIDCODE],GRAPHICS_PROPERTIES[TEMPLATE_ID]&amp;GRAPHICS_PROPERTIES[TEMPLATE_AMENDMENT_CODE])</f>
        <v>TPL_04B</v>
      </c>
    </row>
    <row r="681" spans="1:18" x14ac:dyDescent="0.35">
      <c r="A681" s="2" t="s">
        <v>175</v>
      </c>
      <c r="B681" s="21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2" t="s">
        <v>1692</v>
      </c>
      <c r="G681" t="s">
        <v>523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1" t="str">
        <f>"item_"&amp;CONTROL[[#This Row],[VEHIDCODE]]</f>
        <v>item_mu_Wagon_Gen4_Silo_Type2</v>
      </c>
      <c r="O681" s="21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  <c r="R681" t="str" cm="1">
        <f t="array" ref="R681">_xlfn.XLOOKUP(CONTROL[[#This Row],[VEHIDCODE]],GRAPHICS_PROPERTIES[VEHIDCODE],GRAPHICS_PROPERTIES[TEMPLATE_ID]&amp;GRAPHICS_PROPERTIES[TEMPLATE_AMENDMENT_CODE])</f>
        <v>TPL_04B</v>
      </c>
    </row>
    <row r="682" spans="1:18" x14ac:dyDescent="0.35">
      <c r="A682" s="2" t="s">
        <v>176</v>
      </c>
      <c r="B682" s="21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2" t="s">
        <v>1678</v>
      </c>
      <c r="G682" t="s">
        <v>523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1" t="str">
        <f>"item_"&amp;CONTROL[[#This Row],[VEHIDCODE]]</f>
        <v>item_mu_Wagon_Gen4_Hopper_Type1</v>
      </c>
      <c r="O682" s="21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  <c r="R682" t="str" cm="1">
        <f t="array" ref="R682">_xlfn.XLOOKUP(CONTROL[[#This Row],[VEHIDCODE]],GRAPHICS_PROPERTIES[VEHIDCODE],GRAPHICS_PROPERTIES[TEMPLATE_ID]&amp;GRAPHICS_PROPERTIES[TEMPLATE_AMENDMENT_CODE])</f>
        <v>TPL_04B</v>
      </c>
    </row>
    <row r="683" spans="1:18" x14ac:dyDescent="0.35">
      <c r="A683" s="2" t="s">
        <v>177</v>
      </c>
      <c r="B683" s="21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2" t="s">
        <v>1693</v>
      </c>
      <c r="G683" t="s">
        <v>523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1" t="str">
        <f>"item_"&amp;CONTROL[[#This Row],[VEHIDCODE]]</f>
        <v>item_mu_Wagon_Gen4_Hopper_Type2</v>
      </c>
      <c r="O683" s="21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  <c r="R683" t="str" cm="1">
        <f t="array" ref="R683">_xlfn.XLOOKUP(CONTROL[[#This Row],[VEHIDCODE]],GRAPHICS_PROPERTIES[VEHIDCODE],GRAPHICS_PROPERTIES[TEMPLATE_ID]&amp;GRAPHICS_PROPERTIES[TEMPLATE_AMENDMENT_CODE])</f>
        <v>TPL_04B</v>
      </c>
    </row>
    <row r="684" spans="1:18" x14ac:dyDescent="0.35">
      <c r="A684" s="2" t="s">
        <v>178</v>
      </c>
      <c r="B684" s="21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2" t="s">
        <v>420</v>
      </c>
      <c r="G684" t="s">
        <v>523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1" t="str">
        <f>"item_"&amp;CONTROL[[#This Row],[VEHIDCODE]]</f>
        <v>item_mu_Wagon_Gen4_Car_Transporter</v>
      </c>
      <c r="O684" s="21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  <c r="R684" t="str" cm="1">
        <f t="array" ref="R684">_xlfn.XLOOKUP(CONTROL[[#This Row],[VEHIDCODE]],GRAPHICS_PROPERTIES[VEHIDCODE],GRAPHICS_PROPERTIES[TEMPLATE_ID]&amp;GRAPHICS_PROPERTIES[TEMPLATE_AMENDMENT_CODE])</f>
        <v>TPL_04B</v>
      </c>
    </row>
    <row r="685" spans="1:18" x14ac:dyDescent="0.35">
      <c r="A685" s="2" t="s">
        <v>179</v>
      </c>
      <c r="B685" s="21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2" t="s">
        <v>421</v>
      </c>
      <c r="G685" t="s">
        <v>523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1" t="str">
        <f>"item_"&amp;CONTROL[[#This Row],[VEHIDCODE]]</f>
        <v>item_mu_Wagon_Gen4_Container_Carrier</v>
      </c>
      <c r="O685" s="21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  <c r="R685" t="str" cm="1">
        <f t="array" ref="R685">_xlfn.XLOOKUP(CONTROL[[#This Row],[VEHIDCODE]],GRAPHICS_PROPERTIES[VEHIDCODE],GRAPHICS_PROPERTIES[TEMPLATE_ID]&amp;GRAPHICS_PROPERTIES[TEMPLATE_AMENDMENT_CODE])</f>
        <v>TPL_04B</v>
      </c>
    </row>
    <row r="686" spans="1:18" x14ac:dyDescent="0.35">
      <c r="A686" s="2" t="s">
        <v>180</v>
      </c>
      <c r="B686" s="21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2" t="s">
        <v>422</v>
      </c>
      <c r="G686" t="s">
        <v>523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1" t="str">
        <f>"item_"&amp;CONTROL[[#This Row],[VEHIDCODE]]</f>
        <v>item_mu_Wagon_Gen4_Centerbeam</v>
      </c>
      <c r="O686" s="21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  <c r="R686" t="str" cm="1">
        <f t="array" ref="R686">_xlfn.XLOOKUP(CONTROL[[#This Row],[VEHIDCODE]],GRAPHICS_PROPERTIES[VEHIDCODE],GRAPHICS_PROPERTIES[TEMPLATE_ID]&amp;GRAPHICS_PROPERTIES[TEMPLATE_AMENDMENT_CODE])</f>
        <v>TPL_04B</v>
      </c>
    </row>
    <row r="687" spans="1:18" x14ac:dyDescent="0.35">
      <c r="A687" s="2" t="s">
        <v>181</v>
      </c>
      <c r="B687" s="21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2" t="s">
        <v>423</v>
      </c>
      <c r="G687" t="s">
        <v>523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1" t="str">
        <f>"item_"&amp;CONTROL[[#This Row],[VEHIDCODE]]</f>
        <v>item_mu_Wagon_Gen5_Flatcar</v>
      </c>
      <c r="O687" s="21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  <c r="R687" t="str" cm="1">
        <f t="array" ref="R687">_xlfn.XLOOKUP(CONTROL[[#This Row],[VEHIDCODE]],GRAPHICS_PROPERTIES[VEHIDCODE],GRAPHICS_PROPERTIES[TEMPLATE_ID]&amp;GRAPHICS_PROPERTIES[TEMPLATE_AMENDMENT_CODE])</f>
        <v>TPL_04B</v>
      </c>
    </row>
    <row r="688" spans="1:18" x14ac:dyDescent="0.35">
      <c r="A688" s="2" t="s">
        <v>182</v>
      </c>
      <c r="B688" s="21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2" t="s">
        <v>424</v>
      </c>
      <c r="G688" t="s">
        <v>523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1" t="str">
        <f>"item_"&amp;CONTROL[[#This Row],[VEHIDCODE]]</f>
        <v>item_mu_Wagon_Gen5_Heavy_Flatcar</v>
      </c>
      <c r="O688" s="21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  <c r="R688" t="str" cm="1">
        <f t="array" ref="R688">_xlfn.XLOOKUP(CONTROL[[#This Row],[VEHIDCODE]],GRAPHICS_PROPERTIES[VEHIDCODE],GRAPHICS_PROPERTIES[TEMPLATE_ID]&amp;GRAPHICS_PROPERTIES[TEMPLATE_AMENDMENT_CODE])</f>
        <v>TPL_04B</v>
      </c>
    </row>
    <row r="689" spans="1:18" x14ac:dyDescent="0.35">
      <c r="A689" s="2" t="s">
        <v>183</v>
      </c>
      <c r="B689" s="21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2" t="s">
        <v>1679</v>
      </c>
      <c r="G689" t="s">
        <v>523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1" t="str">
        <f>"item_"&amp;CONTROL[[#This Row],[VEHIDCODE]]</f>
        <v>item_mu_Wagon_Gen5_Boxcar_Type1</v>
      </c>
      <c r="O689" s="21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  <c r="R689" t="str" cm="1">
        <f t="array" ref="R689">_xlfn.XLOOKUP(CONTROL[[#This Row],[VEHIDCODE]],GRAPHICS_PROPERTIES[VEHIDCODE],GRAPHICS_PROPERTIES[TEMPLATE_ID]&amp;GRAPHICS_PROPERTIES[TEMPLATE_AMENDMENT_CODE])</f>
        <v>TPL_04B</v>
      </c>
    </row>
    <row r="690" spans="1:18" x14ac:dyDescent="0.35">
      <c r="A690" s="2" t="s">
        <v>184</v>
      </c>
      <c r="B690" s="21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2" t="s">
        <v>1694</v>
      </c>
      <c r="G690" t="s">
        <v>523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1" t="str">
        <f>"item_"&amp;CONTROL[[#This Row],[VEHIDCODE]]</f>
        <v>item_mu_Wagon_Gen5_Boxcar_Type2</v>
      </c>
      <c r="O690" s="21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  <c r="R690" t="str" cm="1">
        <f t="array" ref="R690">_xlfn.XLOOKUP(CONTROL[[#This Row],[VEHIDCODE]],GRAPHICS_PROPERTIES[VEHIDCODE],GRAPHICS_PROPERTIES[TEMPLATE_ID]&amp;GRAPHICS_PROPERTIES[TEMPLATE_AMENDMENT_CODE])</f>
        <v>TPL_04B</v>
      </c>
    </row>
    <row r="691" spans="1:18" x14ac:dyDescent="0.35">
      <c r="A691" s="2" t="s">
        <v>185</v>
      </c>
      <c r="B691" s="21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2" t="s">
        <v>425</v>
      </c>
      <c r="G691" t="s">
        <v>523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1" t="str">
        <f>"item_"&amp;CONTROL[[#This Row],[VEHIDCODE]]</f>
        <v>item_mu_Wagon_Gen5_Tanker</v>
      </c>
      <c r="O691" s="21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  <c r="R691" t="str" cm="1">
        <f t="array" ref="R691">_xlfn.XLOOKUP(CONTROL[[#This Row],[VEHIDCODE]],GRAPHICS_PROPERTIES[VEHIDCODE],GRAPHICS_PROPERTIES[TEMPLATE_ID]&amp;GRAPHICS_PROPERTIES[TEMPLATE_AMENDMENT_CODE])</f>
        <v>TPL_04B</v>
      </c>
    </row>
    <row r="692" spans="1:18" x14ac:dyDescent="0.35">
      <c r="A692" s="2" t="s">
        <v>186</v>
      </c>
      <c r="B692" s="21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2" t="s">
        <v>426</v>
      </c>
      <c r="G692" t="s">
        <v>523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1" t="str">
        <f>"item_"&amp;CONTROL[[#This Row],[VEHIDCODE]]</f>
        <v>item_mu_Wagon_Gen5_Gondola</v>
      </c>
      <c r="O692" s="21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  <c r="R692" t="str" cm="1">
        <f t="array" ref="R692">_xlfn.XLOOKUP(CONTROL[[#This Row],[VEHIDCODE]],GRAPHICS_PROPERTIES[VEHIDCODE],GRAPHICS_PROPERTIES[TEMPLATE_ID]&amp;GRAPHICS_PROPERTIES[TEMPLATE_AMENDMENT_CODE])</f>
        <v>TPL_04B</v>
      </c>
    </row>
    <row r="693" spans="1:18" x14ac:dyDescent="0.35">
      <c r="A693" s="2" t="s">
        <v>187</v>
      </c>
      <c r="B693" s="21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2" t="s">
        <v>1680</v>
      </c>
      <c r="G693" t="s">
        <v>523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1" t="str">
        <f>"item_"&amp;CONTROL[[#This Row],[VEHIDCODE]]</f>
        <v>item_mu_Wagon_Gen5_Silo_Type1</v>
      </c>
      <c r="O693" s="21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  <c r="R693" t="str" cm="1">
        <f t="array" ref="R693">_xlfn.XLOOKUP(CONTROL[[#This Row],[VEHIDCODE]],GRAPHICS_PROPERTIES[VEHIDCODE],GRAPHICS_PROPERTIES[TEMPLATE_ID]&amp;GRAPHICS_PROPERTIES[TEMPLATE_AMENDMENT_CODE])</f>
        <v>TPL_04B</v>
      </c>
    </row>
    <row r="694" spans="1:18" x14ac:dyDescent="0.35">
      <c r="A694" s="2" t="s">
        <v>188</v>
      </c>
      <c r="B694" s="21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2" t="s">
        <v>1695</v>
      </c>
      <c r="G694" t="s">
        <v>523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1" t="str">
        <f>"item_"&amp;CONTROL[[#This Row],[VEHIDCODE]]</f>
        <v>item_mu_Wagon_Gen5_Silo_Type2</v>
      </c>
      <c r="O694" s="21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  <c r="R694" t="str" cm="1">
        <f t="array" ref="R694">_xlfn.XLOOKUP(CONTROL[[#This Row],[VEHIDCODE]],GRAPHICS_PROPERTIES[VEHIDCODE],GRAPHICS_PROPERTIES[TEMPLATE_ID]&amp;GRAPHICS_PROPERTIES[TEMPLATE_AMENDMENT_CODE])</f>
        <v>TPL_04B</v>
      </c>
    </row>
    <row r="695" spans="1:18" x14ac:dyDescent="0.35">
      <c r="A695" s="2" t="s">
        <v>189</v>
      </c>
      <c r="B695" s="21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2" t="s">
        <v>1681</v>
      </c>
      <c r="G695" t="s">
        <v>523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1" t="str">
        <f>"item_"&amp;CONTROL[[#This Row],[VEHIDCODE]]</f>
        <v>item_mu_Wagon_Gen5_Hopper_Type1</v>
      </c>
      <c r="O695" s="21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  <c r="R695" t="str" cm="1">
        <f t="array" ref="R695">_xlfn.XLOOKUP(CONTROL[[#This Row],[VEHIDCODE]],GRAPHICS_PROPERTIES[VEHIDCODE],GRAPHICS_PROPERTIES[TEMPLATE_ID]&amp;GRAPHICS_PROPERTIES[TEMPLATE_AMENDMENT_CODE])</f>
        <v>TPL_04B</v>
      </c>
    </row>
    <row r="696" spans="1:18" x14ac:dyDescent="0.35">
      <c r="A696" s="2" t="s">
        <v>190</v>
      </c>
      <c r="B696" s="21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2" t="s">
        <v>1696</v>
      </c>
      <c r="G696" t="s">
        <v>523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1" t="str">
        <f>"item_"&amp;CONTROL[[#This Row],[VEHIDCODE]]</f>
        <v>item_mu_Wagon_Gen5_Hopper_Type2</v>
      </c>
      <c r="O696" s="21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  <c r="R696" t="str" cm="1">
        <f t="array" ref="R696">_xlfn.XLOOKUP(CONTROL[[#This Row],[VEHIDCODE]],GRAPHICS_PROPERTIES[VEHIDCODE],GRAPHICS_PROPERTIES[TEMPLATE_ID]&amp;GRAPHICS_PROPERTIES[TEMPLATE_AMENDMENT_CODE])</f>
        <v>TPL_04B</v>
      </c>
    </row>
    <row r="697" spans="1:18" x14ac:dyDescent="0.35">
      <c r="A697" s="2" t="s">
        <v>191</v>
      </c>
      <c r="B697" s="21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2" t="s">
        <v>427</v>
      </c>
      <c r="G697" t="s">
        <v>523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1" t="str">
        <f>"item_"&amp;CONTROL[[#This Row],[VEHIDCODE]]</f>
        <v>item_mu_Wagon_Gen5_Car_Transporter</v>
      </c>
      <c r="O697" s="21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  <c r="R697" t="str" cm="1">
        <f t="array" ref="R697">_xlfn.XLOOKUP(CONTROL[[#This Row],[VEHIDCODE]],GRAPHICS_PROPERTIES[VEHIDCODE],GRAPHICS_PROPERTIES[TEMPLATE_ID]&amp;GRAPHICS_PROPERTIES[TEMPLATE_AMENDMENT_CODE])</f>
        <v>TPL_04B</v>
      </c>
    </row>
    <row r="698" spans="1:18" x14ac:dyDescent="0.35">
      <c r="A698" s="2" t="s">
        <v>192</v>
      </c>
      <c r="B698" s="21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2" t="s">
        <v>428</v>
      </c>
      <c r="G698" t="s">
        <v>523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1" t="str">
        <f>"item_"&amp;CONTROL[[#This Row],[VEHIDCODE]]</f>
        <v>item_mu_Wagon_Gen5_Container_Carrier</v>
      </c>
      <c r="O698" s="21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  <c r="R698" t="str" cm="1">
        <f t="array" ref="R698">_xlfn.XLOOKUP(CONTROL[[#This Row],[VEHIDCODE]],GRAPHICS_PROPERTIES[VEHIDCODE],GRAPHICS_PROPERTIES[TEMPLATE_ID]&amp;GRAPHICS_PROPERTIES[TEMPLATE_AMENDMENT_CODE])</f>
        <v>TPL_04B</v>
      </c>
    </row>
    <row r="699" spans="1:18" x14ac:dyDescent="0.35">
      <c r="A699" s="2" t="s">
        <v>193</v>
      </c>
      <c r="B699" s="21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2" t="s">
        <v>429</v>
      </c>
      <c r="G699" t="s">
        <v>523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1" t="str">
        <f>"item_"&amp;CONTROL[[#This Row],[VEHIDCODE]]</f>
        <v>item_mu_Wagon_Gen5_Centerbeam</v>
      </c>
      <c r="O699" s="21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  <c r="R699" t="str" cm="1">
        <f t="array" ref="R699">_xlfn.XLOOKUP(CONTROL[[#This Row],[VEHIDCODE]],GRAPHICS_PROPERTIES[VEHIDCODE],GRAPHICS_PROPERTIES[TEMPLATE_ID]&amp;GRAPHICS_PROPERTIES[TEMPLATE_AMENDMENT_CODE])</f>
        <v>TPL_04B</v>
      </c>
    </row>
    <row r="700" spans="1:18" x14ac:dyDescent="0.35">
      <c r="A700" s="2" t="s">
        <v>194</v>
      </c>
      <c r="B700" s="21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2" t="s">
        <v>430</v>
      </c>
      <c r="G700" t="s">
        <v>523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1" t="str">
        <f>"item_"&amp;CONTROL[[#This Row],[VEHIDCODE]]</f>
        <v>item_mu_Wagon_Gen5_Container_Doublestack</v>
      </c>
      <c r="O700" s="21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  <c r="R700" t="str" cm="1">
        <f t="array" ref="R700">_xlfn.XLOOKUP(CONTROL[[#This Row],[VEHIDCODE]],GRAPHICS_PROPERTIES[VEHIDCODE],GRAPHICS_PROPERTIES[TEMPLATE_ID]&amp;GRAPHICS_PROPERTIES[TEMPLATE_AMENDMENT_CODE])</f>
        <v>TPL_04B</v>
      </c>
    </row>
    <row r="701" spans="1:18" x14ac:dyDescent="0.35">
      <c r="A701" s="2" t="s">
        <v>195</v>
      </c>
      <c r="B701" s="21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2" t="s">
        <v>431</v>
      </c>
      <c r="G701" t="s">
        <v>523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1" t="str">
        <f>"item_"&amp;CONTROL[[#This Row],[VEHIDCODE]]</f>
        <v>item_mu_Wagon_Gen5_Superheavy_Flatcar</v>
      </c>
      <c r="O701" s="21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  <c r="R701" t="str" cm="1">
        <f t="array" ref="R701">_xlfn.XLOOKUP(CONTROL[[#This Row],[VEHIDCODE]],GRAPHICS_PROPERTIES[VEHIDCODE],GRAPHICS_PROPERTIES[TEMPLATE_ID]&amp;GRAPHICS_PROPERTIES[TEMPLATE_AMENDMENT_CODE])</f>
        <v>TPL_25A</v>
      </c>
    </row>
    <row r="702" spans="1:18" x14ac:dyDescent="0.35">
      <c r="A702" s="2" t="s">
        <v>196</v>
      </c>
      <c r="B702" s="21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2" t="s">
        <v>432</v>
      </c>
      <c r="G702" t="s">
        <v>523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1" t="str">
        <f>"item_"&amp;CONTROL[[#This Row],[VEHIDCODE]]</f>
        <v>item_mu_Wagon_Gen6_Flatcar</v>
      </c>
      <c r="O702" s="21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  <c r="R702" t="str" cm="1">
        <f t="array" ref="R702">_xlfn.XLOOKUP(CONTROL[[#This Row],[VEHIDCODE]],GRAPHICS_PROPERTIES[VEHIDCODE],GRAPHICS_PROPERTIES[TEMPLATE_ID]&amp;GRAPHICS_PROPERTIES[TEMPLATE_AMENDMENT_CODE])</f>
        <v>TPL_04B</v>
      </c>
    </row>
    <row r="703" spans="1:18" x14ac:dyDescent="0.35">
      <c r="A703" s="2" t="s">
        <v>197</v>
      </c>
      <c r="B703" s="21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2" t="s">
        <v>433</v>
      </c>
      <c r="G703" t="s">
        <v>523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1" t="str">
        <f>"item_"&amp;CONTROL[[#This Row],[VEHIDCODE]]</f>
        <v>item_mu_Wagon_Gen6_Heavy_Flatcar</v>
      </c>
      <c r="O703" s="21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  <c r="R703" t="str" cm="1">
        <f t="array" ref="R703">_xlfn.XLOOKUP(CONTROL[[#This Row],[VEHIDCODE]],GRAPHICS_PROPERTIES[VEHIDCODE],GRAPHICS_PROPERTIES[TEMPLATE_ID]&amp;GRAPHICS_PROPERTIES[TEMPLATE_AMENDMENT_CODE])</f>
        <v>TPL_04B</v>
      </c>
    </row>
    <row r="704" spans="1:18" x14ac:dyDescent="0.35">
      <c r="A704" s="2" t="s">
        <v>198</v>
      </c>
      <c r="B704" s="21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2" t="s">
        <v>1682</v>
      </c>
      <c r="G704" t="s">
        <v>523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1" t="str">
        <f>"item_"&amp;CONTROL[[#This Row],[VEHIDCODE]]</f>
        <v>item_mu_Wagon_Gen6_Boxcar_Type1</v>
      </c>
      <c r="O704" s="21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  <c r="R704" t="str" cm="1">
        <f t="array" ref="R704">_xlfn.XLOOKUP(CONTROL[[#This Row],[VEHIDCODE]],GRAPHICS_PROPERTIES[VEHIDCODE],GRAPHICS_PROPERTIES[TEMPLATE_ID]&amp;GRAPHICS_PROPERTIES[TEMPLATE_AMENDMENT_CODE])</f>
        <v>TPL_04B</v>
      </c>
    </row>
    <row r="705" spans="1:18" x14ac:dyDescent="0.35">
      <c r="A705" s="2" t="s">
        <v>199</v>
      </c>
      <c r="B705" s="21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2" t="s">
        <v>1697</v>
      </c>
      <c r="G705" t="s">
        <v>523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1" t="str">
        <f>"item_"&amp;CONTROL[[#This Row],[VEHIDCODE]]</f>
        <v>item_mu_Wagon_Gen6_Boxcar_Type2</v>
      </c>
      <c r="O705" s="21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  <c r="R705" t="str" cm="1">
        <f t="array" ref="R705">_xlfn.XLOOKUP(CONTROL[[#This Row],[VEHIDCODE]],GRAPHICS_PROPERTIES[VEHIDCODE],GRAPHICS_PROPERTIES[TEMPLATE_ID]&amp;GRAPHICS_PROPERTIES[TEMPLATE_AMENDMENT_CODE])</f>
        <v>TPL_04B</v>
      </c>
    </row>
    <row r="706" spans="1:18" x14ac:dyDescent="0.35">
      <c r="A706" s="2" t="s">
        <v>200</v>
      </c>
      <c r="B706" s="21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2" t="s">
        <v>434</v>
      </c>
      <c r="G706" t="s">
        <v>523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1" t="str">
        <f>"item_"&amp;CONTROL[[#This Row],[VEHIDCODE]]</f>
        <v>item_mu_Wagon_Gen6_Tanker</v>
      </c>
      <c r="O706" s="21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  <c r="R706" t="str" cm="1">
        <f t="array" ref="R706">_xlfn.XLOOKUP(CONTROL[[#This Row],[VEHIDCODE]],GRAPHICS_PROPERTIES[VEHIDCODE],GRAPHICS_PROPERTIES[TEMPLATE_ID]&amp;GRAPHICS_PROPERTIES[TEMPLATE_AMENDMENT_CODE])</f>
        <v>TPL_04B</v>
      </c>
    </row>
    <row r="707" spans="1:18" x14ac:dyDescent="0.35">
      <c r="A707" s="2" t="s">
        <v>201</v>
      </c>
      <c r="B707" s="21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2" t="s">
        <v>435</v>
      </c>
      <c r="G707" t="s">
        <v>523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1" t="str">
        <f>"item_"&amp;CONTROL[[#This Row],[VEHIDCODE]]</f>
        <v>item_mu_Wagon_Gen6_Gondola</v>
      </c>
      <c r="O707" s="21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  <c r="R707" t="str" cm="1">
        <f t="array" ref="R707">_xlfn.XLOOKUP(CONTROL[[#This Row],[VEHIDCODE]],GRAPHICS_PROPERTIES[VEHIDCODE],GRAPHICS_PROPERTIES[TEMPLATE_ID]&amp;GRAPHICS_PROPERTIES[TEMPLATE_AMENDMENT_CODE])</f>
        <v>TPL_04B</v>
      </c>
    </row>
    <row r="708" spans="1:18" x14ac:dyDescent="0.35">
      <c r="A708" s="2" t="s">
        <v>202</v>
      </c>
      <c r="B708" s="21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2" t="s">
        <v>1683</v>
      </c>
      <c r="G708" t="s">
        <v>523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1" t="str">
        <f>"item_"&amp;CONTROL[[#This Row],[VEHIDCODE]]</f>
        <v>item_mu_Wagon_Gen6_Silo_Type1</v>
      </c>
      <c r="O708" s="21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  <c r="R708" t="str" cm="1">
        <f t="array" ref="R708">_xlfn.XLOOKUP(CONTROL[[#This Row],[VEHIDCODE]],GRAPHICS_PROPERTIES[VEHIDCODE],GRAPHICS_PROPERTIES[TEMPLATE_ID]&amp;GRAPHICS_PROPERTIES[TEMPLATE_AMENDMENT_CODE])</f>
        <v>TPL_04B</v>
      </c>
    </row>
    <row r="709" spans="1:18" x14ac:dyDescent="0.35">
      <c r="A709" s="2" t="s">
        <v>203</v>
      </c>
      <c r="B709" s="21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2" t="s">
        <v>1698</v>
      </c>
      <c r="G709" t="s">
        <v>523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1" t="str">
        <f>"item_"&amp;CONTROL[[#This Row],[VEHIDCODE]]</f>
        <v>item_mu_Wagon_Gen6_Silo_Type2</v>
      </c>
      <c r="O709" s="21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  <c r="R709" t="str" cm="1">
        <f t="array" ref="R709">_xlfn.XLOOKUP(CONTROL[[#This Row],[VEHIDCODE]],GRAPHICS_PROPERTIES[VEHIDCODE],GRAPHICS_PROPERTIES[TEMPLATE_ID]&amp;GRAPHICS_PROPERTIES[TEMPLATE_AMENDMENT_CODE])</f>
        <v>TPL_04B</v>
      </c>
    </row>
    <row r="710" spans="1:18" x14ac:dyDescent="0.35">
      <c r="A710" s="2" t="s">
        <v>204</v>
      </c>
      <c r="B710" s="21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2" t="s">
        <v>1684</v>
      </c>
      <c r="G710" t="s">
        <v>523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1" t="str">
        <f>"item_"&amp;CONTROL[[#This Row],[VEHIDCODE]]</f>
        <v>item_mu_Wagon_Gen6_Hopper_Type1</v>
      </c>
      <c r="O710" s="21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  <c r="R710" t="str" cm="1">
        <f t="array" ref="R710">_xlfn.XLOOKUP(CONTROL[[#This Row],[VEHIDCODE]],GRAPHICS_PROPERTIES[VEHIDCODE],GRAPHICS_PROPERTIES[TEMPLATE_ID]&amp;GRAPHICS_PROPERTIES[TEMPLATE_AMENDMENT_CODE])</f>
        <v>TPL_04B</v>
      </c>
    </row>
    <row r="711" spans="1:18" x14ac:dyDescent="0.35">
      <c r="A711" s="2" t="s">
        <v>205</v>
      </c>
      <c r="B711" s="21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2" t="s">
        <v>1699</v>
      </c>
      <c r="G711" t="s">
        <v>523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1" t="str">
        <f>"item_"&amp;CONTROL[[#This Row],[VEHIDCODE]]</f>
        <v>item_mu_Wagon_Gen6_Hopper_Type2</v>
      </c>
      <c r="O711" s="21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  <c r="R711" t="str" cm="1">
        <f t="array" ref="R711">_xlfn.XLOOKUP(CONTROL[[#This Row],[VEHIDCODE]],GRAPHICS_PROPERTIES[VEHIDCODE],GRAPHICS_PROPERTIES[TEMPLATE_ID]&amp;GRAPHICS_PROPERTIES[TEMPLATE_AMENDMENT_CODE])</f>
        <v>TPL_04B</v>
      </c>
    </row>
    <row r="712" spans="1:18" x14ac:dyDescent="0.35">
      <c r="A712" s="2" t="s">
        <v>206</v>
      </c>
      <c r="B712" s="21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2" t="s">
        <v>436</v>
      </c>
      <c r="G712" t="s">
        <v>523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1" t="str">
        <f>"item_"&amp;CONTROL[[#This Row],[VEHIDCODE]]</f>
        <v>item_mu_Wagon_Gen6_Car_Transporter</v>
      </c>
      <c r="O712" s="21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  <c r="R712" t="str" cm="1">
        <f t="array" ref="R712">_xlfn.XLOOKUP(CONTROL[[#This Row],[VEHIDCODE]],GRAPHICS_PROPERTIES[VEHIDCODE],GRAPHICS_PROPERTIES[TEMPLATE_ID]&amp;GRAPHICS_PROPERTIES[TEMPLATE_AMENDMENT_CODE])</f>
        <v>TPL_04B</v>
      </c>
    </row>
    <row r="713" spans="1:18" x14ac:dyDescent="0.35">
      <c r="A713" s="2" t="s">
        <v>207</v>
      </c>
      <c r="B713" s="21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2" t="s">
        <v>437</v>
      </c>
      <c r="G713" t="s">
        <v>523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1" t="str">
        <f>"item_"&amp;CONTROL[[#This Row],[VEHIDCODE]]</f>
        <v>item_mu_Wagon_Gen6_Container_Carrier</v>
      </c>
      <c r="O713" s="21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  <c r="R713" t="str" cm="1">
        <f t="array" ref="R713">_xlfn.XLOOKUP(CONTROL[[#This Row],[VEHIDCODE]],GRAPHICS_PROPERTIES[VEHIDCODE],GRAPHICS_PROPERTIES[TEMPLATE_ID]&amp;GRAPHICS_PROPERTIES[TEMPLATE_AMENDMENT_CODE])</f>
        <v>TPL_04B</v>
      </c>
    </row>
    <row r="714" spans="1:18" x14ac:dyDescent="0.35">
      <c r="A714" s="2" t="s">
        <v>208</v>
      </c>
      <c r="B714" s="21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2" t="s">
        <v>438</v>
      </c>
      <c r="G714" t="s">
        <v>523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1" t="str">
        <f>"item_"&amp;CONTROL[[#This Row],[VEHIDCODE]]</f>
        <v>item_mu_Wagon_Gen6_Centerbeam</v>
      </c>
      <c r="O714" s="21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  <c r="R714" t="str" cm="1">
        <f t="array" ref="R714">_xlfn.XLOOKUP(CONTROL[[#This Row],[VEHIDCODE]],GRAPHICS_PROPERTIES[VEHIDCODE],GRAPHICS_PROPERTIES[TEMPLATE_ID]&amp;GRAPHICS_PROPERTIES[TEMPLATE_AMENDMENT_CODE])</f>
        <v>TPL_04B</v>
      </c>
    </row>
    <row r="715" spans="1:18" x14ac:dyDescent="0.35">
      <c r="A715" s="2" t="s">
        <v>209</v>
      </c>
      <c r="B715" s="21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2" t="s">
        <v>439</v>
      </c>
      <c r="G715" t="s">
        <v>523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1" t="str">
        <f>"item_"&amp;CONTROL[[#This Row],[VEHIDCODE]]</f>
        <v>item_mu_Wagon_Gen6_Container_Doublestack</v>
      </c>
      <c r="O715" s="21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  <c r="R715" t="str" cm="1">
        <f t="array" ref="R715">_xlfn.XLOOKUP(CONTROL[[#This Row],[VEHIDCODE]],GRAPHICS_PROPERTIES[VEHIDCODE],GRAPHICS_PROPERTIES[TEMPLATE_ID]&amp;GRAPHICS_PROPERTIES[TEMPLATE_AMENDMENT_CODE])</f>
        <v>TPL_04B</v>
      </c>
    </row>
    <row r="716" spans="1:18" x14ac:dyDescent="0.35">
      <c r="A716" s="2" t="s">
        <v>210</v>
      </c>
      <c r="B716" s="21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2" t="s">
        <v>440</v>
      </c>
      <c r="G716" t="s">
        <v>523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1" t="str">
        <f>"item_"&amp;CONTROL[[#This Row],[VEHIDCODE]]</f>
        <v>item_mu_Wagon_Gen6_Superheavy_Flatcar</v>
      </c>
      <c r="O716" s="21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  <c r="R716" t="str" cm="1">
        <f t="array" ref="R716">_xlfn.XLOOKUP(CONTROL[[#This Row],[VEHIDCODE]],GRAPHICS_PROPERTIES[VEHIDCODE],GRAPHICS_PROPERTIES[TEMPLATE_ID]&amp;GRAPHICS_PROPERTIES[TEMPLATE_AMENDMENT_CODE])</f>
        <v>TPL_25A</v>
      </c>
    </row>
    <row r="717" spans="1:18" x14ac:dyDescent="0.35">
      <c r="A717" s="2" t="s">
        <v>225</v>
      </c>
      <c r="B717" s="21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2" t="s">
        <v>3564</v>
      </c>
      <c r="G717" t="s">
        <v>523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1" t="str">
        <f>"item_"&amp;CONTROL[[#This Row],[VEHIDCODE]]</f>
        <v>item_mu_Wagon_Service_Car_Type1</v>
      </c>
      <c r="O717" s="21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  <c r="R717" t="str" cm="1">
        <f t="array" ref="R717">_xlfn.XLOOKUP(CONTROL[[#This Row],[VEHIDCODE]],GRAPHICS_PROPERTIES[VEHIDCODE],GRAPHICS_PROPERTIES[TEMPLATE_ID]&amp;GRAPHICS_PROPERTIES[TEMPLATE_AMENDMENT_CODE])</f>
        <v>TPL_04A</v>
      </c>
    </row>
    <row r="718" spans="1:18" x14ac:dyDescent="0.35">
      <c r="A718" s="2" t="s">
        <v>226</v>
      </c>
      <c r="B718" s="21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2" t="s">
        <v>3565</v>
      </c>
      <c r="G718" t="s">
        <v>523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1" t="str">
        <f>"item_"&amp;CONTROL[[#This Row],[VEHIDCODE]]</f>
        <v>item_mu_Wagon_Service_Car_Type2</v>
      </c>
      <c r="O718" s="21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  <c r="R718" t="str" cm="1">
        <f t="array" ref="R718">_xlfn.XLOOKUP(CONTROL[[#This Row],[VEHIDCODE]],GRAPHICS_PROPERTIES[VEHIDCODE],GRAPHICS_PROPERTIES[TEMPLATE_ID]&amp;GRAPHICS_PROPERTIES[TEMPLATE_AMENDMENT_CODE])</f>
        <v>TPL_04A</v>
      </c>
    </row>
    <row r="719" spans="1:18" x14ac:dyDescent="0.35">
      <c r="A719" s="2" t="s">
        <v>83</v>
      </c>
      <c r="B719" s="21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2" t="s">
        <v>441</v>
      </c>
      <c r="G719" t="s">
        <v>523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1" t="str">
        <f>"item_"&amp;CONTROL[[#This Row],[VEHIDCODE]]</f>
        <v>item_mu_Coach_Gen1_Wooden_2_axle_Compartment_Coach</v>
      </c>
      <c r="O719" s="21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  <c r="R719" t="str" cm="1">
        <f t="array" ref="R719">_xlfn.XLOOKUP(CONTROL[[#This Row],[VEHIDCODE]],GRAPHICS_PROPERTIES[VEHIDCODE],GRAPHICS_PROPERTIES[TEMPLATE_ID]&amp;GRAPHICS_PROPERTIES[TEMPLATE_AMENDMENT_CODE])</f>
        <v>TPL_04A</v>
      </c>
    </row>
    <row r="720" spans="1:18" x14ac:dyDescent="0.35">
      <c r="A720" s="2" t="s">
        <v>84</v>
      </c>
      <c r="B720" s="21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2" t="s">
        <v>442</v>
      </c>
      <c r="G720" t="s">
        <v>523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1" t="str">
        <f>"item_"&amp;CONTROL[[#This Row],[VEHIDCODE]]</f>
        <v>item_mu_Coach_Gen1_Wooden_2_axle_Regional_Coach</v>
      </c>
      <c r="O720" s="21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  <c r="R720" t="str" cm="1">
        <f t="array" ref="R720">_xlfn.XLOOKUP(CONTROL[[#This Row],[VEHIDCODE]],GRAPHICS_PROPERTIES[VEHIDCODE],GRAPHICS_PROPERTIES[TEMPLATE_ID]&amp;GRAPHICS_PROPERTIES[TEMPLATE_AMENDMENT_CODE])</f>
        <v>TPL_04A</v>
      </c>
    </row>
    <row r="721" spans="1:18" x14ac:dyDescent="0.35">
      <c r="A721" s="2" t="s">
        <v>85</v>
      </c>
      <c r="B721" s="21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2" t="s">
        <v>443</v>
      </c>
      <c r="G721" t="s">
        <v>523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1" t="str">
        <f>"item_"&amp;CONTROL[[#This Row],[VEHIDCODE]]</f>
        <v>item_mu_Coach_Gen1_Wooden_2_axle_Mail_Coach</v>
      </c>
      <c r="O721" s="21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  <c r="R721" t="str" cm="1">
        <f t="array" ref="R721">_xlfn.XLOOKUP(CONTROL[[#This Row],[VEHIDCODE]],GRAPHICS_PROPERTIES[VEHIDCODE],GRAPHICS_PROPERTIES[TEMPLATE_ID]&amp;GRAPHICS_PROPERTIES[TEMPLATE_AMENDMENT_CODE])</f>
        <v>TPL_04A</v>
      </c>
    </row>
    <row r="722" spans="1:18" x14ac:dyDescent="0.35">
      <c r="A722" s="2" t="s">
        <v>86</v>
      </c>
      <c r="B722" s="21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2" t="s">
        <v>444</v>
      </c>
      <c r="G722" t="s">
        <v>523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1" t="str">
        <f>"item_"&amp;CONTROL[[#This Row],[VEHIDCODE]]</f>
        <v>item_mu_Coach_Gen1_Clerestory_Compartment_Coach</v>
      </c>
      <c r="O722" s="21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  <c r="R722" t="str" cm="1">
        <f t="array" ref="R722">_xlfn.XLOOKUP(CONTROL[[#This Row],[VEHIDCODE]],GRAPHICS_PROPERTIES[VEHIDCODE],GRAPHICS_PROPERTIES[TEMPLATE_ID]&amp;GRAPHICS_PROPERTIES[TEMPLATE_AMENDMENT_CODE])</f>
        <v>TPL_04A</v>
      </c>
    </row>
    <row r="723" spans="1:18" x14ac:dyDescent="0.35">
      <c r="A723" s="2" t="s">
        <v>87</v>
      </c>
      <c r="B723" s="21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2" t="s">
        <v>445</v>
      </c>
      <c r="G723" t="s">
        <v>523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1" t="str">
        <f>"item_"&amp;CONTROL[[#This Row],[VEHIDCODE]]</f>
        <v>item_mu_Coach_Gen1_Clerestory_Regional_Coach</v>
      </c>
      <c r="O723" s="21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  <c r="R723" t="str" cm="1">
        <f t="array" ref="R723">_xlfn.XLOOKUP(CONTROL[[#This Row],[VEHIDCODE]],GRAPHICS_PROPERTIES[VEHIDCODE],GRAPHICS_PROPERTIES[TEMPLATE_ID]&amp;GRAPHICS_PROPERTIES[TEMPLATE_AMENDMENT_CODE])</f>
        <v>TPL_04A</v>
      </c>
    </row>
    <row r="724" spans="1:18" x14ac:dyDescent="0.35">
      <c r="A724" s="2" t="s">
        <v>88</v>
      </c>
      <c r="B724" s="21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2" t="s">
        <v>446</v>
      </c>
      <c r="G724" t="s">
        <v>523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1" t="str">
        <f>"item_"&amp;CONTROL[[#This Row],[VEHIDCODE]]</f>
        <v>item_mu_Coach_Gen1_Clerestory_Mail_Coach</v>
      </c>
      <c r="O724" s="21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  <c r="R724" t="str" cm="1">
        <f t="array" ref="R724">_xlfn.XLOOKUP(CONTROL[[#This Row],[VEHIDCODE]],GRAPHICS_PROPERTIES[VEHIDCODE],GRAPHICS_PROPERTIES[TEMPLATE_ID]&amp;GRAPHICS_PROPERTIES[TEMPLATE_AMENDMENT_CODE])</f>
        <v>TPL_04A</v>
      </c>
    </row>
    <row r="725" spans="1:18" x14ac:dyDescent="0.35">
      <c r="A725" s="2" t="s">
        <v>89</v>
      </c>
      <c r="B725" s="21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2" t="s">
        <v>447</v>
      </c>
      <c r="G725" t="s">
        <v>523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1" t="str">
        <f>"item_"&amp;CONTROL[[#This Row],[VEHIDCODE]]</f>
        <v>item_mu_Coach_Gen1_Wooden_3_axle_Compartment_Coach</v>
      </c>
      <c r="O725" s="21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  <c r="R725" t="str" cm="1">
        <f t="array" ref="R725">_xlfn.XLOOKUP(CONTROL[[#This Row],[VEHIDCODE]],GRAPHICS_PROPERTIES[VEHIDCODE],GRAPHICS_PROPERTIES[TEMPLATE_ID]&amp;GRAPHICS_PROPERTIES[TEMPLATE_AMENDMENT_CODE])</f>
        <v>TPL_04A</v>
      </c>
    </row>
    <row r="726" spans="1:18" x14ac:dyDescent="0.35">
      <c r="A726" s="2" t="s">
        <v>90</v>
      </c>
      <c r="B726" s="21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2" t="s">
        <v>448</v>
      </c>
      <c r="G726" t="s">
        <v>523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1" t="str">
        <f>"item_"&amp;CONTROL[[#This Row],[VEHIDCODE]]</f>
        <v>item_mu_Coach_Gen1_Wooden_3_axle_Regional_Coach</v>
      </c>
      <c r="O726" s="21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  <c r="R726" t="str" cm="1">
        <f t="array" ref="R726">_xlfn.XLOOKUP(CONTROL[[#This Row],[VEHIDCODE]],GRAPHICS_PROPERTIES[VEHIDCODE],GRAPHICS_PROPERTIES[TEMPLATE_ID]&amp;GRAPHICS_PROPERTIES[TEMPLATE_AMENDMENT_CODE])</f>
        <v>TPL_04A</v>
      </c>
    </row>
    <row r="727" spans="1:18" x14ac:dyDescent="0.35">
      <c r="A727" s="2" t="s">
        <v>91</v>
      </c>
      <c r="B727" s="21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2" t="s">
        <v>449</v>
      </c>
      <c r="G727" t="s">
        <v>523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1" t="str">
        <f>"item_"&amp;CONTROL[[#This Row],[VEHIDCODE]]</f>
        <v>item_mu_Coach_Gen1_Wooden_3_axle_Mail_Coach</v>
      </c>
      <c r="O727" s="21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  <c r="R727" t="str" cm="1">
        <f t="array" ref="R727">_xlfn.XLOOKUP(CONTROL[[#This Row],[VEHIDCODE]],GRAPHICS_PROPERTIES[VEHIDCODE],GRAPHICS_PROPERTIES[TEMPLATE_ID]&amp;GRAPHICS_PROPERTIES[TEMPLATE_AMENDMENT_CODE])</f>
        <v>TPL_04A</v>
      </c>
    </row>
    <row r="728" spans="1:18" x14ac:dyDescent="0.35">
      <c r="A728" s="2" t="s">
        <v>92</v>
      </c>
      <c r="B728" s="21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2" t="s">
        <v>450</v>
      </c>
      <c r="G728" t="s">
        <v>523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1" t="str">
        <f>"item_"&amp;CONTROL[[#This Row],[VEHIDCODE]]</f>
        <v>item_mu_Coach_Gen2_Heavyweight_Intercity_Coach</v>
      </c>
      <c r="O728" s="21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  <c r="R728" t="str" cm="1">
        <f t="array" ref="R728">_xlfn.XLOOKUP(CONTROL[[#This Row],[VEHIDCODE]],GRAPHICS_PROPERTIES[VEHIDCODE],GRAPHICS_PROPERTIES[TEMPLATE_ID]&amp;GRAPHICS_PROPERTIES[TEMPLATE_AMENDMENT_CODE])</f>
        <v>TPL_04S</v>
      </c>
    </row>
    <row r="729" spans="1:18" x14ac:dyDescent="0.35">
      <c r="A729" s="2" t="s">
        <v>93</v>
      </c>
      <c r="B729" s="21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2" t="s">
        <v>451</v>
      </c>
      <c r="G729" t="s">
        <v>523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1" t="str">
        <f>"item_"&amp;CONTROL[[#This Row],[VEHIDCODE]]</f>
        <v>item_mu_Coach_Gen2_Heavyweight_Mail_Coach</v>
      </c>
      <c r="O729" s="21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  <c r="R729" t="str" cm="1">
        <f t="array" ref="R729">_xlfn.XLOOKUP(CONTROL[[#This Row],[VEHIDCODE]],GRAPHICS_PROPERTIES[VEHIDCODE],GRAPHICS_PROPERTIES[TEMPLATE_ID]&amp;GRAPHICS_PROPERTIES[TEMPLATE_AMENDMENT_CODE])</f>
        <v>TPL_04A</v>
      </c>
    </row>
    <row r="730" spans="1:18" x14ac:dyDescent="0.35">
      <c r="A730" s="2" t="s">
        <v>94</v>
      </c>
      <c r="B730" s="21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2" t="s">
        <v>452</v>
      </c>
      <c r="G730" t="s">
        <v>523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1" t="str">
        <f>"item_"&amp;CONTROL[[#This Row],[VEHIDCODE]]</f>
        <v>item_mu_Coach_Gen2_Steel_Intercity_Coach</v>
      </c>
      <c r="O730" s="21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  <c r="R730" t="str" cm="1">
        <f t="array" ref="R730">_xlfn.XLOOKUP(CONTROL[[#This Row],[VEHIDCODE]],GRAPHICS_PROPERTIES[VEHIDCODE],GRAPHICS_PROPERTIES[TEMPLATE_ID]&amp;GRAPHICS_PROPERTIES[TEMPLATE_AMENDMENT_CODE])</f>
        <v>TPL_04A</v>
      </c>
    </row>
    <row r="731" spans="1:18" x14ac:dyDescent="0.35">
      <c r="A731" s="2" t="s">
        <v>95</v>
      </c>
      <c r="B731" s="21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2" t="s">
        <v>453</v>
      </c>
      <c r="G731" t="s">
        <v>523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1" t="str">
        <f>"item_"&amp;CONTROL[[#This Row],[VEHIDCODE]]</f>
        <v>item_mu_Coach_Gen2_Steel_Compartment_Coach</v>
      </c>
      <c r="O731" s="21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  <c r="R731" t="str" cm="1">
        <f t="array" ref="R731">_xlfn.XLOOKUP(CONTROL[[#This Row],[VEHIDCODE]],GRAPHICS_PROPERTIES[VEHIDCODE],GRAPHICS_PROPERTIES[TEMPLATE_ID]&amp;GRAPHICS_PROPERTIES[TEMPLATE_AMENDMENT_CODE])</f>
        <v>TPL_04A</v>
      </c>
    </row>
    <row r="732" spans="1:18" x14ac:dyDescent="0.35">
      <c r="A732" s="2" t="s">
        <v>96</v>
      </c>
      <c r="B732" s="21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2" t="s">
        <v>454</v>
      </c>
      <c r="G732" t="s">
        <v>523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1" t="str">
        <f>"item_"&amp;CONTROL[[#This Row],[VEHIDCODE]]</f>
        <v>item_mu_Coach_Gen2_Steel_Regional_Coach</v>
      </c>
      <c r="O732" s="21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  <c r="R732" t="str" cm="1">
        <f t="array" ref="R732">_xlfn.XLOOKUP(CONTROL[[#This Row],[VEHIDCODE]],GRAPHICS_PROPERTIES[VEHIDCODE],GRAPHICS_PROPERTIES[TEMPLATE_ID]&amp;GRAPHICS_PROPERTIES[TEMPLATE_AMENDMENT_CODE])</f>
        <v>TPL_04A</v>
      </c>
    </row>
    <row r="733" spans="1:18" x14ac:dyDescent="0.35">
      <c r="A733" s="2" t="s">
        <v>97</v>
      </c>
      <c r="B733" s="21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2" t="s">
        <v>455</v>
      </c>
      <c r="G733" t="s">
        <v>523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1" t="str">
        <f>"item_"&amp;CONTROL[[#This Row],[VEHIDCODE]]</f>
        <v>item_mu_Coach_Gen2_Steel_Mail_Coach</v>
      </c>
      <c r="O733" s="21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  <c r="R733" t="str" cm="1">
        <f t="array" ref="R733">_xlfn.XLOOKUP(CONTROL[[#This Row],[VEHIDCODE]],GRAPHICS_PROPERTIES[VEHIDCODE],GRAPHICS_PROPERTIES[TEMPLATE_ID]&amp;GRAPHICS_PROPERTIES[TEMPLATE_AMENDMENT_CODE])</f>
        <v>TPL_04A</v>
      </c>
    </row>
    <row r="734" spans="1:18" x14ac:dyDescent="0.35">
      <c r="A734" s="2" t="s">
        <v>98</v>
      </c>
      <c r="B734" s="21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2" t="s">
        <v>456</v>
      </c>
      <c r="G734" t="s">
        <v>523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1" t="str">
        <f>"item_"&amp;CONTROL[[#This Row],[VEHIDCODE]]</f>
        <v>item_mu_Coach_Gen2_Steel_2_axle_Compartment_Coach</v>
      </c>
      <c r="O734" s="21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  <c r="R734" t="str" cm="1">
        <f t="array" ref="R734">_xlfn.XLOOKUP(CONTROL[[#This Row],[VEHIDCODE]],GRAPHICS_PROPERTIES[VEHIDCODE],GRAPHICS_PROPERTIES[TEMPLATE_ID]&amp;GRAPHICS_PROPERTIES[TEMPLATE_AMENDMENT_CODE])</f>
        <v>TPL_04A</v>
      </c>
    </row>
    <row r="735" spans="1:18" x14ac:dyDescent="0.35">
      <c r="A735" s="2" t="s">
        <v>99</v>
      </c>
      <c r="B735" s="21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2" t="s">
        <v>457</v>
      </c>
      <c r="G735" t="s">
        <v>523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1" t="str">
        <f>"item_"&amp;CONTROL[[#This Row],[VEHIDCODE]]</f>
        <v>item_mu_Coach_Gen2_Steel_2_axle_Regional_Coach</v>
      </c>
      <c r="O735" s="21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  <c r="R735" t="str" cm="1">
        <f t="array" ref="R735">_xlfn.XLOOKUP(CONTROL[[#This Row],[VEHIDCODE]],GRAPHICS_PROPERTIES[VEHIDCODE],GRAPHICS_PROPERTIES[TEMPLATE_ID]&amp;GRAPHICS_PROPERTIES[TEMPLATE_AMENDMENT_CODE])</f>
        <v>TPL_04A</v>
      </c>
    </row>
    <row r="736" spans="1:18" x14ac:dyDescent="0.35">
      <c r="A736" s="2" t="s">
        <v>100</v>
      </c>
      <c r="B736" s="21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2" t="s">
        <v>458</v>
      </c>
      <c r="G736" t="s">
        <v>523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1" t="str">
        <f>"item_"&amp;CONTROL[[#This Row],[VEHIDCODE]]</f>
        <v>item_mu_Coach_Gen2_Steel_2_axle_Mail_Coach</v>
      </c>
      <c r="O736" s="21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  <c r="R736" t="str" cm="1">
        <f t="array" ref="R736">_xlfn.XLOOKUP(CONTROL[[#This Row],[VEHIDCODE]],GRAPHICS_PROPERTIES[VEHIDCODE],GRAPHICS_PROPERTIES[TEMPLATE_ID]&amp;GRAPHICS_PROPERTIES[TEMPLATE_AMENDMENT_CODE])</f>
        <v>TPL_04A</v>
      </c>
    </row>
    <row r="737" spans="1:18" x14ac:dyDescent="0.35">
      <c r="A737" s="2" t="s">
        <v>101</v>
      </c>
      <c r="B737" s="21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2" t="s">
        <v>459</v>
      </c>
      <c r="G737" t="s">
        <v>523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1" t="str">
        <f>"item_"&amp;CONTROL[[#This Row],[VEHIDCODE]]</f>
        <v>item_mu_Coach_Gen2_Steel_3_axle_Compartment_Coach</v>
      </c>
      <c r="O737" s="21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  <c r="R737" t="str" cm="1">
        <f t="array" ref="R737">_xlfn.XLOOKUP(CONTROL[[#This Row],[VEHIDCODE]],GRAPHICS_PROPERTIES[VEHIDCODE],GRAPHICS_PROPERTIES[TEMPLATE_ID]&amp;GRAPHICS_PROPERTIES[TEMPLATE_AMENDMENT_CODE])</f>
        <v>TPL_04A</v>
      </c>
    </row>
    <row r="738" spans="1:18" x14ac:dyDescent="0.35">
      <c r="A738" s="2" t="s">
        <v>102</v>
      </c>
      <c r="B738" s="21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2" t="s">
        <v>460</v>
      </c>
      <c r="G738" t="s">
        <v>523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1" t="str">
        <f>"item_"&amp;CONTROL[[#This Row],[VEHIDCODE]]</f>
        <v>item_mu_Coach_Gen2_Steel_3_axle_Regional_Coach</v>
      </c>
      <c r="O738" s="21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  <c r="R738" t="str" cm="1">
        <f t="array" ref="R738">_xlfn.XLOOKUP(CONTROL[[#This Row],[VEHIDCODE]],GRAPHICS_PROPERTIES[VEHIDCODE],GRAPHICS_PROPERTIES[TEMPLATE_ID]&amp;GRAPHICS_PROPERTIES[TEMPLATE_AMENDMENT_CODE])</f>
        <v>TPL_04A</v>
      </c>
    </row>
    <row r="739" spans="1:18" x14ac:dyDescent="0.35">
      <c r="A739" s="2" t="s">
        <v>103</v>
      </c>
      <c r="B739" s="21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2" t="s">
        <v>461</v>
      </c>
      <c r="G739" t="s">
        <v>523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1" t="str">
        <f>"item_"&amp;CONTROL[[#This Row],[VEHIDCODE]]</f>
        <v>item_mu_Coach_Gen2_Steel_3_axle_Mail_Coach</v>
      </c>
      <c r="O739" s="21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  <c r="R739" t="str" cm="1">
        <f t="array" ref="R739">_xlfn.XLOOKUP(CONTROL[[#This Row],[VEHIDCODE]],GRAPHICS_PROPERTIES[VEHIDCODE],GRAPHICS_PROPERTIES[TEMPLATE_ID]&amp;GRAPHICS_PROPERTIES[TEMPLATE_AMENDMENT_CODE])</f>
        <v>TPL_04A</v>
      </c>
    </row>
    <row r="740" spans="1:18" x14ac:dyDescent="0.35">
      <c r="A740" s="2" t="s">
        <v>104</v>
      </c>
      <c r="B740" s="21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2" t="s">
        <v>3578</v>
      </c>
      <c r="G740" t="s">
        <v>523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1" t="str">
        <f>"item_"&amp;CONTROL[[#This Row],[VEHIDCODE]]</f>
        <v>item_mu_Coach_Gen3_Steel_Lightweight_Intercity_Coach</v>
      </c>
      <c r="O740" s="21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  <c r="R740" t="str" cm="1">
        <f t="array" ref="R740">_xlfn.XLOOKUP(CONTROL[[#This Row],[VEHIDCODE]],GRAPHICS_PROPERTIES[VEHIDCODE],GRAPHICS_PROPERTIES[TEMPLATE_ID]&amp;GRAPHICS_PROPERTIES[TEMPLATE_AMENDMENT_CODE])</f>
        <v>TPL_04S</v>
      </c>
    </row>
    <row r="741" spans="1:18" x14ac:dyDescent="0.35">
      <c r="A741" s="2" t="s">
        <v>105</v>
      </c>
      <c r="B741" s="21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2" t="s">
        <v>3579</v>
      </c>
      <c r="G741" t="s">
        <v>523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1" t="str">
        <f>"item_"&amp;CONTROL[[#This Row],[VEHIDCODE]]</f>
        <v>item_mu_Coach_Gen3_Steel_Lightweight_Regional_Coach</v>
      </c>
      <c r="O741" s="21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  <c r="R741" t="str" cm="1">
        <f t="array" ref="R741">_xlfn.XLOOKUP(CONTROL[[#This Row],[VEHIDCODE]],GRAPHICS_PROPERTIES[VEHIDCODE],GRAPHICS_PROPERTIES[TEMPLATE_ID]&amp;GRAPHICS_PROPERTIES[TEMPLATE_AMENDMENT_CODE])</f>
        <v>TPL_04A</v>
      </c>
    </row>
    <row r="742" spans="1:18" x14ac:dyDescent="0.35">
      <c r="A742" s="2" t="s">
        <v>106</v>
      </c>
      <c r="B742" s="21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2" t="s">
        <v>3580</v>
      </c>
      <c r="G742" t="s">
        <v>523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1" t="str">
        <f>"item_"&amp;CONTROL[[#This Row],[VEHIDCODE]]</f>
        <v>item_mu_Coach_Gen3_Steel_Lightweight_Mail_Coach</v>
      </c>
      <c r="O742" s="21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  <c r="R742" t="str" cm="1">
        <f t="array" ref="R742">_xlfn.XLOOKUP(CONTROL[[#This Row],[VEHIDCODE]],GRAPHICS_PROPERTIES[VEHIDCODE],GRAPHICS_PROPERTIES[TEMPLATE_ID]&amp;GRAPHICS_PROPERTIES[TEMPLATE_AMENDMENT_CODE])</f>
        <v>TPL_04A</v>
      </c>
    </row>
    <row r="743" spans="1:18" x14ac:dyDescent="0.35">
      <c r="A743" s="2" t="s">
        <v>107</v>
      </c>
      <c r="B743" s="21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2" t="s">
        <v>3567</v>
      </c>
      <c r="G743" t="s">
        <v>523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1" t="str">
        <f>"item_"&amp;CONTROL[[#This Row],[VEHIDCODE]]</f>
        <v>item_mu_Coach_Gen3_Aluminium_Lightweight_Intercity_Coach</v>
      </c>
      <c r="O743" s="21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  <c r="R743" t="str" cm="1">
        <f t="array" ref="R743">_xlfn.XLOOKUP(CONTROL[[#This Row],[VEHIDCODE]],GRAPHICS_PROPERTIES[VEHIDCODE],GRAPHICS_PROPERTIES[TEMPLATE_ID]&amp;GRAPHICS_PROPERTIES[TEMPLATE_AMENDMENT_CODE])</f>
        <v>TPL_04S</v>
      </c>
    </row>
    <row r="744" spans="1:18" x14ac:dyDescent="0.35">
      <c r="A744" s="2" t="s">
        <v>108</v>
      </c>
      <c r="B744" s="21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2" t="s">
        <v>3568</v>
      </c>
      <c r="G744" t="s">
        <v>523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1" t="str">
        <f>"item_"&amp;CONTROL[[#This Row],[VEHIDCODE]]</f>
        <v>item_mu_Coach_Gen3_Aluminium_Lightweight_Regional_Coach</v>
      </c>
      <c r="O744" s="21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  <c r="R744" t="str" cm="1">
        <f t="array" ref="R744">_xlfn.XLOOKUP(CONTROL[[#This Row],[VEHIDCODE]],GRAPHICS_PROPERTIES[VEHIDCODE],GRAPHICS_PROPERTIES[TEMPLATE_ID]&amp;GRAPHICS_PROPERTIES[TEMPLATE_AMENDMENT_CODE])</f>
        <v>TPL_04S</v>
      </c>
    </row>
    <row r="745" spans="1:18" x14ac:dyDescent="0.35">
      <c r="A745" s="2" t="s">
        <v>109</v>
      </c>
      <c r="B745" s="21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2" t="s">
        <v>3569</v>
      </c>
      <c r="G745" t="s">
        <v>523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1" t="str">
        <f>"item_"&amp;CONTROL[[#This Row],[VEHIDCODE]]</f>
        <v>item_mu_Coach_Gen3_Aluminium_Lightweight_Mail_Coach</v>
      </c>
      <c r="O745" s="21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  <c r="R745" t="str" cm="1">
        <f t="array" ref="R745">_xlfn.XLOOKUP(CONTROL[[#This Row],[VEHIDCODE]],GRAPHICS_PROPERTIES[VEHIDCODE],GRAPHICS_PROPERTIES[TEMPLATE_ID]&amp;GRAPHICS_PROPERTIES[TEMPLATE_AMENDMENT_CODE])</f>
        <v>TPL_04S</v>
      </c>
    </row>
    <row r="746" spans="1:18" x14ac:dyDescent="0.35">
      <c r="A746" s="2" t="s">
        <v>110</v>
      </c>
      <c r="B746" s="21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2" t="s">
        <v>462</v>
      </c>
      <c r="G746" t="s">
        <v>523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1" t="str">
        <f>"item_"&amp;CONTROL[[#This Row],[VEHIDCODE]]</f>
        <v>item_mu_Coach_Gen3_Gallery_Car</v>
      </c>
      <c r="O746" s="21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  <c r="R746" t="str" cm="1">
        <f t="array" ref="R746">_xlfn.XLOOKUP(CONTROL[[#This Row],[VEHIDCODE]],GRAPHICS_PROPERTIES[VEHIDCODE],GRAPHICS_PROPERTIES[TEMPLATE_ID]&amp;GRAPHICS_PROPERTIES[TEMPLATE_AMENDMENT_CODE])</f>
        <v>TPL_04A</v>
      </c>
    </row>
    <row r="747" spans="1:18" x14ac:dyDescent="0.35">
      <c r="A747" s="2" t="s">
        <v>111</v>
      </c>
      <c r="B747" s="21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2" t="s">
        <v>463</v>
      </c>
      <c r="G747" t="s">
        <v>523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1" t="str">
        <f>"item_"&amp;CONTROL[[#This Row],[VEHIDCODE]]</f>
        <v>item_mu_Coach_Gen3_Mk1_Intercity_Coach</v>
      </c>
      <c r="O747" s="21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  <c r="R747" t="str" cm="1">
        <f t="array" ref="R747">_xlfn.XLOOKUP(CONTROL[[#This Row],[VEHIDCODE]],GRAPHICS_PROPERTIES[VEHIDCODE],GRAPHICS_PROPERTIES[TEMPLATE_ID]&amp;GRAPHICS_PROPERTIES[TEMPLATE_AMENDMENT_CODE])</f>
        <v>TPL_04A</v>
      </c>
    </row>
    <row r="748" spans="1:18" x14ac:dyDescent="0.35">
      <c r="A748" s="2" t="s">
        <v>112</v>
      </c>
      <c r="B748" s="21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2" t="s">
        <v>464</v>
      </c>
      <c r="G748" t="s">
        <v>523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1" t="str">
        <f>"item_"&amp;CONTROL[[#This Row],[VEHIDCODE]]</f>
        <v>item_mu_Coach_Gen3_Mk1_Regional_Coach</v>
      </c>
      <c r="O748" s="21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  <c r="R748" t="str" cm="1">
        <f t="array" ref="R748">_xlfn.XLOOKUP(CONTROL[[#This Row],[VEHIDCODE]],GRAPHICS_PROPERTIES[VEHIDCODE],GRAPHICS_PROPERTIES[TEMPLATE_ID]&amp;GRAPHICS_PROPERTIES[TEMPLATE_AMENDMENT_CODE])</f>
        <v>TPL_04A</v>
      </c>
    </row>
    <row r="749" spans="1:18" x14ac:dyDescent="0.35">
      <c r="A749" s="2" t="s">
        <v>113</v>
      </c>
      <c r="B749" s="21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2" t="s">
        <v>465</v>
      </c>
      <c r="G749" t="s">
        <v>523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1" t="str">
        <f>"item_"&amp;CONTROL[[#This Row],[VEHIDCODE]]</f>
        <v>item_mu_Coach_Gen3_Mk1_Mail_Coach</v>
      </c>
      <c r="O749" s="21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  <c r="R749" t="str" cm="1">
        <f t="array" ref="R749">_xlfn.XLOOKUP(CONTROL[[#This Row],[VEHIDCODE]],GRAPHICS_PROPERTIES[VEHIDCODE],GRAPHICS_PROPERTIES[TEMPLATE_ID]&amp;GRAPHICS_PROPERTIES[TEMPLATE_AMENDMENT_CODE])</f>
        <v>TPL_04A</v>
      </c>
    </row>
    <row r="750" spans="1:18" x14ac:dyDescent="0.35">
      <c r="A750" s="2" t="s">
        <v>114</v>
      </c>
      <c r="B750" s="21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2" t="s">
        <v>466</v>
      </c>
      <c r="G750" t="s">
        <v>523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1" t="str">
        <f>"item_"&amp;CONTROL[[#This Row],[VEHIDCODE]]</f>
        <v>item_mu_Coach_Gen3_UIC_X_Intercity_Coach</v>
      </c>
      <c r="O750" s="21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  <c r="R750" t="str" cm="1">
        <f t="array" ref="R750">_xlfn.XLOOKUP(CONTROL[[#This Row],[VEHIDCODE]],GRAPHICS_PROPERTIES[VEHIDCODE],GRAPHICS_PROPERTIES[TEMPLATE_ID]&amp;GRAPHICS_PROPERTIES[TEMPLATE_AMENDMENT_CODE])</f>
        <v>TPL_04A</v>
      </c>
    </row>
    <row r="751" spans="1:18" x14ac:dyDescent="0.35">
      <c r="A751" s="2" t="s">
        <v>115</v>
      </c>
      <c r="B751" s="21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2" t="s">
        <v>467</v>
      </c>
      <c r="G751" t="s">
        <v>523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1" t="str">
        <f>"item_"&amp;CONTROL[[#This Row],[VEHIDCODE]]</f>
        <v>item_mu_Coach_Gen3_TEE_Intercity_Coach</v>
      </c>
      <c r="O751" s="21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  <c r="R751" t="str" cm="1">
        <f t="array" ref="R751">_xlfn.XLOOKUP(CONTROL[[#This Row],[VEHIDCODE]],GRAPHICS_PROPERTIES[VEHIDCODE],GRAPHICS_PROPERTIES[TEMPLATE_ID]&amp;GRAPHICS_PROPERTIES[TEMPLATE_AMENDMENT_CODE])</f>
        <v>TPL_04A</v>
      </c>
    </row>
    <row r="752" spans="1:18" x14ac:dyDescent="0.35">
      <c r="A752" s="2" t="s">
        <v>116</v>
      </c>
      <c r="B752" s="21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2" t="s">
        <v>468</v>
      </c>
      <c r="G752" t="s">
        <v>523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1" t="str">
        <f>"item_"&amp;CONTROL[[#This Row],[VEHIDCODE]]</f>
        <v>item_mu_Coach_Gen3_UIC_X_Regional_Coach</v>
      </c>
      <c r="O752" s="21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  <c r="R752" t="str" cm="1">
        <f t="array" ref="R752">_xlfn.XLOOKUP(CONTROL[[#This Row],[VEHIDCODE]],GRAPHICS_PROPERTIES[VEHIDCODE],GRAPHICS_PROPERTIES[TEMPLATE_ID]&amp;GRAPHICS_PROPERTIES[TEMPLATE_AMENDMENT_CODE])</f>
        <v>TPL_04A</v>
      </c>
    </row>
    <row r="753" spans="1:18" x14ac:dyDescent="0.35">
      <c r="A753" s="2" t="s">
        <v>117</v>
      </c>
      <c r="B753" s="21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2" t="s">
        <v>469</v>
      </c>
      <c r="G753" t="s">
        <v>523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1" t="str">
        <f>"item_"&amp;CONTROL[[#This Row],[VEHIDCODE]]</f>
        <v>item_mu_Coach_Gen3_Umbauwagen_Local_Coach</v>
      </c>
      <c r="O753" s="21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  <c r="R753" t="str" cm="1">
        <f t="array" ref="R753">_xlfn.XLOOKUP(CONTROL[[#This Row],[VEHIDCODE]],GRAPHICS_PROPERTIES[VEHIDCODE],GRAPHICS_PROPERTIES[TEMPLATE_ID]&amp;GRAPHICS_PROPERTIES[TEMPLATE_AMENDMENT_CODE])</f>
        <v>TPL_04A</v>
      </c>
    </row>
    <row r="754" spans="1:18" x14ac:dyDescent="0.35">
      <c r="A754" s="2" t="s">
        <v>3601</v>
      </c>
      <c r="B754" s="21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2" t="s">
        <v>3602</v>
      </c>
      <c r="G754" t="s">
        <v>523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1" t="str">
        <f>"item_"&amp;CONTROL[[#This Row],[VEHIDCODE]]</f>
        <v>item_mu_Coach_Gen4_Doppelstockwagen_Local_Coach</v>
      </c>
      <c r="O754" s="21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  <c r="R754" t="str" cm="1">
        <f t="array" ref="R754">_xlfn.XLOOKUP(CONTROL[[#This Row],[VEHIDCODE]],GRAPHICS_PROPERTIES[VEHIDCODE],GRAPHICS_PROPERTIES[TEMPLATE_ID]&amp;GRAPHICS_PROPERTIES[TEMPLATE_AMENDMENT_CODE])</f>
        <v>TPL_04A</v>
      </c>
    </row>
    <row r="755" spans="1:18" x14ac:dyDescent="0.35">
      <c r="A755" s="2" t="s">
        <v>118</v>
      </c>
      <c r="B755" s="21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2" t="s">
        <v>470</v>
      </c>
      <c r="G755" t="s">
        <v>523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1" t="str">
        <f>"item_"&amp;CONTROL[[#This Row],[VEHIDCODE]]</f>
        <v>item_mu_Coach_Gen3_UIC_X_Mail_Coach</v>
      </c>
      <c r="O755" s="21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  <c r="R755" t="str" cm="1">
        <f t="array" ref="R755">_xlfn.XLOOKUP(CONTROL[[#This Row],[VEHIDCODE]],GRAPHICS_PROPERTIES[VEHIDCODE],GRAPHICS_PROPERTIES[TEMPLATE_ID]&amp;GRAPHICS_PROPERTIES[TEMPLATE_AMENDMENT_CODE])</f>
        <v>TPL_04A</v>
      </c>
    </row>
    <row r="756" spans="1:18" x14ac:dyDescent="0.35">
      <c r="A756" s="2" t="s">
        <v>119</v>
      </c>
      <c r="B756" s="21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2" t="s">
        <v>471</v>
      </c>
      <c r="G756" t="s">
        <v>523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1" t="str">
        <f>"item_"&amp;CONTROL[[#This Row],[VEHIDCODE]]</f>
        <v>item_mu_Coach_Gen3_Indian_Intercity_Coach</v>
      </c>
      <c r="O756" s="21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  <c r="R756" t="str" cm="1">
        <f t="array" ref="R756">_xlfn.XLOOKUP(CONTROL[[#This Row],[VEHIDCODE]],GRAPHICS_PROPERTIES[VEHIDCODE],GRAPHICS_PROPERTIES[TEMPLATE_ID]&amp;GRAPHICS_PROPERTIES[TEMPLATE_AMENDMENT_CODE])</f>
        <v>TPL_04A</v>
      </c>
    </row>
    <row r="757" spans="1:18" x14ac:dyDescent="0.35">
      <c r="A757" s="2" t="s">
        <v>120</v>
      </c>
      <c r="B757" s="21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2" t="s">
        <v>472</v>
      </c>
      <c r="G757" t="s">
        <v>523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1" t="str">
        <f>"item_"&amp;CONTROL[[#This Row],[VEHIDCODE]]</f>
        <v>item_mu_Coach_Gen3_Indian_Local_Coach</v>
      </c>
      <c r="O757" s="21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  <c r="R757" t="str" cm="1">
        <f t="array" ref="R757">_xlfn.XLOOKUP(CONTROL[[#This Row],[VEHIDCODE]],GRAPHICS_PROPERTIES[VEHIDCODE],GRAPHICS_PROPERTIES[TEMPLATE_ID]&amp;GRAPHICS_PROPERTIES[TEMPLATE_AMENDMENT_CODE])</f>
        <v>TPL_04B</v>
      </c>
    </row>
    <row r="758" spans="1:18" x14ac:dyDescent="0.35">
      <c r="A758" s="2" t="s">
        <v>121</v>
      </c>
      <c r="B758" s="21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2" t="s">
        <v>473</v>
      </c>
      <c r="G758" t="s">
        <v>523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1" t="str">
        <f>"item_"&amp;CONTROL[[#This Row],[VEHIDCODE]]</f>
        <v>item_mu_Coach_Gen3_Indian_Regional_Coach</v>
      </c>
      <c r="O758" s="21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  <c r="R758" t="str" cm="1">
        <f t="array" ref="R758">_xlfn.XLOOKUP(CONTROL[[#This Row],[VEHIDCODE]],GRAPHICS_PROPERTIES[VEHIDCODE],GRAPHICS_PROPERTIES[TEMPLATE_ID]&amp;GRAPHICS_PROPERTIES[TEMPLATE_AMENDMENT_CODE])</f>
        <v>TPL_04B</v>
      </c>
    </row>
    <row r="759" spans="1:18" x14ac:dyDescent="0.35">
      <c r="A759" s="2" t="s">
        <v>122</v>
      </c>
      <c r="B759" s="21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2" t="s">
        <v>474</v>
      </c>
      <c r="G759" t="s">
        <v>523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1" t="str">
        <f>"item_"&amp;CONTROL[[#This Row],[VEHIDCODE]]</f>
        <v>item_mu_Coach_Gen3_Indian_Mail_Coach</v>
      </c>
      <c r="O759" s="21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  <c r="R759" t="str" cm="1">
        <f t="array" ref="R759">_xlfn.XLOOKUP(CONTROL[[#This Row],[VEHIDCODE]],GRAPHICS_PROPERTIES[VEHIDCODE],GRAPHICS_PROPERTIES[TEMPLATE_ID]&amp;GRAPHICS_PROPERTIES[TEMPLATE_AMENDMENT_CODE])</f>
        <v>TPL_04A</v>
      </c>
    </row>
    <row r="760" spans="1:18" x14ac:dyDescent="0.35">
      <c r="A760" s="2" t="s">
        <v>123</v>
      </c>
      <c r="B760" s="21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2" t="s">
        <v>475</v>
      </c>
      <c r="G760" t="s">
        <v>523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1" t="str">
        <f>"item_"&amp;CONTROL[[#This Row],[VEHIDCODE]]</f>
        <v>item_mu_Coach_Gen4_Eurofima_Intercity_Coach</v>
      </c>
      <c r="O760" s="21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  <c r="R760" t="str" cm="1">
        <f t="array" ref="R760">_xlfn.XLOOKUP(CONTROL[[#This Row],[VEHIDCODE]],GRAPHICS_PROPERTIES[VEHIDCODE],GRAPHICS_PROPERTIES[TEMPLATE_ID]&amp;GRAPHICS_PROPERTIES[TEMPLATE_AMENDMENT_CODE])</f>
        <v>TPL_04A</v>
      </c>
    </row>
    <row r="761" spans="1:18" x14ac:dyDescent="0.35">
      <c r="A761" s="2" t="s">
        <v>124</v>
      </c>
      <c r="B761" s="21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2" t="s">
        <v>476</v>
      </c>
      <c r="G761" t="s">
        <v>523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1" t="str">
        <f>"item_"&amp;CONTROL[[#This Row],[VEHIDCODE]]</f>
        <v>item_mu_Coach_Gen4_InterRegio_Coach</v>
      </c>
      <c r="O761" s="21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  <c r="R761" t="str" cm="1">
        <f t="array" ref="R761">_xlfn.XLOOKUP(CONTROL[[#This Row],[VEHIDCODE]],GRAPHICS_PROPERTIES[VEHIDCODE],GRAPHICS_PROPERTIES[TEMPLATE_ID]&amp;GRAPHICS_PROPERTIES[TEMPLATE_AMENDMENT_CODE])</f>
        <v>TPL_04A</v>
      </c>
    </row>
    <row r="762" spans="1:18" x14ac:dyDescent="0.35">
      <c r="A762" s="2" t="s">
        <v>125</v>
      </c>
      <c r="B762" s="21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2" t="s">
        <v>477</v>
      </c>
      <c r="G762" t="s">
        <v>523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1" t="str">
        <f>"item_"&amp;CONTROL[[#This Row],[VEHIDCODE]]</f>
        <v>item_mu_Coach_Gen4_Silberling_Commuter_Coach</v>
      </c>
      <c r="O762" s="21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  <c r="R762" t="str" cm="1">
        <f t="array" ref="R762">_xlfn.XLOOKUP(CONTROL[[#This Row],[VEHIDCODE]],GRAPHICS_PROPERTIES[VEHIDCODE],GRAPHICS_PROPERTIES[TEMPLATE_ID]&amp;GRAPHICS_PROPERTIES[TEMPLATE_AMENDMENT_CODE])</f>
        <v>TPL_04A</v>
      </c>
    </row>
    <row r="763" spans="1:18" x14ac:dyDescent="0.35">
      <c r="A763" s="2" t="s">
        <v>126</v>
      </c>
      <c r="B763" s="21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2" t="s">
        <v>478</v>
      </c>
      <c r="G763" t="s">
        <v>523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1" t="str">
        <f>"item_"&amp;CONTROL[[#This Row],[VEHIDCODE]]</f>
        <v>item_mu_Coach_Gen4_Eurofima_Mail_Coach</v>
      </c>
      <c r="O763" s="21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  <c r="R763" t="str" cm="1">
        <f t="array" ref="R763">_xlfn.XLOOKUP(CONTROL[[#This Row],[VEHIDCODE]],GRAPHICS_PROPERTIES[VEHIDCODE],GRAPHICS_PROPERTIES[TEMPLATE_ID]&amp;GRAPHICS_PROPERTIES[TEMPLATE_AMENDMENT_CODE])</f>
        <v>TPL_04A</v>
      </c>
    </row>
    <row r="764" spans="1:18" x14ac:dyDescent="0.35">
      <c r="A764" s="2" t="s">
        <v>127</v>
      </c>
      <c r="B764" s="21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2" t="s">
        <v>479</v>
      </c>
      <c r="G764" t="s">
        <v>523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1" t="str">
        <f>"item_"&amp;CONTROL[[#This Row],[VEHIDCODE]]</f>
        <v>item_mu_Coach_Gen4_Double_Decker_Coach</v>
      </c>
      <c r="O764" s="21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  <c r="R764" t="str" cm="1">
        <f t="array" ref="R764">_xlfn.XLOOKUP(CONTROL[[#This Row],[VEHIDCODE]],GRAPHICS_PROPERTIES[VEHIDCODE],GRAPHICS_PROPERTIES[TEMPLATE_ID]&amp;GRAPHICS_PROPERTIES[TEMPLATE_AMENDMENT_CODE])</f>
        <v>TPL_04A</v>
      </c>
    </row>
    <row r="765" spans="1:18" x14ac:dyDescent="0.35">
      <c r="A765" s="2" t="s">
        <v>128</v>
      </c>
      <c r="B765" s="21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2" t="s">
        <v>1930</v>
      </c>
      <c r="G765" t="s">
        <v>523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1" t="str">
        <f>"item_"&amp;CONTROL[[#This Row],[VEHIDCODE]]</f>
        <v>item_mu_Coach_Gen4_Russian_Intercity_Coach</v>
      </c>
      <c r="O765" s="21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  <c r="R765" t="str" cm="1">
        <f t="array" ref="R765">_xlfn.XLOOKUP(CONTROL[[#This Row],[VEHIDCODE]],GRAPHICS_PROPERTIES[VEHIDCODE],GRAPHICS_PROPERTIES[TEMPLATE_ID]&amp;GRAPHICS_PROPERTIES[TEMPLATE_AMENDMENT_CODE])</f>
        <v>TPL_04A</v>
      </c>
    </row>
    <row r="766" spans="1:18" x14ac:dyDescent="0.35">
      <c r="A766" s="2" t="s">
        <v>129</v>
      </c>
      <c r="B766" s="21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2" t="s">
        <v>480</v>
      </c>
      <c r="G766" t="s">
        <v>523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1" t="str">
        <f>"item_"&amp;CONTROL[[#This Row],[VEHIDCODE]]</f>
        <v>item_mu_Coach_Gen4_Russian_Regional_Coach</v>
      </c>
      <c r="O766" s="21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  <c r="R766" t="str" cm="1">
        <f t="array" ref="R766">_xlfn.XLOOKUP(CONTROL[[#This Row],[VEHIDCODE]],GRAPHICS_PROPERTIES[VEHIDCODE],GRAPHICS_PROPERTIES[TEMPLATE_ID]&amp;GRAPHICS_PROPERTIES[TEMPLATE_AMENDMENT_CODE])</f>
        <v>TPL_04A</v>
      </c>
    </row>
    <row r="767" spans="1:18" x14ac:dyDescent="0.35">
      <c r="A767" s="2" t="s">
        <v>130</v>
      </c>
      <c r="B767" s="21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2" t="s">
        <v>481</v>
      </c>
      <c r="G767" t="s">
        <v>523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1" t="str">
        <f>"item_"&amp;CONTROL[[#This Row],[VEHIDCODE]]</f>
        <v>item_mu_Coach_Gen4_Russian_Mail_Coach</v>
      </c>
      <c r="O767" s="21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  <c r="R767" t="str" cm="1">
        <f t="array" ref="R767">_xlfn.XLOOKUP(CONTROL[[#This Row],[VEHIDCODE]],GRAPHICS_PROPERTIES[VEHIDCODE],GRAPHICS_PROPERTIES[TEMPLATE_ID]&amp;GRAPHICS_PROPERTIES[TEMPLATE_AMENDMENT_CODE])</f>
        <v>TPL_04A</v>
      </c>
    </row>
    <row r="768" spans="1:18" x14ac:dyDescent="0.35">
      <c r="A768" s="2" t="s">
        <v>131</v>
      </c>
      <c r="B768" s="21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2" t="s">
        <v>482</v>
      </c>
      <c r="G768" t="s">
        <v>523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1" t="str">
        <f>"item_"&amp;CONTROL[[#This Row],[VEHIDCODE]]</f>
        <v>item_mu_Coach_Gen4_Superliner_Coach</v>
      </c>
      <c r="O768" s="21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  <c r="R768" t="str" cm="1">
        <f t="array" ref="R768">_xlfn.XLOOKUP(CONTROL[[#This Row],[VEHIDCODE]],GRAPHICS_PROPERTIES[VEHIDCODE],GRAPHICS_PROPERTIES[TEMPLATE_ID]&amp;GRAPHICS_PROPERTIES[TEMPLATE_AMENDMENT_CODE])</f>
        <v>TPL_04A</v>
      </c>
    </row>
    <row r="769" spans="1:18" x14ac:dyDescent="0.35">
      <c r="A769" s="2" t="s">
        <v>132</v>
      </c>
      <c r="B769" s="21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2" t="s">
        <v>483</v>
      </c>
      <c r="G769" t="s">
        <v>523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1" t="str">
        <f>"item_"&amp;CONTROL[[#This Row],[VEHIDCODE]]</f>
        <v>item_mu_Coach_Gen4_Superliner_California</v>
      </c>
      <c r="O769" s="21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  <c r="R769" t="str" cm="1">
        <f t="array" ref="R769">_xlfn.XLOOKUP(CONTROL[[#This Row],[VEHIDCODE]],GRAPHICS_PROPERTIES[VEHIDCODE],GRAPHICS_PROPERTIES[TEMPLATE_ID]&amp;GRAPHICS_PROPERTIES[TEMPLATE_AMENDMENT_CODE])</f>
        <v>TPL_04A</v>
      </c>
    </row>
    <row r="770" spans="1:18" x14ac:dyDescent="0.35">
      <c r="A770" s="2" t="s">
        <v>133</v>
      </c>
      <c r="B770" s="21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2" t="s">
        <v>484</v>
      </c>
      <c r="G770" t="s">
        <v>523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1" t="str">
        <f>"item_"&amp;CONTROL[[#This Row],[VEHIDCODE]]</f>
        <v>item_mu_Coach_Gen4_Amfleet_Regional_Coach</v>
      </c>
      <c r="O770" s="21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  <c r="R770" t="str" cm="1">
        <f t="array" ref="R770">_xlfn.XLOOKUP(CONTROL[[#This Row],[VEHIDCODE]],GRAPHICS_PROPERTIES[VEHIDCODE],GRAPHICS_PROPERTIES[TEMPLATE_ID]&amp;GRAPHICS_PROPERTIES[TEMPLATE_AMENDMENT_CODE])</f>
        <v>TPL_04A</v>
      </c>
    </row>
    <row r="771" spans="1:18" x14ac:dyDescent="0.35">
      <c r="A771" s="2" t="s">
        <v>134</v>
      </c>
      <c r="B771" s="21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2" t="s">
        <v>485</v>
      </c>
      <c r="G771" t="s">
        <v>523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1" t="str">
        <f>"item_"&amp;CONTROL[[#This Row],[VEHIDCODE]]</f>
        <v>item_mu_Coach_Gen4_Amfleet_Intercity_Coach</v>
      </c>
      <c r="O771" s="21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  <c r="R771" t="str" cm="1">
        <f t="array" ref="R771">_xlfn.XLOOKUP(CONTROL[[#This Row],[VEHIDCODE]],GRAPHICS_PROPERTIES[VEHIDCODE],GRAPHICS_PROPERTIES[TEMPLATE_ID]&amp;GRAPHICS_PROPERTIES[TEMPLATE_AMENDMENT_CODE])</f>
        <v>TPL_04A</v>
      </c>
    </row>
    <row r="772" spans="1:18" x14ac:dyDescent="0.35">
      <c r="A772" s="2" t="s">
        <v>135</v>
      </c>
      <c r="B772" s="21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2" t="s">
        <v>486</v>
      </c>
      <c r="G772" t="s">
        <v>523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1" t="str">
        <f>"item_"&amp;CONTROL[[#This Row],[VEHIDCODE]]</f>
        <v>item_mu_Coach_Gen4_Comet_Commuter_Coach</v>
      </c>
      <c r="O772" s="21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  <c r="R772" t="str" cm="1">
        <f t="array" ref="R772">_xlfn.XLOOKUP(CONTROL[[#This Row],[VEHIDCODE]],GRAPHICS_PROPERTIES[VEHIDCODE],GRAPHICS_PROPERTIES[TEMPLATE_ID]&amp;GRAPHICS_PROPERTIES[TEMPLATE_AMENDMENT_CODE])</f>
        <v>TPL_04A</v>
      </c>
    </row>
    <row r="773" spans="1:18" x14ac:dyDescent="0.35">
      <c r="A773" s="2" t="s">
        <v>136</v>
      </c>
      <c r="B773" s="21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2" t="s">
        <v>487</v>
      </c>
      <c r="G773" t="s">
        <v>523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1" t="str">
        <f>"item_"&amp;CONTROL[[#This Row],[VEHIDCODE]]</f>
        <v>item_mu_Coach_Gen4_Horizon_Regional_Coach</v>
      </c>
      <c r="O773" s="21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  <c r="R773" t="str" cm="1">
        <f t="array" ref="R773">_xlfn.XLOOKUP(CONTROL[[#This Row],[VEHIDCODE]],GRAPHICS_PROPERTIES[VEHIDCODE],GRAPHICS_PROPERTIES[TEMPLATE_ID]&amp;GRAPHICS_PROPERTIES[TEMPLATE_AMENDMENT_CODE])</f>
        <v>TPL_04A</v>
      </c>
    </row>
    <row r="774" spans="1:18" x14ac:dyDescent="0.35">
      <c r="A774" s="2" t="s">
        <v>137</v>
      </c>
      <c r="B774" s="21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2" t="s">
        <v>488</v>
      </c>
      <c r="G774" t="s">
        <v>523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1" t="str">
        <f>"item_"&amp;CONTROL[[#This Row],[VEHIDCODE]]</f>
        <v>item_mu_Coach_Gen4_Horizon_Baggage_Coach</v>
      </c>
      <c r="O774" s="21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  <c r="R774" t="str" cm="1">
        <f t="array" ref="R774">_xlfn.XLOOKUP(CONTROL[[#This Row],[VEHIDCODE]],GRAPHICS_PROPERTIES[VEHIDCODE],GRAPHICS_PROPERTIES[TEMPLATE_ID]&amp;GRAPHICS_PROPERTIES[TEMPLATE_AMENDMENT_CODE])</f>
        <v>TPL_04A</v>
      </c>
    </row>
    <row r="775" spans="1:18" x14ac:dyDescent="0.35">
      <c r="A775" s="2" t="s">
        <v>138</v>
      </c>
      <c r="B775" s="21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2" t="s">
        <v>489</v>
      </c>
      <c r="G775" t="s">
        <v>523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1" t="str">
        <f>"item_"&amp;CONTROL[[#This Row],[VEHIDCODE]]</f>
        <v>item_mu_Coach_Gen4_Bombardier_Bi_level</v>
      </c>
      <c r="O775" s="21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  <c r="R775" t="str" cm="1">
        <f t="array" ref="R775">_xlfn.XLOOKUP(CONTROL[[#This Row],[VEHIDCODE]],GRAPHICS_PROPERTIES[VEHIDCODE],GRAPHICS_PROPERTIES[TEMPLATE_ID]&amp;GRAPHICS_PROPERTIES[TEMPLATE_AMENDMENT_CODE])</f>
        <v>TPL_04A</v>
      </c>
    </row>
    <row r="776" spans="1:18" x14ac:dyDescent="0.35">
      <c r="A776" s="2" t="s">
        <v>139</v>
      </c>
      <c r="B776" s="21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2" t="s">
        <v>490</v>
      </c>
      <c r="G776" t="s">
        <v>523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1" t="str">
        <f>"item_"&amp;CONTROL[[#This Row],[VEHIDCODE]]</f>
        <v>item_mu_Coach_Gen5_High_Speed_Coach</v>
      </c>
      <c r="O776" s="21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  <c r="R776" t="str" cm="1">
        <f t="array" ref="R776">_xlfn.XLOOKUP(CONTROL[[#This Row],[VEHIDCODE]],GRAPHICS_PROPERTIES[VEHIDCODE],GRAPHICS_PROPERTIES[TEMPLATE_ID]&amp;GRAPHICS_PROPERTIES[TEMPLATE_AMENDMENT_CODE])</f>
        <v>TPL_04A</v>
      </c>
    </row>
    <row r="777" spans="1:18" x14ac:dyDescent="0.35">
      <c r="A777" s="2" t="s">
        <v>140</v>
      </c>
      <c r="B777" s="21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2" t="s">
        <v>491</v>
      </c>
      <c r="G777" t="s">
        <v>523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1" t="str">
        <f>"item_"&amp;CONTROL[[#This Row],[VEHIDCODE]]</f>
        <v>item_mu_Coach_Gen5_Modern_Regional_Coach</v>
      </c>
      <c r="O777" s="21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  <c r="R777" t="str" cm="1">
        <f t="array" ref="R777">_xlfn.XLOOKUP(CONTROL[[#This Row],[VEHIDCODE]],GRAPHICS_PROPERTIES[VEHIDCODE],GRAPHICS_PROPERTIES[TEMPLATE_ID]&amp;GRAPHICS_PROPERTIES[TEMPLATE_AMENDMENT_CODE])</f>
        <v>TPL_04A</v>
      </c>
    </row>
    <row r="778" spans="1:18" x14ac:dyDescent="0.35">
      <c r="A778" s="2" t="s">
        <v>141</v>
      </c>
      <c r="B778" s="21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2" t="s">
        <v>492</v>
      </c>
      <c r="G778" t="s">
        <v>523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1" t="str">
        <f>"item_"&amp;CONTROL[[#This Row],[VEHIDCODE]]</f>
        <v>item_mu_Coach_Gen5_Modern_Commuter_Coach</v>
      </c>
      <c r="O778" s="21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  <c r="R778" t="str" cm="1">
        <f t="array" ref="R778">_xlfn.XLOOKUP(CONTROL[[#This Row],[VEHIDCODE]],GRAPHICS_PROPERTIES[VEHIDCODE],GRAPHICS_PROPERTIES[TEMPLATE_ID]&amp;GRAPHICS_PROPERTIES[TEMPLATE_AMENDMENT_CODE])</f>
        <v>TPL_04A</v>
      </c>
    </row>
    <row r="779" spans="1:18" x14ac:dyDescent="0.35">
      <c r="A779" s="2" t="s">
        <v>142</v>
      </c>
      <c r="B779" s="21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2" t="s">
        <v>493</v>
      </c>
      <c r="G779" t="s">
        <v>523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1" t="str">
        <f>"item_"&amp;CONTROL[[#This Row],[VEHIDCODE]]</f>
        <v>item_mu_Coach_Gen5_Modern_Double_Decker_Coach</v>
      </c>
      <c r="O779" s="21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  <c r="R779" t="str" cm="1">
        <f t="array" ref="R779">_xlfn.XLOOKUP(CONTROL[[#This Row],[VEHIDCODE]],GRAPHICS_PROPERTIES[VEHIDCODE],GRAPHICS_PROPERTIES[TEMPLATE_ID]&amp;GRAPHICS_PROPERTIES[TEMPLATE_AMENDMENT_CODE])</f>
        <v>TPL_04A</v>
      </c>
    </row>
    <row r="780" spans="1:18" x14ac:dyDescent="0.35">
      <c r="A780" s="2" t="s">
        <v>143</v>
      </c>
      <c r="B780" s="21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2" t="s">
        <v>494</v>
      </c>
      <c r="G780" t="s">
        <v>523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1" t="str">
        <f>"item_"&amp;CONTROL[[#This Row],[VEHIDCODE]]</f>
        <v>item_mu_Coach_Gen5_High_Speed_Double_Decker_IC2000</v>
      </c>
      <c r="O780" s="21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  <c r="R780" t="str" cm="1">
        <f t="array" ref="R780">_xlfn.XLOOKUP(CONTROL[[#This Row],[VEHIDCODE]],GRAPHICS_PROPERTIES[VEHIDCODE],GRAPHICS_PROPERTIES[TEMPLATE_ID]&amp;GRAPHICS_PROPERTIES[TEMPLATE_AMENDMENT_CODE])</f>
        <v>TPL_04A</v>
      </c>
    </row>
    <row r="781" spans="1:18" x14ac:dyDescent="0.35">
      <c r="A781" s="2" t="s">
        <v>144</v>
      </c>
      <c r="B781" s="21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2" t="s">
        <v>495</v>
      </c>
      <c r="G781" t="s">
        <v>523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1" t="str">
        <f>"item_"&amp;CONTROL[[#This Row],[VEHIDCODE]]</f>
        <v>item_mu_Coach_Gen5_High_Speed_Mail_Coach</v>
      </c>
      <c r="O781" s="21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  <c r="R781" t="str" cm="1">
        <f t="array" ref="R781">_xlfn.XLOOKUP(CONTROL[[#This Row],[VEHIDCODE]],GRAPHICS_PROPERTIES[VEHIDCODE],GRAPHICS_PROPERTIES[TEMPLATE_ID]&amp;GRAPHICS_PROPERTIES[TEMPLATE_AMENDMENT_CODE])</f>
        <v>TPL_04A</v>
      </c>
    </row>
    <row r="782" spans="1:18" x14ac:dyDescent="0.35">
      <c r="A782" s="2" t="s">
        <v>145</v>
      </c>
      <c r="B782" s="21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2" t="s">
        <v>496</v>
      </c>
      <c r="G782" t="s">
        <v>523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1" t="str">
        <f>"item_"&amp;CONTROL[[#This Row],[VEHIDCODE]]</f>
        <v>item_mu_Coach_Gen5_Talgo_Pendular</v>
      </c>
      <c r="O782" s="21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  <c r="R782" t="str" cm="1">
        <f t="array" ref="R782">_xlfn.XLOOKUP(CONTROL[[#This Row],[VEHIDCODE]],GRAPHICS_PROPERTIES[VEHIDCODE],GRAPHICS_PROPERTIES[TEMPLATE_ID]&amp;GRAPHICS_PROPERTIES[TEMPLATE_AMENDMENT_CODE])</f>
        <v>TPL_04S</v>
      </c>
    </row>
    <row r="783" spans="1:18" x14ac:dyDescent="0.35">
      <c r="A783" s="2" t="s">
        <v>146</v>
      </c>
      <c r="B783" s="21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2" t="s">
        <v>497</v>
      </c>
      <c r="G783" t="s">
        <v>523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1" t="str">
        <f>"item_"&amp;CONTROL[[#This Row],[VEHIDCODE]]</f>
        <v>item_mu_Coach_Gen5_Talgo_Pendular_Mail</v>
      </c>
      <c r="O783" s="21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  <c r="R783" t="str" cm="1">
        <f t="array" ref="R783">_xlfn.XLOOKUP(CONTROL[[#This Row],[VEHIDCODE]],GRAPHICS_PROPERTIES[VEHIDCODE],GRAPHICS_PROPERTIES[TEMPLATE_ID]&amp;GRAPHICS_PROPERTIES[TEMPLATE_AMENDMENT_CODE])</f>
        <v>TPL_04S</v>
      </c>
    </row>
    <row r="784" spans="1:18" x14ac:dyDescent="0.35">
      <c r="A784" s="2" t="s">
        <v>147</v>
      </c>
      <c r="B784" s="21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2" t="s">
        <v>498</v>
      </c>
      <c r="G784" t="s">
        <v>523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1" t="str">
        <f>"item_"&amp;CONTROL[[#This Row],[VEHIDCODE]]</f>
        <v>item_mu_Coach_Gen6_Grand_Voyager_Coach</v>
      </c>
      <c r="O784" s="21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  <c r="R784" t="str" cm="1">
        <f t="array" ref="R784">_xlfn.XLOOKUP(CONTROL[[#This Row],[VEHIDCODE]],GRAPHICS_PROPERTIES[VEHIDCODE],GRAPHICS_PROPERTIES[TEMPLATE_ID]&amp;GRAPHICS_PROPERTIES[TEMPLATE_AMENDMENT_CODE])</f>
        <v>TPL_04A</v>
      </c>
    </row>
    <row r="785" spans="1:18" x14ac:dyDescent="0.35">
      <c r="A785" s="2" t="s">
        <v>148</v>
      </c>
      <c r="B785" s="21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2" t="s">
        <v>499</v>
      </c>
      <c r="G785" t="s">
        <v>523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1" t="str">
        <f>"item_"&amp;CONTROL[[#This Row],[VEHIDCODE]]</f>
        <v>item_mu_Coach_Gen6_Grand_Regio_Coach</v>
      </c>
      <c r="O785" s="21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  <c r="R785" t="str" cm="1">
        <f t="array" ref="R785">_xlfn.XLOOKUP(CONTROL[[#This Row],[VEHIDCODE]],GRAPHICS_PROPERTIES[VEHIDCODE],GRAPHICS_PROPERTIES[TEMPLATE_ID]&amp;GRAPHICS_PROPERTIES[TEMPLATE_AMENDMENT_CODE])</f>
        <v>TPL_04A</v>
      </c>
    </row>
    <row r="786" spans="1:18" x14ac:dyDescent="0.35">
      <c r="A786" s="2" t="s">
        <v>149</v>
      </c>
      <c r="B786" s="21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2" t="s">
        <v>500</v>
      </c>
      <c r="G786" t="s">
        <v>523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1" t="str">
        <f>"item_"&amp;CONTROL[[#This Row],[VEHIDCODE]]</f>
        <v>item_mu_Coach_Gen6_Metropolis_Coach</v>
      </c>
      <c r="O786" s="21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  <c r="R786" t="str" cm="1">
        <f t="array" ref="R786">_xlfn.XLOOKUP(CONTROL[[#This Row],[VEHIDCODE]],GRAPHICS_PROPERTIES[VEHIDCODE],GRAPHICS_PROPERTIES[TEMPLATE_ID]&amp;GRAPHICS_PROPERTIES[TEMPLATE_AMENDMENT_CODE])</f>
        <v>TPL_04A</v>
      </c>
    </row>
    <row r="787" spans="1:18" x14ac:dyDescent="0.35">
      <c r="A787" s="2" t="s">
        <v>150</v>
      </c>
      <c r="B787" s="21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2" t="s">
        <v>501</v>
      </c>
      <c r="G787" t="s">
        <v>523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1" t="str">
        <f>"item_"&amp;CONTROL[[#This Row],[VEHIDCODE]]</f>
        <v>item_mu_Coach_Gen6_Speedmail_Coach</v>
      </c>
      <c r="O787" s="21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  <c r="R787" t="str" cm="1">
        <f t="array" ref="R787">_xlfn.XLOOKUP(CONTROL[[#This Row],[VEHIDCODE]],GRAPHICS_PROPERTIES[VEHIDCODE],GRAPHICS_PROPERTIES[TEMPLATE_ID]&amp;GRAPHICS_PROPERTIES[TEMPLATE_AMENDMENT_CODE])</f>
        <v>TPL_04A</v>
      </c>
    </row>
    <row r="788" spans="1:18" x14ac:dyDescent="0.35">
      <c r="A788" s="2" t="s">
        <v>151</v>
      </c>
      <c r="B788" s="21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2" t="s">
        <v>502</v>
      </c>
      <c r="G788" t="s">
        <v>523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1" t="str">
        <f>"item_"&amp;CONTROL[[#This Row],[VEHIDCODE]]</f>
        <v>item_mu_Coach_Gen6_Super_Regio_Coach</v>
      </c>
      <c r="O788" s="21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  <c r="R788" t="str" cm="1">
        <f t="array" ref="R788">_xlfn.XLOOKUP(CONTROL[[#This Row],[VEHIDCODE]],GRAPHICS_PROPERTIES[VEHIDCODE],GRAPHICS_PROPERTIES[TEMPLATE_ID]&amp;GRAPHICS_PROPERTIES[TEMPLATE_AMENDMENT_CODE])</f>
        <v>TPL_04A</v>
      </c>
    </row>
    <row r="789" spans="1:18" x14ac:dyDescent="0.35">
      <c r="A789" s="2" t="s">
        <v>152</v>
      </c>
      <c r="B789" s="21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2" t="s">
        <v>503</v>
      </c>
      <c r="G789" t="s">
        <v>523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1" t="str">
        <f>"item_"&amp;CONTROL[[#This Row],[VEHIDCODE]]</f>
        <v>item_mu_Coach_Gen6_Super_Voyager_Coach</v>
      </c>
      <c r="O789" s="21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  <c r="R789" t="str" cm="1">
        <f t="array" ref="R789">_xlfn.XLOOKUP(CONTROL[[#This Row],[VEHIDCODE]],GRAPHICS_PROPERTIES[VEHIDCODE],GRAPHICS_PROPERTIES[TEMPLATE_ID]&amp;GRAPHICS_PROPERTIES[TEMPLATE_AMENDMENT_CODE])</f>
        <v>TPL_04A</v>
      </c>
    </row>
    <row r="790" spans="1:18" x14ac:dyDescent="0.35">
      <c r="A790" t="s">
        <v>3266</v>
      </c>
      <c r="B790" s="21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5134</v>
      </c>
      <c r="F790" s="32" t="s">
        <v>2558</v>
      </c>
      <c r="G790" t="s">
        <v>523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1" t="str">
        <f>"item_"&amp;CONTROL[[#This Row],[VEHIDCODE]]</f>
        <v>item_diesel_Alsthom_AD30B</v>
      </c>
      <c r="O790" s="21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  <c r="R790" t="str" cm="1">
        <f t="array" ref="R790">_xlfn.XLOOKUP(CONTROL[[#This Row],[VEHIDCODE]],GRAPHICS_PROPERTIES[VEHIDCODE],GRAPHICS_PROPERTIES[TEMPLATE_ID]&amp;GRAPHICS_PROPERTIES[TEMPLATE_AMENDMENT_CODE])</f>
        <v>TPL_01A</v>
      </c>
    </row>
    <row r="791" spans="1:18" x14ac:dyDescent="0.35">
      <c r="A791" t="s">
        <v>3267</v>
      </c>
      <c r="B791" s="21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4117</v>
      </c>
      <c r="F791" s="32" t="s">
        <v>2434</v>
      </c>
      <c r="G791" t="s">
        <v>1167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1" t="str">
        <f>"item_"&amp;CONTROL[[#This Row],[VEHIDCODE]]</f>
        <v>item_steam_Porter_2_8_2_Class_200_Katanga_Mikado</v>
      </c>
      <c r="O791" s="21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  <c r="R791" t="str" cm="1">
        <f t="array" ref="R791">_xlfn.XLOOKUP(CONTROL[[#This Row],[VEHIDCODE]],GRAPHICS_PROPERTIES[VEHIDCODE],GRAPHICS_PROPERTIES[TEMPLATE_ID]&amp;GRAPHICS_PROPERTIES[TEMPLATE_AMENDMENT_CODE])</f>
        <v>TPL_03A</v>
      </c>
    </row>
    <row r="792" spans="1:18" x14ac:dyDescent="0.35">
      <c r="A792" s="2" t="s">
        <v>3268</v>
      </c>
      <c r="B792" s="21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14500</v>
      </c>
      <c r="F792" s="32" t="s">
        <v>2435</v>
      </c>
      <c r="G792" t="s">
        <v>1598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1" t="str">
        <f>"item_"&amp;CONTROL[[#This Row],[VEHIDCODE]]</f>
        <v>item_cargoemu_Kawasaki_Nippon_Sharyo_Toshiba_M250</v>
      </c>
      <c r="O792" s="21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  <c r="R792" t="str" cm="1">
        <f t="array" ref="R792">_xlfn.XLOOKUP(CONTROL[[#This Row],[VEHIDCODE]],GRAPHICS_PROPERTIES[VEHIDCODE],GRAPHICS_PROPERTIES[TEMPLATE_ID]&amp;GRAPHICS_PROPERTIES[TEMPLATE_AMENDMENT_CODE])</f>
        <v>TPL_42B</v>
      </c>
    </row>
    <row r="793" spans="1:18" x14ac:dyDescent="0.35">
      <c r="A793" t="s">
        <v>3269</v>
      </c>
      <c r="B793" s="21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1008</v>
      </c>
      <c r="F793" s="32" t="s">
        <v>2436</v>
      </c>
      <c r="G793" t="s">
        <v>1651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1" t="str">
        <f>"item_"&amp;CONTROL[[#This Row],[VEHIDCODE]]</f>
        <v>item_rbs_Esslingen_MAN_Hohenzollern_Thomas</v>
      </c>
      <c r="O793" s="21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  <c r="R793" t="str" cm="1">
        <f t="array" ref="R793">_xlfn.XLOOKUP(CONTROL[[#This Row],[VEHIDCODE]],GRAPHICS_PROPERTIES[VEHIDCODE],GRAPHICS_PROPERTIES[TEMPLATE_ID]&amp;GRAPHICS_PROPERTIES[TEMPLATE_AMENDMENT_CODE])</f>
        <v>TPL_03C</v>
      </c>
    </row>
    <row r="794" spans="1:18" x14ac:dyDescent="0.35">
      <c r="A794" s="2" t="s">
        <v>3270</v>
      </c>
      <c r="B794" s="21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1009</v>
      </c>
      <c r="F794" s="32" t="s">
        <v>2437</v>
      </c>
      <c r="G794" t="s">
        <v>1040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1" t="str">
        <f>"item_"&amp;CONTROL[[#This Row],[VEHIDCODE]]</f>
        <v>item_rbs_Komarek_NOLB_30_33</v>
      </c>
      <c r="O794" s="21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  <c r="R794" t="str" cm="1">
        <f t="array" ref="R794">_xlfn.XLOOKUP(CONTROL[[#This Row],[VEHIDCODE]],GRAPHICS_PROPERTIES[VEHIDCODE],GRAPHICS_PROPERTIES[TEMPLATE_ID]&amp;GRAPHICS_PROPERTIES[TEMPLATE_AMENDMENT_CODE])</f>
        <v>TPL_01B</v>
      </c>
    </row>
    <row r="795" spans="1:18" x14ac:dyDescent="0.35">
      <c r="A795" t="s">
        <v>3271</v>
      </c>
      <c r="B795" s="21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4118</v>
      </c>
      <c r="F795" s="32" t="s">
        <v>2438</v>
      </c>
      <c r="G795" t="s">
        <v>1652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1" t="str">
        <f>"item_"&amp;CONTROL[[#This Row],[VEHIDCODE]]</f>
        <v>item_steam_Henschel_4_4_2_19906</v>
      </c>
      <c r="O795" s="21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  <c r="R795" t="str" cm="1">
        <f t="array" ref="R795">_xlfn.XLOOKUP(CONTROL[[#This Row],[VEHIDCODE]],GRAPHICS_PROPERTIES[VEHIDCODE],GRAPHICS_PROPERTIES[TEMPLATE_ID]&amp;GRAPHICS_PROPERTIES[TEMPLATE_AMENDMENT_CODE])</f>
        <v>TPL_03A</v>
      </c>
    </row>
    <row r="796" spans="1:18" x14ac:dyDescent="0.35">
      <c r="A796" t="s">
        <v>3446</v>
      </c>
      <c r="B796" s="21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4119</v>
      </c>
      <c r="F796" s="32" t="s">
        <v>3447</v>
      </c>
      <c r="G796" t="s">
        <v>1653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1" t="str">
        <f>"item_"&amp;CONTROL[[#This Row],[VEHIDCODE]]</f>
        <v>item_steam_Haine_Saint_Pierre_2_6_0_0_6_2T_Golwe</v>
      </c>
      <c r="O796" s="21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  <c r="R796" t="str" cm="1">
        <f t="array" ref="R796">_xlfn.XLOOKUP(CONTROL[[#This Row],[VEHIDCODE]],GRAPHICS_PROPERTIES[VEHIDCODE],GRAPHICS_PROPERTIES[TEMPLATE_ID]&amp;GRAPHICS_PROPERTIES[TEMPLATE_AMENDMENT_CODE])</f>
        <v>TPL_03A</v>
      </c>
    </row>
    <row r="797" spans="1:18" x14ac:dyDescent="0.35">
      <c r="A797" t="s">
        <v>3272</v>
      </c>
      <c r="B797" s="21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5135</v>
      </c>
      <c r="F797" s="32" t="s">
        <v>2439</v>
      </c>
      <c r="G797" t="s">
        <v>1660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1" t="str">
        <f>"item_"&amp;CONTROL[[#This Row],[VEHIDCODE]]</f>
        <v>item_diesel_Henschel_EMD_TT12</v>
      </c>
      <c r="O797" s="21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  <c r="R797" t="str" cm="1">
        <f t="array" ref="R797">_xlfn.XLOOKUP(CONTROL[[#This Row],[VEHIDCODE]],GRAPHICS_PROPERTIES[VEHIDCODE],GRAPHICS_PROPERTIES[TEMPLATE_ID]&amp;GRAPHICS_PROPERTIES[TEMPLATE_AMENDMENT_CODE])</f>
        <v>TPL_16A</v>
      </c>
    </row>
    <row r="798" spans="1:18" x14ac:dyDescent="0.35">
      <c r="A798" t="s">
        <v>3273</v>
      </c>
      <c r="B798" s="21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5136</v>
      </c>
      <c r="F798" s="32" t="s">
        <v>2440</v>
      </c>
      <c r="G798" t="s">
        <v>1662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1" t="str">
        <f>"item_"&amp;CONTROL[[#This Row],[VEHIDCODE]]</f>
        <v>item_diesel_Henschel_GE_G16</v>
      </c>
      <c r="O798" s="21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  <c r="R798" t="str" cm="1">
        <f t="array" ref="R798">_xlfn.XLOOKUP(CONTROL[[#This Row],[VEHIDCODE]],GRAPHICS_PROPERTIES[VEHIDCODE],GRAPHICS_PROPERTIES[TEMPLATE_ID]&amp;GRAPHICS_PROPERTIES[TEMPLATE_AMENDMENT_CODE])</f>
        <v>TPL_16A</v>
      </c>
    </row>
    <row r="799" spans="1:18" x14ac:dyDescent="0.35">
      <c r="A799" t="s">
        <v>3274</v>
      </c>
      <c r="B799" s="21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6136</v>
      </c>
      <c r="F799" s="32" t="s">
        <v>2441</v>
      </c>
      <c r="G799" t="s">
        <v>1663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1" t="str">
        <f>"item_"&amp;CONTROL[[#This Row],[VEHIDCODE]]</f>
        <v>item_electric_ACEC_BN_Type_2450</v>
      </c>
      <c r="O799" s="21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  <c r="R799" t="str" cm="1">
        <f t="array" ref="R799">_xlfn.XLOOKUP(CONTROL[[#This Row],[VEHIDCODE]],GRAPHICS_PROPERTIES[VEHIDCODE],GRAPHICS_PROPERTIES[TEMPLATE_ID]&amp;GRAPHICS_PROPERTIES[TEMPLATE_AMENDMENT_CODE])</f>
        <v>TPL_01A</v>
      </c>
    </row>
    <row r="800" spans="1:18" x14ac:dyDescent="0.35">
      <c r="A800" t="s">
        <v>3275</v>
      </c>
      <c r="B800" s="21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5137</v>
      </c>
      <c r="F800" s="32" t="s">
        <v>2559</v>
      </c>
      <c r="G800" t="s">
        <v>1664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1" t="str">
        <f>"item_"&amp;CONTROL[[#This Row],[VEHIDCODE]]</f>
        <v>item_diesel_Alsthom_BB_BB_300</v>
      </c>
      <c r="O800" s="21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  <c r="R800" t="str" cm="1">
        <f t="array" ref="R800">_xlfn.XLOOKUP(CONTROL[[#This Row],[VEHIDCODE]],GRAPHICS_PROPERTIES[VEHIDCODE],GRAPHICS_PROPERTIES[TEMPLATE_ID]&amp;GRAPHICS_PROPERTIES[TEMPLATE_AMENDMENT_CODE])</f>
        <v>TPL_01A</v>
      </c>
    </row>
    <row r="801" spans="1:18" x14ac:dyDescent="0.35">
      <c r="A801" t="s">
        <v>3276</v>
      </c>
      <c r="B801" s="21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5138</v>
      </c>
      <c r="F801" s="32" t="s">
        <v>3508</v>
      </c>
      <c r="G801" t="s">
        <v>523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1" t="str">
        <f>"item_"&amp;CONTROL[[#This Row],[VEHIDCODE]]</f>
        <v>item_diesel_Sorefame_DE8</v>
      </c>
      <c r="O801" s="21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  <c r="R801" t="str" cm="1">
        <f t="array" ref="R801">_xlfn.XLOOKUP(CONTROL[[#This Row],[VEHIDCODE]],GRAPHICS_PROPERTIES[VEHIDCODE],GRAPHICS_PROPERTIES[TEMPLATE_ID]&amp;GRAPHICS_PROPERTIES[TEMPLATE_AMENDMENT_CODE])</f>
        <v>TPL_01A</v>
      </c>
    </row>
    <row r="802" spans="1:18" x14ac:dyDescent="0.35">
      <c r="A802" t="s">
        <v>3277</v>
      </c>
      <c r="B802" s="21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5139</v>
      </c>
      <c r="F802" s="32" t="s">
        <v>1975</v>
      </c>
      <c r="G802" t="s">
        <v>1665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1" t="str">
        <f>"item_"&amp;CONTROL[[#This Row],[VEHIDCODE]]</f>
        <v>item_diesel_GMD_GT22LC_2</v>
      </c>
      <c r="O802" s="21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  <c r="R802" t="str" cm="1">
        <f t="array" ref="R802">_xlfn.XLOOKUP(CONTROL[[#This Row],[VEHIDCODE]],GRAPHICS_PROPERTIES[VEHIDCODE],GRAPHICS_PROPERTIES[TEMPLATE_ID]&amp;GRAPHICS_PROPERTIES[TEMPLATE_AMENDMENT_CODE])</f>
        <v>TPL_01A</v>
      </c>
    </row>
    <row r="803" spans="1:18" x14ac:dyDescent="0.35">
      <c r="A803" t="s">
        <v>3278</v>
      </c>
      <c r="B803" s="21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6137</v>
      </c>
      <c r="F803" s="32" t="s">
        <v>1725</v>
      </c>
      <c r="G803" t="s">
        <v>1666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1" t="str">
        <f>"item_"&amp;CONTROL[[#This Row],[VEHIDCODE]]</f>
        <v>item_electric_TRC_E6800</v>
      </c>
      <c r="O803" s="21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  <c r="R803" t="str" cm="1">
        <f t="array" ref="R803">_xlfn.XLOOKUP(CONTROL[[#This Row],[VEHIDCODE]],GRAPHICS_PROPERTIES[VEHIDCODE],GRAPHICS_PROPERTIES[TEMPLATE_ID]&amp;GRAPHICS_PROPERTIES[TEMPLATE_AMENDMENT_CODE])</f>
        <v>TPL_01A</v>
      </c>
    </row>
    <row r="804" spans="1:18" x14ac:dyDescent="0.35">
      <c r="A804" s="2" t="s">
        <v>3279</v>
      </c>
      <c r="B804" s="30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9056</v>
      </c>
      <c r="F804" s="32" t="s">
        <v>1668</v>
      </c>
      <c r="G804" t="s">
        <v>1643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1" t="str">
        <f>"item_"&amp;CONTROL[[#This Row],[VEHIDCODE]]</f>
        <v>item_mtro_Brooklyn_Union_Gate_Elevated</v>
      </c>
      <c r="O804" s="21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  <c r="R804" t="str" cm="1">
        <f t="array" ref="R804">_xlfn.XLOOKUP(CONTROL[[#This Row],[VEHIDCODE]],GRAPHICS_PROPERTIES[VEHIDCODE],GRAPHICS_PROPERTIES[TEMPLATE_ID]&amp;GRAPHICS_PROPERTIES[TEMPLATE_AMENDMENT_CODE])</f>
        <v>TPL_02C</v>
      </c>
    </row>
    <row r="805" spans="1:18" x14ac:dyDescent="0.35">
      <c r="A805" s="2" t="s">
        <v>1729</v>
      </c>
      <c r="B805" s="21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11071</v>
      </c>
      <c r="F805" s="33" t="s">
        <v>1727</v>
      </c>
      <c r="G805" t="s">
        <v>523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1" t="str">
        <f>"item_"&amp;CONTROL[[#This Row],[VEHIDCODE]]</f>
        <v>item_mu_Coach_Gen5_CityNightLine_Sleeper</v>
      </c>
      <c r="O805" s="21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  <c r="R805" t="str" cm="1">
        <f t="array" ref="R805">_xlfn.XLOOKUP(CONTROL[[#This Row],[VEHIDCODE]],GRAPHICS_PROPERTIES[VEHIDCODE],GRAPHICS_PROPERTIES[TEMPLATE_ID]&amp;GRAPHICS_PROPERTIES[TEMPLATE_AMENDMENT_CODE])</f>
        <v>TPL_04A</v>
      </c>
    </row>
    <row r="806" spans="1:18" x14ac:dyDescent="0.35">
      <c r="A806" t="s">
        <v>1730</v>
      </c>
      <c r="B806" s="21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11072</v>
      </c>
      <c r="F806" s="33" t="s">
        <v>1728</v>
      </c>
      <c r="G806" t="s">
        <v>523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1" t="str">
        <f>"item_"&amp;CONTROL[[#This Row],[VEHIDCODE]]</f>
        <v>item_mu_Coach_Gen4_Trans_Euro_Night_Sleeper</v>
      </c>
      <c r="O806" s="21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  <c r="R806" t="str" cm="1">
        <f t="array" ref="R806">_xlfn.XLOOKUP(CONTROL[[#This Row],[VEHIDCODE]],GRAPHICS_PROPERTIES[VEHIDCODE],GRAPHICS_PROPERTIES[TEMPLATE_ID]&amp;GRAPHICS_PROPERTIES[TEMPLATE_AMENDMENT_CODE])</f>
        <v>TPL_04A</v>
      </c>
    </row>
    <row r="807" spans="1:18" x14ac:dyDescent="0.35">
      <c r="A807" s="2" t="s">
        <v>1715</v>
      </c>
      <c r="B807" s="21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12064</v>
      </c>
      <c r="F807" s="32" t="s">
        <v>1716</v>
      </c>
      <c r="G807" t="s">
        <v>523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1" t="str">
        <f>"item_"&amp;CONTROL[[#This Row],[VEHIDCODE]]</f>
        <v>item_mu_Wagon_Gen1_Livestock_Van</v>
      </c>
      <c r="O807" s="21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  <c r="R807" t="str" cm="1">
        <f t="array" ref="R807">_xlfn.XLOOKUP(CONTROL[[#This Row],[VEHIDCODE]],GRAPHICS_PROPERTIES[VEHIDCODE],GRAPHICS_PROPERTIES[TEMPLATE_ID]&amp;GRAPHICS_PROPERTIES[TEMPLATE_AMENDMENT_CODE])</f>
        <v>TPL_04B</v>
      </c>
    </row>
    <row r="808" spans="1:18" x14ac:dyDescent="0.35">
      <c r="A808" s="2" t="s">
        <v>1710</v>
      </c>
      <c r="B808" s="21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12065</v>
      </c>
      <c r="F808" s="32" t="s">
        <v>1717</v>
      </c>
      <c r="G808" t="s">
        <v>523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1" t="str">
        <f>"item_"&amp;CONTROL[[#This Row],[VEHIDCODE]]</f>
        <v>item_mu_Wagon_Gen2_Livestock_Van</v>
      </c>
      <c r="O808" s="21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  <c r="R808" t="str" cm="1">
        <f t="array" ref="R808">_xlfn.XLOOKUP(CONTROL[[#This Row],[VEHIDCODE]],GRAPHICS_PROPERTIES[VEHIDCODE],GRAPHICS_PROPERTIES[TEMPLATE_ID]&amp;GRAPHICS_PROPERTIES[TEMPLATE_AMENDMENT_CODE])</f>
        <v>TPL_04B</v>
      </c>
    </row>
    <row r="809" spans="1:18" x14ac:dyDescent="0.35">
      <c r="A809" s="2" t="s">
        <v>1711</v>
      </c>
      <c r="B809" s="21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12066</v>
      </c>
      <c r="F809" s="32" t="s">
        <v>1718</v>
      </c>
      <c r="G809" t="s">
        <v>523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1" t="str">
        <f>"item_"&amp;CONTROL[[#This Row],[VEHIDCODE]]</f>
        <v>item_mu_Wagon_Gen3_Livestock_Van</v>
      </c>
      <c r="O809" s="21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  <c r="R809" t="str" cm="1">
        <f t="array" ref="R809">_xlfn.XLOOKUP(CONTROL[[#This Row],[VEHIDCODE]],GRAPHICS_PROPERTIES[VEHIDCODE],GRAPHICS_PROPERTIES[TEMPLATE_ID]&amp;GRAPHICS_PROPERTIES[TEMPLATE_AMENDMENT_CODE])</f>
        <v>TPL_04B</v>
      </c>
    </row>
    <row r="810" spans="1:18" x14ac:dyDescent="0.35">
      <c r="A810" s="2" t="s">
        <v>1712</v>
      </c>
      <c r="B810" s="21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12067</v>
      </c>
      <c r="F810" s="32" t="s">
        <v>1719</v>
      </c>
      <c r="G810" t="s">
        <v>523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1" t="str">
        <f>"item_"&amp;CONTROL[[#This Row],[VEHIDCODE]]</f>
        <v>item_mu_Wagon_Gen4_Livestock_Van</v>
      </c>
      <c r="O810" s="21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  <c r="R810" t="str" cm="1">
        <f t="array" ref="R810">_xlfn.XLOOKUP(CONTROL[[#This Row],[VEHIDCODE]],GRAPHICS_PROPERTIES[VEHIDCODE],GRAPHICS_PROPERTIES[TEMPLATE_ID]&amp;GRAPHICS_PROPERTIES[TEMPLATE_AMENDMENT_CODE])</f>
        <v>TPL_04B</v>
      </c>
    </row>
    <row r="811" spans="1:18" x14ac:dyDescent="0.35">
      <c r="A811" s="2" t="s">
        <v>1713</v>
      </c>
      <c r="B811" s="21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12068</v>
      </c>
      <c r="F811" s="32" t="s">
        <v>1720</v>
      </c>
      <c r="G811" t="s">
        <v>523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1" t="str">
        <f>"item_"&amp;CONTROL[[#This Row],[VEHIDCODE]]</f>
        <v>item_mu_Wagon_Gen5_Livestock_Van</v>
      </c>
      <c r="O811" s="21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  <c r="R811" t="str" cm="1">
        <f t="array" ref="R811">_xlfn.XLOOKUP(CONTROL[[#This Row],[VEHIDCODE]],GRAPHICS_PROPERTIES[VEHIDCODE],GRAPHICS_PROPERTIES[TEMPLATE_ID]&amp;GRAPHICS_PROPERTIES[TEMPLATE_AMENDMENT_CODE])</f>
        <v>TPL_04B</v>
      </c>
    </row>
    <row r="812" spans="1:18" x14ac:dyDescent="0.35">
      <c r="A812" s="2" t="s">
        <v>1714</v>
      </c>
      <c r="B812" s="21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12069</v>
      </c>
      <c r="F812" s="32" t="s">
        <v>1721</v>
      </c>
      <c r="G812" t="s">
        <v>523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1" t="str">
        <f>"item_"&amp;CONTROL[[#This Row],[VEHIDCODE]]</f>
        <v>item_mu_Wagon_Gen6_Livestock_Van</v>
      </c>
      <c r="O812" s="21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  <c r="R812" t="str" cm="1">
        <f t="array" ref="R812">_xlfn.XLOOKUP(CONTROL[[#This Row],[VEHIDCODE]],GRAPHICS_PROPERTIES[VEHIDCODE],GRAPHICS_PROPERTIES[TEMPLATE_ID]&amp;GRAPHICS_PROPERTIES[TEMPLATE_AMENDMENT_CODE])</f>
        <v>TPL_04B</v>
      </c>
    </row>
    <row r="813" spans="1:18" x14ac:dyDescent="0.35">
      <c r="A813" s="2" t="s">
        <v>1733</v>
      </c>
      <c r="B813" s="21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10515</v>
      </c>
      <c r="F813" s="32" t="s">
        <v>1722</v>
      </c>
      <c r="G813" t="s">
        <v>523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1" t="str">
        <f>"item_"&amp;CONTROL[[#This Row],[VEHIDCODE]]</f>
        <v>item_mglv_Wagon_Gen7M_Livestock_Van</v>
      </c>
      <c r="O813" s="21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  <c r="R813" t="str" cm="1">
        <f t="array" ref="R813">_xlfn.XLOOKUP(CONTROL[[#This Row],[VEHIDCODE]],GRAPHICS_PROPERTIES[VEHIDCODE],GRAPHICS_PROPERTIES[TEMPLATE_ID]&amp;GRAPHICS_PROPERTIES[TEMPLATE_AMENDMENT_CODE])</f>
        <v>TPL_04B</v>
      </c>
    </row>
    <row r="814" spans="1:18" x14ac:dyDescent="0.35">
      <c r="A814" t="s">
        <v>3280</v>
      </c>
      <c r="B814" s="21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6138</v>
      </c>
      <c r="F814" s="32" t="s">
        <v>2618</v>
      </c>
      <c r="G814" t="s">
        <v>1724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1" t="str">
        <f>"item_"&amp;CONTROL[[#This Row],[VEHIDCODE]]</f>
        <v>item_electric_Ganz_MAVAG_VM15_V63</v>
      </c>
      <c r="O814" s="21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  <c r="R814" t="str" cm="1">
        <f t="array" ref="R814">_xlfn.XLOOKUP(CONTROL[[#This Row],[VEHIDCODE]],GRAPHICS_PROPERTIES[VEHIDCODE],GRAPHICS_PROPERTIES[TEMPLATE_ID]&amp;GRAPHICS_PROPERTIES[TEMPLATE_AMENDMENT_CODE])</f>
        <v>TPL_16A</v>
      </c>
    </row>
    <row r="815" spans="1:18" x14ac:dyDescent="0.35">
      <c r="A815" t="s">
        <v>3281</v>
      </c>
      <c r="B815" s="21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9057</v>
      </c>
      <c r="F815" s="32" t="s">
        <v>2442</v>
      </c>
      <c r="G815" t="s">
        <v>1731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1" t="str">
        <f>"item_"&amp;CONTROL[[#This Row],[VEHIDCODE]]</f>
        <v>item_mtro_BREL_ABB_London_1992_Stock</v>
      </c>
      <c r="O815" s="21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  <c r="R815" t="str" cm="1">
        <f t="array" ref="R815">_xlfn.XLOOKUP(CONTROL[[#This Row],[VEHIDCODE]],GRAPHICS_PROPERTIES[VEHIDCODE],GRAPHICS_PROPERTIES[TEMPLATE_ID]&amp;GRAPHICS_PROPERTIES[TEMPLATE_AMENDMENT_CODE])</f>
        <v>TPL_02C</v>
      </c>
    </row>
    <row r="816" spans="1:18" x14ac:dyDescent="0.35">
      <c r="A816" s="2" t="s">
        <v>3282</v>
      </c>
      <c r="B816" s="21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9058</v>
      </c>
      <c r="F816" s="32" t="s">
        <v>2443</v>
      </c>
      <c r="G816" t="s">
        <v>1732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1" t="str">
        <f>"item_"&amp;CONTROL[[#This Row],[VEHIDCODE]]</f>
        <v>item_mtro_Bombardier_Movia_London_S_Stock</v>
      </c>
      <c r="O816" s="21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  <c r="R816" t="str" cm="1">
        <f t="array" ref="R816">_xlfn.XLOOKUP(CONTROL[[#This Row],[VEHIDCODE]],GRAPHICS_PROPERTIES[VEHIDCODE],GRAPHICS_PROPERTIES[TEMPLATE_ID]&amp;GRAPHICS_PROPERTIES[TEMPLATE_AMENDMENT_CODE])</f>
        <v>TPL_02C</v>
      </c>
    </row>
    <row r="817" spans="1:18" x14ac:dyDescent="0.35">
      <c r="A817" s="2" t="s">
        <v>3283</v>
      </c>
      <c r="B817" s="21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9059</v>
      </c>
      <c r="F817" s="32" t="s">
        <v>2444</v>
      </c>
      <c r="G817" t="s">
        <v>1734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1" t="str">
        <f>"item_"&amp;CONTROL[[#This Row],[VEHIDCODE]]</f>
        <v>item_mtro_Metro_Cammell_London_1972_Stock</v>
      </c>
      <c r="O817" s="21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  <c r="R817" t="str" cm="1">
        <f t="array" ref="R817">_xlfn.XLOOKUP(CONTROL[[#This Row],[VEHIDCODE]],GRAPHICS_PROPERTIES[VEHIDCODE],GRAPHICS_PROPERTIES[TEMPLATE_ID]&amp;GRAPHICS_PROPERTIES[TEMPLATE_AMENDMENT_CODE])</f>
        <v>TPL_02C</v>
      </c>
    </row>
    <row r="818" spans="1:18" x14ac:dyDescent="0.35">
      <c r="A818" s="2" t="s">
        <v>3284</v>
      </c>
      <c r="B818" s="21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9060</v>
      </c>
      <c r="F818" s="32" t="s">
        <v>2445</v>
      </c>
      <c r="G818" t="s">
        <v>1735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1" t="str">
        <f>"item_"&amp;CONTROL[[#This Row],[VEHIDCODE]]</f>
        <v>item_mtro_Metro_Cammell_London_1959_Stock</v>
      </c>
      <c r="O818" s="21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  <c r="R818" t="str" cm="1">
        <f t="array" ref="R818">_xlfn.XLOOKUP(CONTROL[[#This Row],[VEHIDCODE]],GRAPHICS_PROPERTIES[VEHIDCODE],GRAPHICS_PROPERTIES[TEMPLATE_ID]&amp;GRAPHICS_PROPERTIES[TEMPLATE_AMENDMENT_CODE])</f>
        <v>TPL_02C</v>
      </c>
    </row>
    <row r="819" spans="1:18" x14ac:dyDescent="0.35">
      <c r="A819" s="2" t="s">
        <v>3285</v>
      </c>
      <c r="B819" s="21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9061</v>
      </c>
      <c r="F819" s="32" t="s">
        <v>2446</v>
      </c>
      <c r="G819" t="s">
        <v>1740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1" t="str">
        <f>"item_"&amp;CONTROL[[#This Row],[VEHIDCODE]]</f>
        <v>item_mtro_Kawasaki_HI_C151</v>
      </c>
      <c r="O819" s="21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  <c r="R819" t="str" cm="1">
        <f t="array" ref="R819">_xlfn.XLOOKUP(CONTROL[[#This Row],[VEHIDCODE]],GRAPHICS_PROPERTIES[VEHIDCODE],GRAPHICS_PROPERTIES[TEMPLATE_ID]&amp;GRAPHICS_PROPERTIES[TEMPLATE_AMENDMENT_CODE])</f>
        <v>TPL_02C</v>
      </c>
    </row>
    <row r="820" spans="1:18" x14ac:dyDescent="0.35">
      <c r="A820" t="s">
        <v>3286</v>
      </c>
      <c r="B820" s="21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9062</v>
      </c>
      <c r="F820" s="32" t="s">
        <v>2447</v>
      </c>
      <c r="G820" t="s">
        <v>1741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1" t="str">
        <f>"item_"&amp;CONTROL[[#This Row],[VEHIDCODE]]</f>
        <v>item_mtro_Kawasaki_HI___Nippon_Sharyo_C751B</v>
      </c>
      <c r="O820" s="21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  <c r="R820" t="str" cm="1">
        <f t="array" ref="R820">_xlfn.XLOOKUP(CONTROL[[#This Row],[VEHIDCODE]],GRAPHICS_PROPERTIES[VEHIDCODE],GRAPHICS_PROPERTIES[TEMPLATE_ID]&amp;GRAPHICS_PROPERTIES[TEMPLATE_AMENDMENT_CODE])</f>
        <v>TPL_02C</v>
      </c>
    </row>
    <row r="821" spans="1:18" x14ac:dyDescent="0.35">
      <c r="A821" t="s">
        <v>3287</v>
      </c>
      <c r="B821" s="21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9063</v>
      </c>
      <c r="F821" s="32" t="s">
        <v>1742</v>
      </c>
      <c r="G821" t="s">
        <v>523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1" t="str">
        <f>"item_"&amp;CONTROL[[#This Row],[VEHIDCODE]]</f>
        <v>item_mtro_Comeng_Light_Metro_Prototype</v>
      </c>
      <c r="O821" s="21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  <c r="R821" t="str" cm="1">
        <f t="array" ref="R821">_xlfn.XLOOKUP(CONTROL[[#This Row],[VEHIDCODE]],GRAPHICS_PROPERTIES[VEHIDCODE],GRAPHICS_PROPERTIES[TEMPLATE_ID]&amp;GRAPHICS_PROPERTIES[TEMPLATE_AMENDMENT_CODE])</f>
        <v>TPL_02C</v>
      </c>
    </row>
    <row r="822" spans="1:18" x14ac:dyDescent="0.35">
      <c r="A822" t="s">
        <v>3288</v>
      </c>
      <c r="B822" s="21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8073</v>
      </c>
      <c r="F822" s="32" t="s">
        <v>1744</v>
      </c>
      <c r="G822" t="s">
        <v>1743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1" t="str">
        <f>"item_"&amp;CONTROL[[#This Row],[VEHIDCODE]]</f>
        <v>item_emu_Comeng_EMU</v>
      </c>
      <c r="O822" s="21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  <c r="R822" t="str" cm="1">
        <f t="array" ref="R822">_xlfn.XLOOKUP(CONTROL[[#This Row],[VEHIDCODE]],GRAPHICS_PROPERTIES[VEHIDCODE],GRAPHICS_PROPERTIES[TEMPLATE_ID]&amp;GRAPHICS_PROPERTIES[TEMPLATE_AMENDMENT_CODE])</f>
        <v>TPL_02A</v>
      </c>
    </row>
    <row r="823" spans="1:18" x14ac:dyDescent="0.35">
      <c r="A823" t="s">
        <v>3289</v>
      </c>
      <c r="B823" s="21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8074</v>
      </c>
      <c r="F823" s="32" t="s">
        <v>2448</v>
      </c>
      <c r="G823" t="s">
        <v>1745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1" t="str">
        <f>"item_"&amp;CONTROL[[#This Row],[VEHIDCODE]]</f>
        <v>item_emu_Evolution_Rail_HCMT_Munnel</v>
      </c>
      <c r="O823" s="21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  <c r="R823" t="str" cm="1">
        <f t="array" ref="R823">_xlfn.XLOOKUP(CONTROL[[#This Row],[VEHIDCODE]],GRAPHICS_PROPERTIES[VEHIDCODE],GRAPHICS_PROPERTIES[TEMPLATE_ID]&amp;GRAPHICS_PROPERTIES[TEMPLATE_AMENDMENT_CODE])</f>
        <v>TPL_02A</v>
      </c>
    </row>
    <row r="824" spans="1:18" x14ac:dyDescent="0.35">
      <c r="A824" t="s">
        <v>3290</v>
      </c>
      <c r="B824" s="21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5140</v>
      </c>
      <c r="F824" s="32" t="s">
        <v>2449</v>
      </c>
      <c r="G824" t="s">
        <v>1746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1" t="str">
        <f>"item_"&amp;CONTROL[[#This Row],[VEHIDCODE]]</f>
        <v>item_diesel_LTZ_DR_130</v>
      </c>
      <c r="O824" s="21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  <c r="R824" t="str" cm="1">
        <f t="array" ref="R824">_xlfn.XLOOKUP(CONTROL[[#This Row],[VEHIDCODE]],GRAPHICS_PROPERTIES[VEHIDCODE],GRAPHICS_PROPERTIES[TEMPLATE_ID]&amp;GRAPHICS_PROPERTIES[TEMPLATE_AMENDMENT_CODE])</f>
        <v>TPL_01A</v>
      </c>
    </row>
    <row r="825" spans="1:18" x14ac:dyDescent="0.35">
      <c r="A825" t="s">
        <v>3291</v>
      </c>
      <c r="B825" s="21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5141</v>
      </c>
      <c r="F825" s="32" t="s">
        <v>1976</v>
      </c>
      <c r="G825" t="s">
        <v>1747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1" t="str">
        <f>"item_"&amp;CONTROL[[#This Row],[VEHIDCODE]]</f>
        <v>item_diesel_GE_AC6044CW</v>
      </c>
      <c r="O825" s="21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  <c r="R825" t="str" cm="1">
        <f t="array" ref="R825">_xlfn.XLOOKUP(CONTROL[[#This Row],[VEHIDCODE]],GRAPHICS_PROPERTIES[VEHIDCODE],GRAPHICS_PROPERTIES[TEMPLATE_ID]&amp;GRAPHICS_PROPERTIES[TEMPLATE_AMENDMENT_CODE])</f>
        <v>TPL_16A</v>
      </c>
    </row>
    <row r="826" spans="1:18" x14ac:dyDescent="0.35">
      <c r="A826" t="s">
        <v>3609</v>
      </c>
      <c r="B826" s="21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5142</v>
      </c>
      <c r="F826" s="32" t="s">
        <v>3522</v>
      </c>
      <c r="G826" t="s">
        <v>1747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1" t="str">
        <f>"item_"&amp;CONTROL[[#This Row],[VEHIDCODE]]</f>
        <v>item_diesel_GE_AC6000CW</v>
      </c>
      <c r="O826" s="21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  <c r="R826" t="str" cm="1">
        <f t="array" ref="R826">_xlfn.XLOOKUP(CONTROL[[#This Row],[VEHIDCODE]],GRAPHICS_PROPERTIES[VEHIDCODE],GRAPHICS_PROPERTIES[TEMPLATE_ID]&amp;GRAPHICS_PROPERTIES[TEMPLATE_AMENDMENT_CODE])</f>
        <v>TPL_16A</v>
      </c>
    </row>
    <row r="827" spans="1:18" x14ac:dyDescent="0.35">
      <c r="A827" t="s">
        <v>3292</v>
      </c>
      <c r="B827" s="21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4120</v>
      </c>
      <c r="F827" s="32" t="s">
        <v>2451</v>
      </c>
      <c r="G827" t="s">
        <v>2450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1" t="str">
        <f>"item_"&amp;CONTROL[[#This Row],[VEHIDCODE]]</f>
        <v>item_steam_Robert_Stephenson_and_Co_2_2_2_192</v>
      </c>
      <c r="O827" s="21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  <c r="R827" t="str" cm="1">
        <f t="array" ref="R827">_xlfn.XLOOKUP(CONTROL[[#This Row],[VEHIDCODE]],GRAPHICS_PROPERTIES[VEHIDCODE],GRAPHICS_PROPERTIES[TEMPLATE_ID]&amp;GRAPHICS_PROPERTIES[TEMPLATE_AMENDMENT_CODE])</f>
        <v>TPL_03A</v>
      </c>
    </row>
    <row r="828" spans="1:18" x14ac:dyDescent="0.35">
      <c r="A828" t="s">
        <v>3293</v>
      </c>
      <c r="B828" s="21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8075</v>
      </c>
      <c r="F828" s="32" t="s">
        <v>2452</v>
      </c>
      <c r="G828" t="s">
        <v>1748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1" t="str">
        <f>"item_"&amp;CONTROL[[#This Row],[VEHIDCODE]]</f>
        <v>item_emu_Comeng_MK_Hitachi_Trains</v>
      </c>
      <c r="O828" s="21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  <c r="R828" t="str" cm="1">
        <f t="array" ref="R828">_xlfn.XLOOKUP(CONTROL[[#This Row],[VEHIDCODE]],GRAPHICS_PROPERTIES[VEHIDCODE],GRAPHICS_PROPERTIES[TEMPLATE_ID]&amp;GRAPHICS_PROPERTIES[TEMPLATE_AMENDMENT_CODE])</f>
        <v>TPL_02A</v>
      </c>
    </row>
    <row r="829" spans="1:18" x14ac:dyDescent="0.35">
      <c r="A829" t="s">
        <v>3294</v>
      </c>
      <c r="B829" s="21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8076</v>
      </c>
      <c r="F829" s="32" t="s">
        <v>2453</v>
      </c>
      <c r="G829" t="s">
        <v>1749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1" t="str">
        <f>"item_"&amp;CONTROL[[#This Row],[VEHIDCODE]]</f>
        <v>item_emu_GRC_W_Harris_Trains</v>
      </c>
      <c r="O829" s="21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  <c r="R829" t="str" cm="1">
        <f t="array" ref="R829">_xlfn.XLOOKUP(CONTROL[[#This Row],[VEHIDCODE]],GRAPHICS_PROPERTIES[VEHIDCODE],GRAPHICS_PROPERTIES[TEMPLATE_ID]&amp;GRAPHICS_PROPERTIES[TEMPLATE_AMENDMENT_CODE])</f>
        <v>TPL_02A</v>
      </c>
    </row>
    <row r="830" spans="1:18" x14ac:dyDescent="0.35">
      <c r="A830" t="s">
        <v>3295</v>
      </c>
      <c r="B830" s="21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8077</v>
      </c>
      <c r="F830" s="32" t="s">
        <v>2454</v>
      </c>
      <c r="G830" t="s">
        <v>1750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1" t="str">
        <f>"item_"&amp;CONTROL[[#This Row],[VEHIDCODE]]</f>
        <v>item_emu_Siemens_Nexas</v>
      </c>
      <c r="O830" s="21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  <c r="R830" t="str" cm="1">
        <f t="array" ref="R830">_xlfn.XLOOKUP(CONTROL[[#This Row],[VEHIDCODE]],GRAPHICS_PROPERTIES[VEHIDCODE],GRAPHICS_PROPERTIES[TEMPLATE_ID]&amp;GRAPHICS_PROPERTIES[TEMPLATE_AMENDMENT_CODE])</f>
        <v>TPL_02A</v>
      </c>
    </row>
    <row r="831" spans="1:18" x14ac:dyDescent="0.35">
      <c r="A831" t="s">
        <v>3296</v>
      </c>
      <c r="B831" s="21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8078</v>
      </c>
      <c r="F831" s="32" t="s">
        <v>2455</v>
      </c>
      <c r="G831" t="s">
        <v>1751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1" t="str">
        <f>"item_"&amp;CONTROL[[#This Row],[VEHIDCODE]]</f>
        <v>item_emu_Victorian_Railways_Tait_Trains</v>
      </c>
      <c r="O831" s="21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  <c r="R831" t="str" cm="1">
        <f t="array" ref="R831">_xlfn.XLOOKUP(CONTROL[[#This Row],[VEHIDCODE]],GRAPHICS_PROPERTIES[VEHIDCODE],GRAPHICS_PROPERTIES[TEMPLATE_ID]&amp;GRAPHICS_PROPERTIES[TEMPLATE_AMENDMENT_CODE])</f>
        <v>TPL_02A</v>
      </c>
    </row>
    <row r="832" spans="1:18" x14ac:dyDescent="0.35">
      <c r="A832" t="s">
        <v>3297</v>
      </c>
      <c r="B832" s="21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9064</v>
      </c>
      <c r="F832" s="32" t="s">
        <v>2456</v>
      </c>
      <c r="G832" t="s">
        <v>1752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1" t="str">
        <f>"item_"&amp;CONTROL[[#This Row],[VEHIDCODE]]</f>
        <v>item_mtro_ABB_Henschel_Berlin_BVG_F74</v>
      </c>
      <c r="O832" s="21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  <c r="R832" t="str" cm="1">
        <f t="array" ref="R832">_xlfn.XLOOKUP(CONTROL[[#This Row],[VEHIDCODE]],GRAPHICS_PROPERTIES[VEHIDCODE],GRAPHICS_PROPERTIES[TEMPLATE_ID]&amp;GRAPHICS_PROPERTIES[TEMPLATE_AMENDMENT_CODE])</f>
        <v>TPL_02C</v>
      </c>
    </row>
    <row r="833" spans="1:18" x14ac:dyDescent="0.35">
      <c r="A833" t="s">
        <v>3298</v>
      </c>
      <c r="B833" s="21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9065</v>
      </c>
      <c r="F833" s="32" t="s">
        <v>2457</v>
      </c>
      <c r="G833" t="s">
        <v>1753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1" t="str">
        <f>"item_"&amp;CONTROL[[#This Row],[VEHIDCODE]]</f>
        <v>item_mtro_Adtranz_Berlin_BVG_H</v>
      </c>
      <c r="O833" s="21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  <c r="R833" t="str" cm="1">
        <f t="array" ref="R833">_xlfn.XLOOKUP(CONTROL[[#This Row],[VEHIDCODE]],GRAPHICS_PROPERTIES[VEHIDCODE],GRAPHICS_PROPERTIES[TEMPLATE_ID]&amp;GRAPHICS_PROPERTIES[TEMPLATE_AMENDMENT_CODE])</f>
        <v>TPL_02C</v>
      </c>
    </row>
    <row r="834" spans="1:18" x14ac:dyDescent="0.35">
      <c r="A834" t="s">
        <v>3299</v>
      </c>
      <c r="B834" s="21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4121</v>
      </c>
      <c r="F834" s="32" t="s">
        <v>2458</v>
      </c>
      <c r="G834" t="s">
        <v>1754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1" t="str">
        <f>"item_"&amp;CONTROL[[#This Row],[VEHIDCODE]]</f>
        <v>item_steam_LB_SCR_BRW_0_6_0T_A1</v>
      </c>
      <c r="O834" s="21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  <c r="R834" t="str" cm="1">
        <f t="array" ref="R834">_xlfn.XLOOKUP(CONTROL[[#This Row],[VEHIDCODE]],GRAPHICS_PROPERTIES[VEHIDCODE],GRAPHICS_PROPERTIES[TEMPLATE_ID]&amp;GRAPHICS_PROPERTIES[TEMPLATE_AMENDMENT_CODE])</f>
        <v>TPL_03C</v>
      </c>
    </row>
    <row r="835" spans="1:18" x14ac:dyDescent="0.35">
      <c r="A835" t="s">
        <v>3300</v>
      </c>
      <c r="B835" s="21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4122</v>
      </c>
      <c r="F835" s="32" t="s">
        <v>2459</v>
      </c>
      <c r="G835" t="s">
        <v>1755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1" t="str">
        <f>"item_"&amp;CONTROL[[#This Row],[VEHIDCODE]]</f>
        <v>item_steam_BP_4_6_4T_4444_4478_C30</v>
      </c>
      <c r="O835" s="21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  <c r="R835" t="str" cm="1">
        <f t="array" ref="R835">_xlfn.XLOOKUP(CONTROL[[#This Row],[VEHIDCODE]],GRAPHICS_PROPERTIES[VEHIDCODE],GRAPHICS_PROPERTIES[TEMPLATE_ID]&amp;GRAPHICS_PROPERTIES[TEMPLATE_AMENDMENT_CODE])</f>
        <v>TPL_03C</v>
      </c>
    </row>
    <row r="836" spans="1:18" x14ac:dyDescent="0.35">
      <c r="A836" s="2" t="s">
        <v>3301</v>
      </c>
      <c r="B836" s="21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4123</v>
      </c>
      <c r="F836" s="32" t="s">
        <v>2460</v>
      </c>
      <c r="G836" t="s">
        <v>1756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1" t="str">
        <f>"item_"&amp;CONTROL[[#This Row],[VEHIDCODE]]</f>
        <v>item_steam_BP_Baldwin_Clyde_4_6_0_C32</v>
      </c>
      <c r="O836" s="21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  <c r="R836" t="str" cm="1">
        <f t="array" ref="R836">_xlfn.XLOOKUP(CONTROL[[#This Row],[VEHIDCODE]],GRAPHICS_PROPERTIES[VEHIDCODE],GRAPHICS_PROPERTIES[TEMPLATE_ID]&amp;GRAPHICS_PROPERTIES[TEMPLATE_AMENDMENT_CODE])</f>
        <v>TPL_03A</v>
      </c>
    </row>
    <row r="837" spans="1:18" x14ac:dyDescent="0.35">
      <c r="A837" s="2" t="s">
        <v>3302</v>
      </c>
      <c r="B837" s="21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4124</v>
      </c>
      <c r="F837" s="32" t="s">
        <v>2461</v>
      </c>
      <c r="G837" t="s">
        <v>1757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1" t="str">
        <f>"item_"&amp;CONTROL[[#This Row],[VEHIDCODE]]</f>
        <v>item_steam_BP_NBLC_2_8_0_D50</v>
      </c>
      <c r="O837" s="21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  <c r="R837" t="str" cm="1">
        <f t="array" ref="R837">_xlfn.XLOOKUP(CONTROL[[#This Row],[VEHIDCODE]],GRAPHICS_PROPERTIES[VEHIDCODE],GRAPHICS_PROPERTIES[TEMPLATE_ID]&amp;GRAPHICS_PROPERTIES[TEMPLATE_AMENDMENT_CODE])</f>
        <v>TPL_03A</v>
      </c>
    </row>
    <row r="838" spans="1:18" x14ac:dyDescent="0.35">
      <c r="A838" s="2" t="s">
        <v>3303</v>
      </c>
      <c r="B838" s="21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4125</v>
      </c>
      <c r="F838" s="32" t="s">
        <v>2462</v>
      </c>
      <c r="G838" s="34" t="s">
        <v>1758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1" t="str">
        <f>"item_"&amp;CONTROL[[#This Row],[VEHIDCODE]]</f>
        <v>item_steam_BP_Dubs_4_4_0_Z12</v>
      </c>
      <c r="O838" s="21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  <c r="R838" t="str" cm="1">
        <f t="array" ref="R838">_xlfn.XLOOKUP(CONTROL[[#This Row],[VEHIDCODE]],GRAPHICS_PROPERTIES[VEHIDCODE],GRAPHICS_PROPERTIES[TEMPLATE_ID]&amp;GRAPHICS_PROPERTIES[TEMPLATE_AMENDMENT_CODE])</f>
        <v>TPL_03A</v>
      </c>
    </row>
    <row r="839" spans="1:18" x14ac:dyDescent="0.35">
      <c r="A839" s="2" t="s">
        <v>3304</v>
      </c>
      <c r="B839" s="21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4126</v>
      </c>
      <c r="F839" s="32" t="s">
        <v>2463</v>
      </c>
      <c r="G839" s="34" t="s">
        <v>1759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1" t="str">
        <f>"item_"&amp;CONTROL[[#This Row],[VEHIDCODE]]</f>
        <v>item_steam_BP_0_6_0_Z19</v>
      </c>
      <c r="O839" s="21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  <c r="R839" t="str" cm="1">
        <f t="array" ref="R839">_xlfn.XLOOKUP(CONTROL[[#This Row],[VEHIDCODE]],GRAPHICS_PROPERTIES[VEHIDCODE],GRAPHICS_PROPERTIES[TEMPLATE_ID]&amp;GRAPHICS_PROPERTIES[TEMPLATE_AMENDMENT_CODE])</f>
        <v>TPL_03A</v>
      </c>
    </row>
    <row r="840" spans="1:18" x14ac:dyDescent="0.35">
      <c r="A840" s="2" t="s">
        <v>3305</v>
      </c>
      <c r="B840" s="21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4127</v>
      </c>
      <c r="F840" s="32" t="s">
        <v>2464</v>
      </c>
      <c r="G840" s="34" t="s">
        <v>1760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1" t="str">
        <f>"item_"&amp;CONTROL[[#This Row],[VEHIDCODE]]</f>
        <v>item_steam_Dubs_2_6_2ST_Z26</v>
      </c>
      <c r="O840" s="21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  <c r="R840" t="str" cm="1">
        <f t="array" ref="R840">_xlfn.XLOOKUP(CONTROL[[#This Row],[VEHIDCODE]],GRAPHICS_PROPERTIES[VEHIDCODE],GRAPHICS_PROPERTIES[TEMPLATE_ID]&amp;GRAPHICS_PROPERTIES[TEMPLATE_AMENDMENT_CODE])</f>
        <v>TPL_03C</v>
      </c>
    </row>
    <row r="841" spans="1:18" x14ac:dyDescent="0.35">
      <c r="A841" s="2" t="s">
        <v>3306</v>
      </c>
      <c r="B841" s="21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4128</v>
      </c>
      <c r="F841" s="32" t="s">
        <v>2465</v>
      </c>
      <c r="G841" s="34" t="s">
        <v>1761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1" t="str">
        <f>"item_"&amp;CONTROL[[#This Row],[VEHIDCODE]]</f>
        <v>item_steam_GCR_Kitson_NBLC_ROD_2_8_0_8K</v>
      </c>
      <c r="O841" s="21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  <c r="R841" t="str" cm="1">
        <f t="array" ref="R841">_xlfn.XLOOKUP(CONTROL[[#This Row],[VEHIDCODE]],GRAPHICS_PROPERTIES[VEHIDCODE],GRAPHICS_PROPERTIES[TEMPLATE_ID]&amp;GRAPHICS_PROPERTIES[TEMPLATE_AMENDMENT_CODE])</f>
        <v>TPL_03A</v>
      </c>
    </row>
    <row r="842" spans="1:18" x14ac:dyDescent="0.35">
      <c r="A842" s="2" t="s">
        <v>3307</v>
      </c>
      <c r="B842" s="21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4129</v>
      </c>
      <c r="F842" s="32" t="s">
        <v>2466</v>
      </c>
      <c r="G842" s="34" t="s">
        <v>1762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1" t="str">
        <f>"item_"&amp;CONTROL[[#This Row],[VEHIDCODE]]</f>
        <v>item_steam_ALCO_4_6_2_SAR_600</v>
      </c>
      <c r="O842" s="21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  <c r="R842" t="str" cm="1">
        <f t="array" ref="R842">_xlfn.XLOOKUP(CONTROL[[#This Row],[VEHIDCODE]],GRAPHICS_PROPERTIES[VEHIDCODE],GRAPHICS_PROPERTIES[TEMPLATE_ID]&amp;GRAPHICS_PROPERTIES[TEMPLATE_AMENDMENT_CODE])</f>
        <v>TPL_03A</v>
      </c>
    </row>
    <row r="843" spans="1:18" x14ac:dyDescent="0.35">
      <c r="A843" t="s">
        <v>3308</v>
      </c>
      <c r="B843" s="21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4130</v>
      </c>
      <c r="F843" s="32" t="s">
        <v>2467</v>
      </c>
      <c r="G843" t="s">
        <v>1763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1" t="str">
        <f>"item_"&amp;CONTROL[[#This Row],[VEHIDCODE]]</f>
        <v>item_steam_BP_2_8_2T_South_Maitland_10</v>
      </c>
      <c r="O843" s="21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  <c r="R843" t="str" cm="1">
        <f t="array" ref="R843">_xlfn.XLOOKUP(CONTROL[[#This Row],[VEHIDCODE]],GRAPHICS_PROPERTIES[VEHIDCODE],GRAPHICS_PROPERTIES[TEMPLATE_ID]&amp;GRAPHICS_PROPERTIES[TEMPLATE_AMENDMENT_CODE])</f>
        <v>TPL_03C</v>
      </c>
    </row>
    <row r="844" spans="1:18" x14ac:dyDescent="0.35">
      <c r="A844" t="s">
        <v>3309</v>
      </c>
      <c r="B844" s="21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4131</v>
      </c>
      <c r="F844" s="32" t="s">
        <v>1764</v>
      </c>
      <c r="G844" t="s">
        <v>1765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1" t="str">
        <f>"item_"&amp;CONTROL[[#This Row],[VEHIDCODE]]</f>
        <v>item_steam_Victorian_Railways_H</v>
      </c>
      <c r="O844" s="21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  <c r="R844" t="str" cm="1">
        <f t="array" ref="R844">_xlfn.XLOOKUP(CONTROL[[#This Row],[VEHIDCODE]],GRAPHICS_PROPERTIES[VEHIDCODE],GRAPHICS_PROPERTIES[TEMPLATE_ID]&amp;GRAPHICS_PROPERTIES[TEMPLATE_AMENDMENT_CODE])</f>
        <v>TPL_03A</v>
      </c>
    </row>
    <row r="845" spans="1:18" x14ac:dyDescent="0.35">
      <c r="A845" t="s">
        <v>3310</v>
      </c>
      <c r="B845" s="21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5143</v>
      </c>
      <c r="F845" s="32" t="s">
        <v>2468</v>
      </c>
      <c r="G845" t="s">
        <v>1766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1" t="str">
        <f>"item_"&amp;CONTROL[[#This Row],[VEHIDCODE]]</f>
        <v>item_diesel_BTH_41_Class</v>
      </c>
      <c r="O845" s="21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  <c r="R845" t="str" cm="1">
        <f t="array" ref="R845">_xlfn.XLOOKUP(CONTROL[[#This Row],[VEHIDCODE]],GRAPHICS_PROPERTIES[VEHIDCODE],GRAPHICS_PROPERTIES[TEMPLATE_ID]&amp;GRAPHICS_PROPERTIES[TEMPLATE_AMENDMENT_CODE])</f>
        <v>TPL_01A</v>
      </c>
    </row>
    <row r="846" spans="1:18" x14ac:dyDescent="0.35">
      <c r="A846" t="s">
        <v>3311</v>
      </c>
      <c r="B846" s="21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5144</v>
      </c>
      <c r="F846" s="32" t="s">
        <v>2469</v>
      </c>
      <c r="G846" t="s">
        <v>1767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1" t="str">
        <f>"item_"&amp;CONTROL[[#This Row],[VEHIDCODE]]</f>
        <v>item_diesel_ALCO_AE_Goodwin_DL531_532</v>
      </c>
      <c r="O846" s="21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  <c r="R846" t="str" cm="1">
        <f t="array" ref="R846">_xlfn.XLOOKUP(CONTROL[[#This Row],[VEHIDCODE]],GRAPHICS_PROPERTIES[VEHIDCODE],GRAPHICS_PROPERTIES[TEMPLATE_ID]&amp;GRAPHICS_PROPERTIES[TEMPLATE_AMENDMENT_CODE])</f>
        <v>TPL_01A</v>
      </c>
    </row>
    <row r="847" spans="1:18" x14ac:dyDescent="0.35">
      <c r="A847" s="2" t="s">
        <v>3312</v>
      </c>
      <c r="B847" s="21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5145</v>
      </c>
      <c r="F847" s="32" t="s">
        <v>2470</v>
      </c>
      <c r="G847" t="s">
        <v>1939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1" t="str">
        <f>"item_"&amp;CONTROL[[#This Row],[VEHIDCODE]]</f>
        <v>item_diesel_ALCO_AE_Goodwin_DL500</v>
      </c>
      <c r="O847" s="21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  <c r="R847" t="str" cm="1">
        <f t="array" ref="R847">_xlfn.XLOOKUP(CONTROL[[#This Row],[VEHIDCODE]],GRAPHICS_PROPERTIES[VEHIDCODE],GRAPHICS_PROPERTIES[TEMPLATE_ID]&amp;GRAPHICS_PROPERTIES[TEMPLATE_AMENDMENT_CODE])</f>
        <v>TPL_01A</v>
      </c>
    </row>
    <row r="848" spans="1:18" x14ac:dyDescent="0.35">
      <c r="A848" t="s">
        <v>3313</v>
      </c>
      <c r="B848" s="21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5146</v>
      </c>
      <c r="F848" s="32" t="s">
        <v>2471</v>
      </c>
      <c r="G848" t="s">
        <v>1768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1" t="str">
        <f>"item_"&amp;CONTROL[[#This Row],[VEHIDCODE]]</f>
        <v>item_diesel_EMD_Clyde_A16C</v>
      </c>
      <c r="O848" s="21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  <c r="R848" t="str" cm="1">
        <f t="array" ref="R848">_xlfn.XLOOKUP(CONTROL[[#This Row],[VEHIDCODE]],GRAPHICS_PROPERTIES[VEHIDCODE],GRAPHICS_PROPERTIES[TEMPLATE_ID]&amp;GRAPHICS_PROPERTIES[TEMPLATE_AMENDMENT_CODE])</f>
        <v>TPL_01A</v>
      </c>
    </row>
    <row r="849" spans="1:18" x14ac:dyDescent="0.35">
      <c r="A849" t="s">
        <v>3457</v>
      </c>
      <c r="B849" s="21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5147</v>
      </c>
      <c r="F849" s="32" t="s">
        <v>3464</v>
      </c>
      <c r="G849" t="s">
        <v>1769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1" t="str">
        <f>"item_"&amp;CONTROL[[#This Row],[VEHIDCODE]]</f>
        <v>item_diesel_EMD_Clyde_AAT22C_2R</v>
      </c>
      <c r="O849" s="21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  <c r="R849" t="str" cm="1">
        <f t="array" ref="R849">_xlfn.XLOOKUP(CONTROL[[#This Row],[VEHIDCODE]],GRAPHICS_PROPERTIES[VEHIDCODE],GRAPHICS_PROPERTIES[TEMPLATE_ID]&amp;GRAPHICS_PROPERTIES[TEMPLATE_AMENDMENT_CODE])</f>
        <v>TPL_01A</v>
      </c>
    </row>
    <row r="850" spans="1:18" x14ac:dyDescent="0.35">
      <c r="A850" t="s">
        <v>3314</v>
      </c>
      <c r="B850" s="21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5148</v>
      </c>
      <c r="F850" s="32" t="s">
        <v>2472</v>
      </c>
      <c r="G850" t="s">
        <v>1770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1" t="str">
        <f>"item_"&amp;CONTROL[[#This Row],[VEHIDCODE]]</f>
        <v>item_diesel_EMD_Clyde_A7</v>
      </c>
      <c r="O850" s="21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  <c r="R850" t="str" cm="1">
        <f t="array" ref="R850">_xlfn.XLOOKUP(CONTROL[[#This Row],[VEHIDCODE]],GRAPHICS_PROPERTIES[VEHIDCODE],GRAPHICS_PROPERTIES[TEMPLATE_ID]&amp;GRAPHICS_PROPERTIES[TEMPLATE_AMENDMENT_CODE])</f>
        <v>TPL_01A</v>
      </c>
    </row>
    <row r="851" spans="1:18" x14ac:dyDescent="0.35">
      <c r="A851" t="s">
        <v>3315</v>
      </c>
      <c r="B851" s="21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5149</v>
      </c>
      <c r="F851" s="32" t="s">
        <v>2473</v>
      </c>
      <c r="G851" t="s">
        <v>1771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1" t="str">
        <f>"item_"&amp;CONTROL[[#This Row],[VEHIDCODE]]</f>
        <v>item_diesel_EMD_Clyde_AT42C_</v>
      </c>
      <c r="O851" s="21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  <c r="R851" t="str" cm="1">
        <f t="array" ref="R851">_xlfn.XLOOKUP(CONTROL[[#This Row],[VEHIDCODE]],GRAPHICS_PROPERTIES[VEHIDCODE],GRAPHICS_PROPERTIES[TEMPLATE_ID]&amp;GRAPHICS_PROPERTIES[TEMPLATE_AMENDMENT_CODE])</f>
        <v>TPL_01A</v>
      </c>
    </row>
    <row r="852" spans="1:18" x14ac:dyDescent="0.35">
      <c r="A852" t="s">
        <v>3316</v>
      </c>
      <c r="B852" s="21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6139</v>
      </c>
      <c r="F852" s="32" t="s">
        <v>2385</v>
      </c>
      <c r="G852" t="s">
        <v>1772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1" t="str">
        <f>"item_"&amp;CONTROL[[#This Row],[VEHIDCODE]]</f>
        <v>item_electric_Clyde_ASEA_CF48</v>
      </c>
      <c r="O852" s="21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  <c r="R852" t="str" cm="1">
        <f t="array" ref="R852">_xlfn.XLOOKUP(CONTROL[[#This Row],[VEHIDCODE]],GRAPHICS_PROPERTIES[VEHIDCODE],GRAPHICS_PROPERTIES[TEMPLATE_ID]&amp;GRAPHICS_PROPERTIES[TEMPLATE_AMENDMENT_CODE])</f>
        <v>TPL_01A</v>
      </c>
    </row>
    <row r="853" spans="1:18" x14ac:dyDescent="0.35">
      <c r="A853" t="s">
        <v>3317</v>
      </c>
      <c r="B853" s="21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5150</v>
      </c>
      <c r="F853" s="32" t="s">
        <v>2381</v>
      </c>
      <c r="G853" t="s">
        <v>1773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1" t="str">
        <f>"item_"&amp;CONTROL[[#This Row],[VEHIDCODE]]</f>
        <v>item_diesel_EMD_GT46CWM</v>
      </c>
      <c r="O853" s="21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  <c r="R853" t="str" cm="1">
        <f t="array" ref="R853">_xlfn.XLOOKUP(CONTROL[[#This Row],[VEHIDCODE]],GRAPHICS_PROPERTIES[VEHIDCODE],GRAPHICS_PROPERTIES[TEMPLATE_ID]&amp;GRAPHICS_PROPERTIES[TEMPLATE_AMENDMENT_CODE])</f>
        <v>TPL_01A</v>
      </c>
    </row>
    <row r="854" spans="1:18" x14ac:dyDescent="0.35">
      <c r="A854" t="s">
        <v>3318</v>
      </c>
      <c r="B854" s="21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5151</v>
      </c>
      <c r="F854" s="32" t="s">
        <v>2475</v>
      </c>
      <c r="G854" t="s">
        <v>523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1" t="str">
        <f>"item_"&amp;CONTROL[[#This Row],[VEHIDCODE]]</f>
        <v>item_diesel_Clyde_EMD_GT46CW_NR_Concept</v>
      </c>
      <c r="O854" s="21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  <c r="R854" t="str" cm="1">
        <f t="array" ref="R854">_xlfn.XLOOKUP(CONTROL[[#This Row],[VEHIDCODE]],GRAPHICS_PROPERTIES[VEHIDCODE],GRAPHICS_PROPERTIES[TEMPLATE_ID]&amp;GRAPHICS_PROPERTIES[TEMPLATE_AMENDMENT_CODE])</f>
        <v>TPL_01A</v>
      </c>
    </row>
    <row r="855" spans="1:18" x14ac:dyDescent="0.35">
      <c r="A855" t="s">
        <v>3319</v>
      </c>
      <c r="B855" s="21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5152</v>
      </c>
      <c r="F855" s="32" t="s">
        <v>2474</v>
      </c>
      <c r="G855" t="s">
        <v>523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1" t="str">
        <f>"item_"&amp;CONTROL[[#This Row],[VEHIDCODE]]</f>
        <v>item_diesel_Clyde_JE28C_PTC_73_Class_Concept</v>
      </c>
      <c r="O855" s="21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  <c r="R855" t="str" cm="1">
        <f t="array" ref="R855">_xlfn.XLOOKUP(CONTROL[[#This Row],[VEHIDCODE]],GRAPHICS_PROPERTIES[VEHIDCODE],GRAPHICS_PROPERTIES[TEMPLATE_ID]&amp;GRAPHICS_PROPERTIES[TEMPLATE_AMENDMENT_CODE])</f>
        <v>TPL_01A</v>
      </c>
    </row>
    <row r="856" spans="1:18" x14ac:dyDescent="0.35">
      <c r="A856" t="s">
        <v>3320</v>
      </c>
      <c r="B856" s="21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5153</v>
      </c>
      <c r="F856" s="32" t="s">
        <v>2476</v>
      </c>
      <c r="G856" t="s">
        <v>1774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1" t="str">
        <f>"item_"&amp;CONTROL[[#This Row],[VEHIDCODE]]</f>
        <v>item_diesel_EMD_Clyde_JT22HC_2</v>
      </c>
      <c r="O856" s="21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  <c r="R856" t="str" cm="1">
        <f t="array" ref="R856">_xlfn.XLOOKUP(CONTROL[[#This Row],[VEHIDCODE]],GRAPHICS_PROPERTIES[VEHIDCODE],GRAPHICS_PROPERTIES[TEMPLATE_ID]&amp;GRAPHICS_PROPERTIES[TEMPLATE_AMENDMENT_CODE])</f>
        <v>TPL_01A</v>
      </c>
    </row>
    <row r="857" spans="1:18" x14ac:dyDescent="0.35">
      <c r="A857" t="s">
        <v>3452</v>
      </c>
      <c r="B857" s="21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5154</v>
      </c>
      <c r="F857" s="32" t="s">
        <v>3465</v>
      </c>
      <c r="G857" s="34" t="s">
        <v>1775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1" t="str">
        <f>"item_"&amp;CONTROL[[#This Row],[VEHIDCODE]]</f>
        <v>item_diesel_EMD_Clyde_JT26C_2SS_NSW_81</v>
      </c>
      <c r="O857" s="21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  <c r="R857" t="str" cm="1">
        <f t="array" ref="R857">_xlfn.XLOOKUP(CONTROL[[#This Row],[VEHIDCODE]],GRAPHICS_PROPERTIES[VEHIDCODE],GRAPHICS_PROPERTIES[TEMPLATE_ID]&amp;GRAPHICS_PROPERTIES[TEMPLATE_AMENDMENT_CODE])</f>
        <v>TPL_01A</v>
      </c>
    </row>
    <row r="858" spans="1:18" x14ac:dyDescent="0.35">
      <c r="A858" t="s">
        <v>3453</v>
      </c>
      <c r="B858" s="21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5155</v>
      </c>
      <c r="F858" s="32" t="s">
        <v>3466</v>
      </c>
      <c r="G858" t="s">
        <v>1286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1" t="str">
        <f>"item_"&amp;CONTROL[[#This Row],[VEHIDCODE]]</f>
        <v>item_diesel_EMD_Clyde_JT26C_2SS_V_line_G</v>
      </c>
      <c r="O858" s="21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  <c r="R858" t="str" cm="1">
        <f t="array" ref="R858">_xlfn.XLOOKUP(CONTROL[[#This Row],[VEHIDCODE]],GRAPHICS_PROPERTIES[VEHIDCODE],GRAPHICS_PROPERTIES[TEMPLATE_ID]&amp;GRAPHICS_PROPERTIES[TEMPLATE_AMENDMENT_CODE])</f>
        <v>TPL_01A</v>
      </c>
    </row>
    <row r="859" spans="1:18" x14ac:dyDescent="0.35">
      <c r="A859" t="s">
        <v>3476</v>
      </c>
      <c r="B859" s="21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5156</v>
      </c>
      <c r="F859" s="32" t="s">
        <v>2477</v>
      </c>
      <c r="G859" s="34" t="s">
        <v>1776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1" t="str">
        <f>"item_"&amp;CONTROL[[#This Row],[VEHIDCODE]]</f>
        <v>item_diesel_EMD_Clyde_JT42C_NSW82</v>
      </c>
      <c r="O859" s="21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  <c r="R859" t="str" cm="1">
        <f t="array" ref="R859">_xlfn.XLOOKUP(CONTROL[[#This Row],[VEHIDCODE]],GRAPHICS_PROPERTIES[VEHIDCODE],GRAPHICS_PROPERTIES[TEMPLATE_ID]&amp;GRAPHICS_PROPERTIES[TEMPLATE_AMENDMENT_CODE])</f>
        <v>TPL_01A</v>
      </c>
    </row>
    <row r="860" spans="1:18" x14ac:dyDescent="0.35">
      <c r="A860" t="s">
        <v>3458</v>
      </c>
      <c r="B860" s="21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5157</v>
      </c>
      <c r="F860" s="32" t="s">
        <v>3467</v>
      </c>
      <c r="G860" t="s">
        <v>1777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1" t="str">
        <f>"item_"&amp;CONTROL[[#This Row],[VEHIDCODE]]</f>
        <v>item_diesel_EMD_JT42C_90_1277</v>
      </c>
      <c r="O860" s="21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  <c r="R860" t="str" cm="1">
        <f t="array" ref="R860">_xlfn.XLOOKUP(CONTROL[[#This Row],[VEHIDCODE]],GRAPHICS_PROPERTIES[VEHIDCODE],GRAPHICS_PROPERTIES[TEMPLATE_ID]&amp;GRAPHICS_PROPERTIES[TEMPLATE_AMENDMENT_CODE])</f>
        <v>TPL_01A</v>
      </c>
    </row>
    <row r="861" spans="1:18" x14ac:dyDescent="0.35">
      <c r="A861" t="s">
        <v>3321</v>
      </c>
      <c r="B861" s="21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5158</v>
      </c>
      <c r="F861" s="32" t="s">
        <v>2477</v>
      </c>
      <c r="G861" t="s">
        <v>1778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1" t="str">
        <f>"item_"&amp;CONTROL[[#This Row],[VEHIDCODE]]</f>
        <v>item_diesel_EMD_Clyde_JT42C</v>
      </c>
      <c r="O861" s="21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  <c r="R861" t="str" cm="1">
        <f t="array" ref="R861">_xlfn.XLOOKUP(CONTROL[[#This Row],[VEHIDCODE]],GRAPHICS_PROPERTIES[VEHIDCODE],GRAPHICS_PROPERTIES[TEMPLATE_ID]&amp;GRAPHICS_PROPERTIES[TEMPLATE_AMENDMENT_CODE])</f>
        <v>TPL_01A</v>
      </c>
    </row>
    <row r="862" spans="1:18" x14ac:dyDescent="0.35">
      <c r="A862" t="s">
        <v>3459</v>
      </c>
      <c r="B862" s="21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5159</v>
      </c>
      <c r="F862" s="32" t="s">
        <v>3468</v>
      </c>
      <c r="G862" t="s">
        <v>1779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1" t="str">
        <f>"item_"&amp;CONTROL[[#This Row],[VEHIDCODE]]</f>
        <v>item_diesel_EMD_Clyde_ML2</v>
      </c>
      <c r="O862" s="21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  <c r="R862" t="str" cm="1">
        <f t="array" ref="R862">_xlfn.XLOOKUP(CONTROL[[#This Row],[VEHIDCODE]],GRAPHICS_PROPERTIES[VEHIDCODE],GRAPHICS_PROPERTIES[TEMPLATE_ID]&amp;GRAPHICS_PROPERTIES[TEMPLATE_AMENDMENT_CODE])</f>
        <v>TPL_01A</v>
      </c>
    </row>
    <row r="863" spans="1:18" x14ac:dyDescent="0.35">
      <c r="A863" t="s">
        <v>3322</v>
      </c>
      <c r="B863" s="21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5160</v>
      </c>
      <c r="F863" s="32" t="s">
        <v>2478</v>
      </c>
      <c r="G863" t="s">
        <v>1780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1" t="str">
        <f>"item_"&amp;CONTROL[[#This Row],[VEHIDCODE]]</f>
        <v>item_diesel_EMD_Clyde_G16C_X1</v>
      </c>
      <c r="O863" s="21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  <c r="R863" t="str" cm="1">
        <f t="array" ref="R863">_xlfn.XLOOKUP(CONTROL[[#This Row],[VEHIDCODE]],GRAPHICS_PROPERTIES[VEHIDCODE],GRAPHICS_PROPERTIES[TEMPLATE_ID]&amp;GRAPHICS_PROPERTIES[TEMPLATE_AMENDMENT_CODE])</f>
        <v>TPL_01A</v>
      </c>
    </row>
    <row r="864" spans="1:18" x14ac:dyDescent="0.35">
      <c r="A864" t="s">
        <v>3323</v>
      </c>
      <c r="B864" s="21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5161</v>
      </c>
      <c r="F864" s="32" t="s">
        <v>2479</v>
      </c>
      <c r="G864" t="s">
        <v>1780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1" t="str">
        <f>"item_"&amp;CONTROL[[#This Row],[VEHIDCODE]]</f>
        <v>item_diesel_EMD_Clyde_G26C_X2</v>
      </c>
      <c r="O864" s="21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  <c r="R864" t="str" cm="1">
        <f t="array" ref="R864">_xlfn.XLOOKUP(CONTROL[[#This Row],[VEHIDCODE]],GRAPHICS_PROPERTIES[VEHIDCODE],GRAPHICS_PROPERTIES[TEMPLATE_ID]&amp;GRAPHICS_PROPERTIES[TEMPLATE_AMENDMENT_CODE])</f>
        <v>TPL_01A</v>
      </c>
    </row>
    <row r="865" spans="1:18" x14ac:dyDescent="0.35">
      <c r="A865" t="s">
        <v>3324</v>
      </c>
      <c r="B865" s="21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5162</v>
      </c>
      <c r="F865" s="32" t="s">
        <v>2480</v>
      </c>
      <c r="G865" t="s">
        <v>1780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1" t="str">
        <f>"item_"&amp;CONTROL[[#This Row],[VEHIDCODE]]</f>
        <v>item_diesel_EMD_Clyde_G26C_X3</v>
      </c>
      <c r="O865" s="21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  <c r="R865" t="str" cm="1">
        <f t="array" ref="R865">_xlfn.XLOOKUP(CONTROL[[#This Row],[VEHIDCODE]],GRAPHICS_PROPERTIES[VEHIDCODE],GRAPHICS_PROPERTIES[TEMPLATE_ID]&amp;GRAPHICS_PROPERTIES[TEMPLATE_AMENDMENT_CODE])</f>
        <v>TPL_01A</v>
      </c>
    </row>
    <row r="866" spans="1:18" x14ac:dyDescent="0.35">
      <c r="A866" t="s">
        <v>3325</v>
      </c>
      <c r="B866" s="21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5163</v>
      </c>
      <c r="F866" s="32" t="s">
        <v>2481</v>
      </c>
      <c r="G866" s="34" t="s">
        <v>1781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1" t="str">
        <f>"item_"&amp;CONTROL[[#This Row],[VEHIDCODE]]</f>
        <v>item_diesel_ALCO_Comeng_CE615A</v>
      </c>
      <c r="O866" s="21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  <c r="R866" t="str" cm="1">
        <f t="array" ref="R866">_xlfn.XLOOKUP(CONTROL[[#This Row],[VEHIDCODE]],GRAPHICS_PROPERTIES[VEHIDCODE],GRAPHICS_PROPERTIES[TEMPLATE_ID]&amp;GRAPHICS_PROPERTIES[TEMPLATE_AMENDMENT_CODE])</f>
        <v>TPL_01A</v>
      </c>
    </row>
    <row r="867" spans="1:18" x14ac:dyDescent="0.35">
      <c r="A867" t="s">
        <v>3326</v>
      </c>
      <c r="B867" s="21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6140</v>
      </c>
      <c r="F867" s="32" t="s">
        <v>2482</v>
      </c>
      <c r="G867" s="34" t="s">
        <v>1782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1" t="str">
        <f>"item_"&amp;CONTROL[[#This Row],[VEHIDCODE]]</f>
        <v>item_electric_Comeng_Class_85</v>
      </c>
      <c r="O867" s="21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  <c r="R867" t="str" cm="1">
        <f t="array" ref="R867">_xlfn.XLOOKUP(CONTROL[[#This Row],[VEHIDCODE]],GRAPHICS_PROPERTIES[VEHIDCODE],GRAPHICS_PROPERTIES[TEMPLATE_ID]&amp;GRAPHICS_PROPERTIES[TEMPLATE_AMENDMENT_CODE])</f>
        <v>TPL_01A</v>
      </c>
    </row>
    <row r="868" spans="1:18" x14ac:dyDescent="0.35">
      <c r="A868" s="2" t="s">
        <v>3327</v>
      </c>
      <c r="B868" s="21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6141</v>
      </c>
      <c r="F868" s="32" t="s">
        <v>2483</v>
      </c>
      <c r="G868" t="s">
        <v>1882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1" t="str">
        <f>"item_"&amp;CONTROL[[#This Row],[VEHIDCODE]]</f>
        <v>item_electric_Comeng_Maldon_Dombarton_8650</v>
      </c>
      <c r="O868" s="21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  <c r="R868" t="str" cm="1">
        <f t="array" ref="R868">_xlfn.XLOOKUP(CONTROL[[#This Row],[VEHIDCODE]],GRAPHICS_PROPERTIES[VEHIDCODE],GRAPHICS_PROPERTIES[TEMPLATE_ID]&amp;GRAPHICS_PROPERTIES[TEMPLATE_AMENDMENT_CODE])</f>
        <v>TPL_01A</v>
      </c>
    </row>
    <row r="869" spans="1:18" x14ac:dyDescent="0.35">
      <c r="A869" t="s">
        <v>3328</v>
      </c>
      <c r="B869" s="21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5164</v>
      </c>
      <c r="F869" s="32" t="s">
        <v>2484</v>
      </c>
      <c r="G869" s="34" t="s">
        <v>1783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1" t="str">
        <f>"item_"&amp;CONTROL[[#This Row],[VEHIDCODE]]</f>
        <v>item_diesel_EMD_NOHAB_J30C_2DSB_MZ_III</v>
      </c>
      <c r="O869" s="21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  <c r="R869" t="str" cm="1">
        <f t="array" ref="R869">_xlfn.XLOOKUP(CONTROL[[#This Row],[VEHIDCODE]],GRAPHICS_PROPERTIES[VEHIDCODE],GRAPHICS_PROPERTIES[TEMPLATE_ID]&amp;GRAPHICS_PROPERTIES[TEMPLATE_AMENDMENT_CODE])</f>
        <v>TPL_01A</v>
      </c>
    </row>
    <row r="870" spans="1:18" x14ac:dyDescent="0.35">
      <c r="A870" t="s">
        <v>3329</v>
      </c>
      <c r="B870" s="21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5165</v>
      </c>
      <c r="F870" s="32" t="s">
        <v>2486</v>
      </c>
      <c r="G870" t="s">
        <v>2485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1" t="str">
        <f>"item_"&amp;CONTROL[[#This Row],[VEHIDCODE]]</f>
        <v>item_diesel_EMD_Clyde_AT26C_Twin_16_645</v>
      </c>
      <c r="O870" s="21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  <c r="R870" t="str" cm="1">
        <f t="array" ref="R870">_xlfn.XLOOKUP(CONTROL[[#This Row],[VEHIDCODE]],GRAPHICS_PROPERTIES[VEHIDCODE],GRAPHICS_PROPERTIES[TEMPLATE_ID]&amp;GRAPHICS_PROPERTIES[TEMPLATE_AMENDMENT_CODE])</f>
        <v>TPL_16A</v>
      </c>
    </row>
    <row r="871" spans="1:18" x14ac:dyDescent="0.35">
      <c r="A871" t="s">
        <v>3460</v>
      </c>
      <c r="B871" s="21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5166</v>
      </c>
      <c r="F871" s="32" t="s">
        <v>3469</v>
      </c>
      <c r="G871" t="s">
        <v>1784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1" t="str">
        <f>"item_"&amp;CONTROL[[#This Row],[VEHIDCODE]]</f>
        <v>item_diesel_EMD_Clyde_GL26C_2</v>
      </c>
      <c r="O871" s="21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  <c r="R871" t="str" cm="1">
        <f t="array" ref="R871">_xlfn.XLOOKUP(CONTROL[[#This Row],[VEHIDCODE]],GRAPHICS_PROPERTIES[VEHIDCODE],GRAPHICS_PROPERTIES[TEMPLATE_ID]&amp;GRAPHICS_PROPERTIES[TEMPLATE_AMENDMENT_CODE])</f>
        <v>TPL_01A</v>
      </c>
    </row>
    <row r="872" spans="1:18" x14ac:dyDescent="0.35">
      <c r="A872" t="s">
        <v>3330</v>
      </c>
      <c r="B872" s="21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5167</v>
      </c>
      <c r="F872" s="32" t="s">
        <v>2614</v>
      </c>
      <c r="G872" t="s">
        <v>1785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1" t="str">
        <f>"item_"&amp;CONTROL[[#This Row],[VEHIDCODE]]</f>
        <v>item_diesel_EEC_A_249_</v>
      </c>
      <c r="O872" s="21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  <c r="R872" t="str" cm="1">
        <f t="array" ref="R872">_xlfn.XLOOKUP(CONTROL[[#This Row],[VEHIDCODE]],GRAPHICS_PROPERTIES[VEHIDCODE],GRAPHICS_PROPERTIES[TEMPLATE_ID]&amp;GRAPHICS_PROPERTIES[TEMPLATE_AMENDMENT_CODE])</f>
        <v>TPL_01A</v>
      </c>
    </row>
    <row r="873" spans="1:18" x14ac:dyDescent="0.35">
      <c r="A873" t="s">
        <v>3331</v>
      </c>
      <c r="B873" s="21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5168</v>
      </c>
      <c r="F873" s="32" t="s">
        <v>2615</v>
      </c>
      <c r="G873" t="s">
        <v>1786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1" t="str">
        <f>"item_"&amp;CONTROL[[#This Row],[VEHIDCODE]]</f>
        <v>item_diesel_EEC_A_253</v>
      </c>
      <c r="O873" s="21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  <c r="R873" t="str" cm="1">
        <f t="array" ref="R873">_xlfn.XLOOKUP(CONTROL[[#This Row],[VEHIDCODE]],GRAPHICS_PROPERTIES[VEHIDCODE],GRAPHICS_PROPERTIES[TEMPLATE_ID]&amp;GRAPHICS_PROPERTIES[TEMPLATE_AMENDMENT_CODE])</f>
        <v>TPL_01A</v>
      </c>
    </row>
    <row r="874" spans="1:18" x14ac:dyDescent="0.35">
      <c r="A874" t="s">
        <v>3332</v>
      </c>
      <c r="B874" s="21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5169</v>
      </c>
      <c r="F874" s="32" t="s">
        <v>2640</v>
      </c>
      <c r="G874" t="s">
        <v>1787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1" t="str">
        <f>"item_"&amp;CONTROL[[#This Row],[VEHIDCODE]]</f>
        <v>item_diesel_GE_U26C</v>
      </c>
      <c r="O874" s="21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  <c r="R874" t="str" cm="1">
        <f t="array" ref="R874">_xlfn.XLOOKUP(CONTROL[[#This Row],[VEHIDCODE]],GRAPHICS_PROPERTIES[VEHIDCODE],GRAPHICS_PROPERTIES[TEMPLATE_ID]&amp;GRAPHICS_PROPERTIES[TEMPLATE_AMENDMENT_CODE])</f>
        <v>TPL_01A</v>
      </c>
    </row>
    <row r="875" spans="1:18" x14ac:dyDescent="0.35">
      <c r="A875" t="s">
        <v>3333</v>
      </c>
      <c r="B875" s="21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6142</v>
      </c>
      <c r="F875" s="32" t="s">
        <v>2616</v>
      </c>
      <c r="G875" s="34" t="s">
        <v>1788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1" t="str">
        <f>"item_"&amp;CONTROL[[#This Row],[VEHIDCODE]]</f>
        <v>item_electric_Metrowick_BP_786</v>
      </c>
      <c r="O875" s="21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  <c r="R875" t="str" cm="1">
        <f t="array" ref="R875">_xlfn.XLOOKUP(CONTROL[[#This Row],[VEHIDCODE]],GRAPHICS_PROPERTIES[VEHIDCODE],GRAPHICS_PROPERTIES[TEMPLATE_ID]&amp;GRAPHICS_PROPERTIES[TEMPLATE_AMENDMENT_CODE])</f>
        <v>TPL_01A</v>
      </c>
    </row>
    <row r="876" spans="1:18" x14ac:dyDescent="0.35">
      <c r="A876" t="s">
        <v>3334</v>
      </c>
      <c r="B876" s="21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5170</v>
      </c>
      <c r="F876" s="32" t="s">
        <v>2617</v>
      </c>
      <c r="G876" s="34" t="s">
        <v>1789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1" t="str">
        <f>"item_"&amp;CONTROL[[#This Row],[VEHIDCODE]]</f>
        <v>item_diesel_ALCO_RSC_3_77732</v>
      </c>
      <c r="O876" s="21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  <c r="R876" t="str" cm="1">
        <f t="array" ref="R876">_xlfn.XLOOKUP(CONTROL[[#This Row],[VEHIDCODE]],GRAPHICS_PROPERTIES[VEHIDCODE],GRAPHICS_PROPERTIES[TEMPLATE_ID]&amp;GRAPHICS_PROPERTIES[TEMPLATE_AMENDMENT_CODE])</f>
        <v>TPL_01A</v>
      </c>
    </row>
    <row r="877" spans="1:18" x14ac:dyDescent="0.35">
      <c r="A877" t="s">
        <v>3335</v>
      </c>
      <c r="B877" s="21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5171</v>
      </c>
      <c r="F877" s="32" t="s">
        <v>2487</v>
      </c>
      <c r="G877" s="34" t="s">
        <v>1790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1" t="str">
        <f>"item_"&amp;CONTROL[[#This Row],[VEHIDCODE]]</f>
        <v>item_diesel_EMD_Clyde_G8C</v>
      </c>
      <c r="O877" s="21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  <c r="R877" t="str" cm="1">
        <f t="array" ref="R877">_xlfn.XLOOKUP(CONTROL[[#This Row],[VEHIDCODE]],GRAPHICS_PROPERTIES[VEHIDCODE],GRAPHICS_PROPERTIES[TEMPLATE_ID]&amp;GRAPHICS_PROPERTIES[TEMPLATE_AMENDMENT_CODE])</f>
        <v>TPL_01A</v>
      </c>
    </row>
    <row r="878" spans="1:18" x14ac:dyDescent="0.35">
      <c r="A878" s="2" t="s">
        <v>3336</v>
      </c>
      <c r="B878" s="21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5172</v>
      </c>
      <c r="F878" s="32" t="s">
        <v>2488</v>
      </c>
      <c r="G878" t="s">
        <v>1791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1" t="str">
        <f>"item_"&amp;CONTROL[[#This Row],[VEHIDCODE]]</f>
        <v>item_diesel_EMD_Clyde_G12</v>
      </c>
      <c r="O878" s="21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  <c r="R878" t="str" cm="1">
        <f t="array" ref="R878">_xlfn.XLOOKUP(CONTROL[[#This Row],[VEHIDCODE]],GRAPHICS_PROPERTIES[VEHIDCODE],GRAPHICS_PROPERTIES[TEMPLATE_ID]&amp;GRAPHICS_PROPERTIES[TEMPLATE_AMENDMENT_CODE])</f>
        <v>TPL_01A</v>
      </c>
    </row>
    <row r="879" spans="1:18" x14ac:dyDescent="0.35">
      <c r="A879" s="2" t="s">
        <v>3337</v>
      </c>
      <c r="B879" s="21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5173</v>
      </c>
      <c r="F879" s="32" t="s">
        <v>2490</v>
      </c>
      <c r="G879" t="s">
        <v>2489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1" t="str">
        <f>"item_"&amp;CONTROL[[#This Row],[VEHIDCODE]]</f>
        <v>item_diesel_EMD_Clyde_G8</v>
      </c>
      <c r="O879" s="21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  <c r="R879" t="str" cm="1">
        <f t="array" ref="R879">_xlfn.XLOOKUP(CONTROL[[#This Row],[VEHIDCODE]],GRAPHICS_PROPERTIES[VEHIDCODE],GRAPHICS_PROPERTIES[TEMPLATE_ID]&amp;GRAPHICS_PROPERTIES[TEMPLATE_AMENDMENT_CODE])</f>
        <v>TPL_01A</v>
      </c>
    </row>
    <row r="880" spans="1:18" x14ac:dyDescent="0.35">
      <c r="A880" t="s">
        <v>3338</v>
      </c>
      <c r="B880" s="21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5174</v>
      </c>
      <c r="F880" s="32" t="s">
        <v>2491</v>
      </c>
      <c r="G880" s="34" t="s">
        <v>1792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1" t="str">
        <f>"item_"&amp;CONTROL[[#This Row],[VEHIDCODE]]</f>
        <v>item_diesel_Goninan_47_Class</v>
      </c>
      <c r="O880" s="21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  <c r="R880" t="str" cm="1">
        <f t="array" ref="R880">_xlfn.XLOOKUP(CONTROL[[#This Row],[VEHIDCODE]],GRAPHICS_PROPERTIES[VEHIDCODE],GRAPHICS_PROPERTIES[TEMPLATE_ID]&amp;GRAPHICS_PROPERTIES[TEMPLATE_AMENDMENT_CODE])</f>
        <v>TPL_01A</v>
      </c>
    </row>
    <row r="881" spans="1:18" x14ac:dyDescent="0.35">
      <c r="A881" t="s">
        <v>3339</v>
      </c>
      <c r="B881" s="21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4132</v>
      </c>
      <c r="F881" s="32" t="s">
        <v>2492</v>
      </c>
      <c r="G881" s="34" t="s">
        <v>1793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1" t="str">
        <f>"item_"&amp;CONTROL[[#This Row],[VEHIDCODE]]</f>
        <v>item_steam_William_Fairbairn_2_2_2_Baroneza</v>
      </c>
      <c r="O881" s="21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  <c r="R881" t="str" cm="1">
        <f t="array" ref="R881">_xlfn.XLOOKUP(CONTROL[[#This Row],[VEHIDCODE]],GRAPHICS_PROPERTIES[VEHIDCODE],GRAPHICS_PROPERTIES[TEMPLATE_ID]&amp;GRAPHICS_PROPERTIES[TEMPLATE_AMENDMENT_CODE])</f>
        <v>TPL_03A</v>
      </c>
    </row>
    <row r="882" spans="1:18" x14ac:dyDescent="0.35">
      <c r="A882" t="s">
        <v>3340</v>
      </c>
      <c r="B882" s="21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4133</v>
      </c>
      <c r="F882" s="32" t="s">
        <v>2493</v>
      </c>
      <c r="G882" s="34" t="s">
        <v>1794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1" t="str">
        <f>"item_"&amp;CONTROL[[#This Row],[VEHIDCODE]]</f>
        <v>item_steam_Hunslet_0_4_0ST_La_Portena</v>
      </c>
      <c r="O882" s="21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  <c r="R882" t="str" cm="1">
        <f t="array" ref="R882">_xlfn.XLOOKUP(CONTROL[[#This Row],[VEHIDCODE]],GRAPHICS_PROPERTIES[VEHIDCODE],GRAPHICS_PROPERTIES[TEMPLATE_ID]&amp;GRAPHICS_PROPERTIES[TEMPLATE_AMENDMENT_CODE])</f>
        <v>TPL_03A</v>
      </c>
    </row>
    <row r="883" spans="1:18" x14ac:dyDescent="0.35">
      <c r="A883" t="s">
        <v>3341</v>
      </c>
      <c r="B883" s="21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4134</v>
      </c>
      <c r="F883" s="32" t="s">
        <v>2494</v>
      </c>
      <c r="G883" t="s">
        <v>1795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1" t="str">
        <f>"item_"&amp;CONTROL[[#This Row],[VEHIDCODE]]</f>
        <v>item_steam_Burnham_2_10_0_Dom_Pedro_Segundo_119</v>
      </c>
      <c r="O883" s="21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  <c r="R883" t="str" cm="1">
        <f t="array" ref="R883">_xlfn.XLOOKUP(CONTROL[[#This Row],[VEHIDCODE]],GRAPHICS_PROPERTIES[VEHIDCODE],GRAPHICS_PROPERTIES[TEMPLATE_ID]&amp;GRAPHICS_PROPERTIES[TEMPLATE_AMENDMENT_CODE])</f>
        <v>TPL_03A</v>
      </c>
    </row>
    <row r="884" spans="1:18" x14ac:dyDescent="0.35">
      <c r="A884" t="s">
        <v>3342</v>
      </c>
      <c r="B884" s="21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4135</v>
      </c>
      <c r="F884" s="32" t="s">
        <v>2495</v>
      </c>
      <c r="G884" t="s">
        <v>1796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1" t="str">
        <f>"item_"&amp;CONTROL[[#This Row],[VEHIDCODE]]</f>
        <v>item_steam_Baldwin_0_22C_No8_Monsefu</v>
      </c>
      <c r="O884" s="21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  <c r="R884" t="str" cm="1">
        <f t="array" ref="R884">_xlfn.XLOOKUP(CONTROL[[#This Row],[VEHIDCODE]],GRAPHICS_PROPERTIES[VEHIDCODE],GRAPHICS_PROPERTIES[TEMPLATE_ID]&amp;GRAPHICS_PROPERTIES[TEMPLATE_AMENDMENT_CODE])</f>
        <v>TPL_03A</v>
      </c>
    </row>
    <row r="885" spans="1:18" x14ac:dyDescent="0.35">
      <c r="A885" t="s">
        <v>3343</v>
      </c>
      <c r="B885" s="21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4136</v>
      </c>
      <c r="F885" s="32" t="s">
        <v>3544</v>
      </c>
      <c r="G885" t="s">
        <v>3545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1" t="str">
        <f>"item_"&amp;CONTROL[[#This Row],[VEHIDCODE]]</f>
        <v>item_steam_FCCP_Q_Class</v>
      </c>
      <c r="O885" s="21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  <c r="R885" t="str" cm="1">
        <f t="array" ref="R885">_xlfn.XLOOKUP(CONTROL[[#This Row],[VEHIDCODE]],GRAPHICS_PROPERTIES[VEHIDCODE],GRAPHICS_PROPERTIES[TEMPLATE_ID]&amp;GRAPHICS_PROPERTIES[TEMPLATE_AMENDMENT_CODE])</f>
        <v>TPL_03A</v>
      </c>
    </row>
    <row r="886" spans="1:18" x14ac:dyDescent="0.35">
      <c r="A886" s="2" t="s">
        <v>3344</v>
      </c>
      <c r="B886" s="21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4137</v>
      </c>
      <c r="F886" s="32" t="s">
        <v>2496</v>
      </c>
      <c r="G886" t="s">
        <v>1797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1" t="str">
        <f>"item_"&amp;CONTROL[[#This Row],[VEHIDCODE]]</f>
        <v>item_steam_NBLC_4_6_2_PS10_Class</v>
      </c>
      <c r="O886" s="21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  <c r="R886" t="str" cm="1">
        <f t="array" ref="R886">_xlfn.XLOOKUP(CONTROL[[#This Row],[VEHIDCODE]],GRAPHICS_PROPERTIES[VEHIDCODE],GRAPHICS_PROPERTIES[TEMPLATE_ID]&amp;GRAPHICS_PROPERTIES[TEMPLATE_AMENDMENT_CODE])</f>
        <v>TPL_03A</v>
      </c>
    </row>
    <row r="887" spans="1:18" x14ac:dyDescent="0.35">
      <c r="A887" t="s">
        <v>3345</v>
      </c>
      <c r="B887" s="21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4138</v>
      </c>
      <c r="F887" s="32" t="s">
        <v>2497</v>
      </c>
      <c r="G887" t="s">
        <v>1798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1" t="str">
        <f>"item_"&amp;CONTROL[[#This Row],[VEHIDCODE]]</f>
        <v>item_steam_Yorkshire_Engine_Co__4_8_4T_Nitrate_101</v>
      </c>
      <c r="O887" s="21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  <c r="R887" t="str" cm="1">
        <f t="array" ref="R887">_xlfn.XLOOKUP(CONTROL[[#This Row],[VEHIDCODE]],GRAPHICS_PROPERTIES[VEHIDCODE],GRAPHICS_PROPERTIES[TEMPLATE_ID]&amp;GRAPHICS_PROPERTIES[TEMPLATE_AMENDMENT_CODE])</f>
        <v>TPL_03C</v>
      </c>
    </row>
    <row r="888" spans="1:18" x14ac:dyDescent="0.35">
      <c r="A888" t="s">
        <v>3346</v>
      </c>
      <c r="B888" s="21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6143</v>
      </c>
      <c r="F888" s="32" t="s">
        <v>2265</v>
      </c>
      <c r="G888" t="s">
        <v>1799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1" t="str">
        <f>"item_"&amp;CONTROL[[#This Row],[VEHIDCODE]]</f>
        <v>item_electric_SLM_BBC_1_D_1</v>
      </c>
      <c r="O888" s="21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  <c r="R888" t="str" cm="1">
        <f t="array" ref="R888">_xlfn.XLOOKUP(CONTROL[[#This Row],[VEHIDCODE]],GRAPHICS_PROPERTIES[VEHIDCODE],GRAPHICS_PROPERTIES[TEMPLATE_ID]&amp;GRAPHICS_PROPERTIES[TEMPLATE_AMENDMENT_CODE])</f>
        <v>TPL_01A</v>
      </c>
    </row>
    <row r="889" spans="1:18" x14ac:dyDescent="0.35">
      <c r="A889" t="s">
        <v>3347</v>
      </c>
      <c r="B889" s="21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6144</v>
      </c>
      <c r="F889" s="32" t="s">
        <v>1801</v>
      </c>
      <c r="G889" t="s">
        <v>1802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1" t="str">
        <f>"item_"&amp;CONTROL[[#This Row],[VEHIDCODE]]</f>
        <v>item_electric_GE_2_C_C_2</v>
      </c>
      <c r="O889" s="21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  <c r="R889" t="str" cm="1">
        <f t="array" ref="R889">_xlfn.XLOOKUP(CONTROL[[#This Row],[VEHIDCODE]],GRAPHICS_PROPERTIES[VEHIDCODE],GRAPHICS_PROPERTIES[TEMPLATE_ID]&amp;GRAPHICS_PROPERTIES[TEMPLATE_AMENDMENT_CODE])</f>
        <v>TPL_01A</v>
      </c>
    </row>
    <row r="890" spans="1:18" x14ac:dyDescent="0.35">
      <c r="A890" t="s">
        <v>3348</v>
      </c>
      <c r="B890" s="21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4139</v>
      </c>
      <c r="F890" s="32" t="s">
        <v>2498</v>
      </c>
      <c r="G890" t="s">
        <v>1804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1" t="str">
        <f>"item_"&amp;CONTROL[[#This Row],[VEHIDCODE]]</f>
        <v>item_steam_Norris___Brothers_4_4_0_La_Copiapo</v>
      </c>
      <c r="O890" s="21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  <c r="R890" t="str" cm="1">
        <f t="array" ref="R890">_xlfn.XLOOKUP(CONTROL[[#This Row],[VEHIDCODE]],GRAPHICS_PROPERTIES[VEHIDCODE],GRAPHICS_PROPERTIES[TEMPLATE_ID]&amp;GRAPHICS_PROPERTIES[TEMPLATE_AMENDMENT_CODE])</f>
        <v>TPL_03A</v>
      </c>
    </row>
    <row r="891" spans="1:18" x14ac:dyDescent="0.35">
      <c r="A891" t="s">
        <v>3349</v>
      </c>
      <c r="B891" s="21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6145</v>
      </c>
      <c r="F891" s="32" t="s">
        <v>1805</v>
      </c>
      <c r="G891" t="s">
        <v>1806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1" t="str">
        <f>"item_"&amp;CONTROL[[#This Row],[VEHIDCODE]]</f>
        <v>item_electric_AEG_A1A_A1A</v>
      </c>
      <c r="O891" s="21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  <c r="R891" t="str" cm="1">
        <f t="array" ref="R891">_xlfn.XLOOKUP(CONTROL[[#This Row],[VEHIDCODE]],GRAPHICS_PROPERTIES[VEHIDCODE],GRAPHICS_PROPERTIES[TEMPLATE_ID]&amp;GRAPHICS_PROPERTIES[TEMPLATE_AMENDMENT_CODE])</f>
        <v>TPL_01A</v>
      </c>
    </row>
    <row r="892" spans="1:18" x14ac:dyDescent="0.35">
      <c r="A892" t="s">
        <v>3691</v>
      </c>
      <c r="B892" s="21" t="str">
        <f>_xlfn.TEXTAFTER(CONTROL[[#This Row],[VEHIDCODE]],"_")</f>
        <v>Ganz_Bariloche_DMU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7054</v>
      </c>
      <c r="F892" s="32" t="s">
        <v>3692</v>
      </c>
      <c r="G892" t="s">
        <v>1937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1" t="str">
        <f>"item_"&amp;CONTROL[[#This Row],[VEHIDCODE]]</f>
        <v>item_dmu_Ganz_Bariloche_DMU</v>
      </c>
      <c r="O892" s="21" t="str">
        <f>"str_"&amp;CONTROL[[#This Row],[VEHIDCODE]]</f>
        <v>str_dmu_Ganz_Bariloche_DMU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  <c r="R892" t="str" cm="1">
        <f t="array" ref="R892">_xlfn.XLOOKUP(CONTROL[[#This Row],[VEHIDCODE]],GRAPHICS_PROPERTIES[VEHIDCODE],GRAPHICS_PROPERTIES[TEMPLATE_ID]&amp;GRAPHICS_PROPERTIES[TEMPLATE_AMENDMENT_CODE])</f>
        <v>TPL_02A</v>
      </c>
    </row>
    <row r="893" spans="1:18" x14ac:dyDescent="0.35">
      <c r="A893" t="s">
        <v>3350</v>
      </c>
      <c r="B893" s="21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4140</v>
      </c>
      <c r="F893" s="32" t="s">
        <v>2499</v>
      </c>
      <c r="G893" t="s">
        <v>1807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1" t="str">
        <f>"item_"&amp;CONTROL[[#This Row],[VEHIDCODE]]</f>
        <v>item_steam_Avonside_0_6_0ST_Sao_Paulo_No__13___14</v>
      </c>
      <c r="O893" s="21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  <c r="R893" t="str" cm="1">
        <f t="array" ref="R893">_xlfn.XLOOKUP(CONTROL[[#This Row],[VEHIDCODE]],GRAPHICS_PROPERTIES[VEHIDCODE],GRAPHICS_PROPERTIES[TEMPLATE_ID]&amp;GRAPHICS_PROPERTIES[TEMPLATE_AMENDMENT_CODE])</f>
        <v>TPL_03A</v>
      </c>
    </row>
    <row r="894" spans="1:18" x14ac:dyDescent="0.35">
      <c r="A894" t="s">
        <v>3690</v>
      </c>
      <c r="B894" s="21" t="str">
        <f>_xlfn.TEXTAFTER(CONTROL[[#This Row],[VEHIDCODE]],"_")</f>
        <v>Ganz_CMU_4701_Transandino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7055</v>
      </c>
      <c r="F894" s="32" t="s">
        <v>3693</v>
      </c>
      <c r="G894" t="s">
        <v>1808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1" t="str">
        <f>"item_"&amp;CONTROL[[#This Row],[VEHIDCODE]]</f>
        <v>item_dmu_Ganz_CMU_4701_Transandino</v>
      </c>
      <c r="O894" s="21" t="str">
        <f>"str_"&amp;CONTROL[[#This Row],[VEHIDCODE]]</f>
        <v>str_dmu_Ganz_CMU_4701_Transandino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  <c r="R894" t="str" cm="1">
        <f t="array" ref="R894">_xlfn.XLOOKUP(CONTROL[[#This Row],[VEHIDCODE]],GRAPHICS_PROPERTIES[VEHIDCODE],GRAPHICS_PROPERTIES[TEMPLATE_ID]&amp;GRAPHICS_PROPERTIES[TEMPLATE_AMENDMENT_CODE])</f>
        <v>TPL_02A</v>
      </c>
    </row>
    <row r="895" spans="1:18" x14ac:dyDescent="0.35">
      <c r="A895" t="s">
        <v>3351</v>
      </c>
      <c r="B895" s="21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8079</v>
      </c>
      <c r="F895" s="32" t="s">
        <v>2500</v>
      </c>
      <c r="G895" s="34" t="s">
        <v>1809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1" t="str">
        <f>"item_"&amp;CONTROL[[#This Row],[VEHIDCODE]]</f>
        <v>item_emu_Kawasaki_Hitachi_AEZ_Railcar</v>
      </c>
      <c r="O895" s="21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  <c r="R895" t="str" cm="1">
        <f t="array" ref="R895">_xlfn.XLOOKUP(CONTROL[[#This Row],[VEHIDCODE]],GRAPHICS_PROPERTIES[VEHIDCODE],GRAPHICS_PROPERTIES[TEMPLATE_ID]&amp;GRAPHICS_PROPERTIES[TEMPLATE_AMENDMENT_CODE])</f>
        <v>TPL_02A</v>
      </c>
    </row>
    <row r="896" spans="1:18" x14ac:dyDescent="0.35">
      <c r="A896" t="s">
        <v>3352</v>
      </c>
      <c r="B896" s="21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8080</v>
      </c>
      <c r="F896" s="32" t="s">
        <v>1810</v>
      </c>
      <c r="G896" t="s">
        <v>523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1" t="str">
        <f>"item_"&amp;CONTROL[[#This Row],[VEHIDCODE]]</f>
        <v>item_emu_BREL_GEC_Auckland_ART_Concept</v>
      </c>
      <c r="O896" s="21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  <c r="R896" t="str" cm="1">
        <f t="array" ref="R896">_xlfn.XLOOKUP(CONTROL[[#This Row],[VEHIDCODE]],GRAPHICS_PROPERTIES[VEHIDCODE],GRAPHICS_PROPERTIES[TEMPLATE_ID]&amp;GRAPHICS_PROPERTIES[TEMPLATE_AMENDMENT_CODE])</f>
        <v>TPL_02A</v>
      </c>
    </row>
    <row r="897" spans="1:18" x14ac:dyDescent="0.35">
      <c r="A897" t="s">
        <v>3353</v>
      </c>
      <c r="B897" s="21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7056</v>
      </c>
      <c r="F897" s="32" t="s">
        <v>2501</v>
      </c>
      <c r="G897" t="s">
        <v>1811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1" t="str">
        <f>"item_"&amp;CONTROL[[#This Row],[VEHIDCODE]]</f>
        <v>item_dmu_Comeng_1100_Railcar</v>
      </c>
      <c r="O897" s="21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  <c r="R897" t="str" cm="1">
        <f t="array" ref="R897">_xlfn.XLOOKUP(CONTROL[[#This Row],[VEHIDCODE]],GRAPHICS_PROPERTIES[VEHIDCODE],GRAPHICS_PROPERTIES[TEMPLATE_ID]&amp;GRAPHICS_PROPERTIES[TEMPLATE_AMENDMENT_CODE])</f>
        <v>TPL_02A</v>
      </c>
    </row>
    <row r="898" spans="1:18" x14ac:dyDescent="0.35">
      <c r="A898" t="s">
        <v>3354</v>
      </c>
      <c r="B898" s="21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7057</v>
      </c>
      <c r="F898" s="32" t="s">
        <v>1813</v>
      </c>
      <c r="G898" t="s">
        <v>523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1" t="str">
        <f>"item_"&amp;CONTROL[[#This Row],[VEHIDCODE]]</f>
        <v>item_dmu_Thai_Comeng_XPT_Concept</v>
      </c>
      <c r="O898" s="21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  <c r="R898" t="str" cm="1">
        <f t="array" ref="R898">_xlfn.XLOOKUP(CONTROL[[#This Row],[VEHIDCODE]],GRAPHICS_PROPERTIES[VEHIDCODE],GRAPHICS_PROPERTIES[TEMPLATE_ID]&amp;GRAPHICS_PROPERTIES[TEMPLATE_AMENDMENT_CODE])</f>
        <v>TPL_02A</v>
      </c>
    </row>
    <row r="899" spans="1:18" x14ac:dyDescent="0.35">
      <c r="A899" s="2" t="s">
        <v>3355</v>
      </c>
      <c r="B899" s="21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7058</v>
      </c>
      <c r="F899" s="32" t="s">
        <v>2502</v>
      </c>
      <c r="G899" t="s">
        <v>1814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1" t="str">
        <f>"item_"&amp;CONTROL[[#This Row],[VEHIDCODE]]</f>
        <v>item_dmu_Comeng_NSW_XPT</v>
      </c>
      <c r="O899" s="21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  <c r="R899" t="str" cm="1">
        <f t="array" ref="R899">_xlfn.XLOOKUP(CONTROL[[#This Row],[VEHIDCODE]],GRAPHICS_PROPERTIES[VEHIDCODE],GRAPHICS_PROPERTIES[TEMPLATE_ID]&amp;GRAPHICS_PROPERTIES[TEMPLATE_AMENDMENT_CODE])</f>
        <v>TPL_02A</v>
      </c>
    </row>
    <row r="900" spans="1:18" x14ac:dyDescent="0.35">
      <c r="A900" t="s">
        <v>3356</v>
      </c>
      <c r="B900" s="21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8081</v>
      </c>
      <c r="F900" s="32" t="s">
        <v>1815</v>
      </c>
      <c r="G900" t="s">
        <v>523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1" t="str">
        <f>"item_"&amp;CONTROL[[#This Row],[VEHIDCODE]]</f>
        <v>item_emu_Tangara_V_Set_Hybrid_Concept</v>
      </c>
      <c r="O900" s="21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  <c r="R900" t="str" cm="1">
        <f t="array" ref="R900">_xlfn.XLOOKUP(CONTROL[[#This Row],[VEHIDCODE]],GRAPHICS_PROPERTIES[VEHIDCODE],GRAPHICS_PROPERTIES[TEMPLATE_ID]&amp;GRAPHICS_PROPERTIES[TEMPLATE_AMENDMENT_CODE])</f>
        <v>TPL_02A</v>
      </c>
    </row>
    <row r="901" spans="1:18" x14ac:dyDescent="0.35">
      <c r="A901" t="s">
        <v>3357</v>
      </c>
      <c r="B901" s="21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7059</v>
      </c>
      <c r="F901" s="32" t="s">
        <v>1816</v>
      </c>
      <c r="G901" t="s">
        <v>1817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1" t="str">
        <f>"item_"&amp;CONTROL[[#This Row],[VEHIDCODE]]</f>
        <v>item_dmu_NSWGR_800_900_DEB</v>
      </c>
      <c r="O901" s="21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  <c r="R901" t="str" cm="1">
        <f t="array" ref="R901">_xlfn.XLOOKUP(CONTROL[[#This Row],[VEHIDCODE]],GRAPHICS_PROPERTIES[VEHIDCODE],GRAPHICS_PROPERTIES[TEMPLATE_ID]&amp;GRAPHICS_PROPERTIES[TEMPLATE_AMENDMENT_CODE])</f>
        <v>TPL_02A</v>
      </c>
    </row>
    <row r="902" spans="1:18" x14ac:dyDescent="0.35">
      <c r="A902" t="s">
        <v>3358</v>
      </c>
      <c r="B902" s="21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8082</v>
      </c>
      <c r="F902" s="32" t="s">
        <v>2503</v>
      </c>
      <c r="G902" t="s">
        <v>1818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1" t="str">
        <f>"item_"&amp;CONTROL[[#This Row],[VEHIDCODE]]</f>
        <v>item_emu_Goninan_Tangara_4D_Prototype</v>
      </c>
      <c r="O902" s="21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  <c r="R902" t="str" cm="1">
        <f t="array" ref="R902">_xlfn.XLOOKUP(CONTROL[[#This Row],[VEHIDCODE]],GRAPHICS_PROPERTIES[VEHIDCODE],GRAPHICS_PROPERTIES[TEMPLATE_ID]&amp;GRAPHICS_PROPERTIES[TEMPLATE_AMENDMENT_CODE])</f>
        <v>TPL_02A</v>
      </c>
    </row>
    <row r="903" spans="1:18" x14ac:dyDescent="0.35">
      <c r="A903" t="s">
        <v>3359</v>
      </c>
      <c r="B903" s="21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8083</v>
      </c>
      <c r="F903" s="32" t="s">
        <v>2504</v>
      </c>
      <c r="G903" t="s">
        <v>1820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1" t="str">
        <f>"item_"&amp;CONTROL[[#This Row],[VEHIDCODE]]</f>
        <v>item_emu_Goninan_Tangara_T_Set</v>
      </c>
      <c r="O903" s="21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  <c r="R903" t="str" cm="1">
        <f t="array" ref="R903">_xlfn.XLOOKUP(CONTROL[[#This Row],[VEHIDCODE]],GRAPHICS_PROPERTIES[VEHIDCODE],GRAPHICS_PROPERTIES[TEMPLATE_ID]&amp;GRAPHICS_PROPERTIES[TEMPLATE_AMENDMENT_CODE])</f>
        <v>TPL_02A</v>
      </c>
    </row>
    <row r="904" spans="1:18" x14ac:dyDescent="0.35">
      <c r="A904" t="s">
        <v>3360</v>
      </c>
      <c r="B904" s="21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7060</v>
      </c>
      <c r="F904" s="32" t="s">
        <v>1819</v>
      </c>
      <c r="G904" t="s">
        <v>1821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1" t="str">
        <f>"item_"&amp;CONTROL[[#This Row],[VEHIDCODE]]</f>
        <v>item_dmu_NSWGR_600_700</v>
      </c>
      <c r="O904" s="21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  <c r="R904" t="str" cm="1">
        <f t="array" ref="R904">_xlfn.XLOOKUP(CONTROL[[#This Row],[VEHIDCODE]],GRAPHICS_PROPERTIES[VEHIDCODE],GRAPHICS_PROPERTIES[TEMPLATE_ID]&amp;GRAPHICS_PROPERTIES[TEMPLATE_AMENDMENT_CODE])</f>
        <v>TPL_02A</v>
      </c>
    </row>
    <row r="905" spans="1:18" x14ac:dyDescent="0.35">
      <c r="A905" t="s">
        <v>3361</v>
      </c>
      <c r="B905" s="21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7061</v>
      </c>
      <c r="F905" s="32" t="s">
        <v>2505</v>
      </c>
      <c r="G905" t="s">
        <v>1822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1" t="str">
        <f>"item_"&amp;CONTROL[[#This Row],[VEHIDCODE]]</f>
        <v>item_dmu_Kawasaki_RM_Silver_Fern</v>
      </c>
      <c r="O905" s="21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  <c r="R905" t="str" cm="1">
        <f t="array" ref="R905">_xlfn.XLOOKUP(CONTROL[[#This Row],[VEHIDCODE]],GRAPHICS_PROPERTIES[VEHIDCODE],GRAPHICS_PROPERTIES[TEMPLATE_ID]&amp;GRAPHICS_PROPERTIES[TEMPLATE_AMENDMENT_CODE])</f>
        <v>TPL_02A</v>
      </c>
    </row>
    <row r="906" spans="1:18" x14ac:dyDescent="0.35">
      <c r="A906" t="s">
        <v>3362</v>
      </c>
      <c r="B906" s="21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8084</v>
      </c>
      <c r="F906" s="32" t="s">
        <v>2506</v>
      </c>
      <c r="G906" t="s">
        <v>1823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1" t="str">
        <f>"item_"&amp;CONTROL[[#This Row],[VEHIDCODE]]</f>
        <v>item_emu_Comeng_W_Class_Sputnik</v>
      </c>
      <c r="O906" s="21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  <c r="R906" t="str" cm="1">
        <f t="array" ref="R906">_xlfn.XLOOKUP(CONTROL[[#This Row],[VEHIDCODE]],GRAPHICS_PROPERTIES[VEHIDCODE],GRAPHICS_PROPERTIES[TEMPLATE_ID]&amp;GRAPHICS_PROPERTIES[TEMPLATE_AMENDMENT_CODE])</f>
        <v>TPL_02A</v>
      </c>
    </row>
    <row r="907" spans="1:18" x14ac:dyDescent="0.35">
      <c r="A907" t="s">
        <v>3363</v>
      </c>
      <c r="B907" s="21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8085</v>
      </c>
      <c r="F907" s="32" t="s">
        <v>2507</v>
      </c>
      <c r="G907" t="s">
        <v>1828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1" t="str">
        <f>"item_"&amp;CONTROL[[#This Row],[VEHIDCODE]]</f>
        <v>item_emu_Leeds_Clyde_Standard_EMU</v>
      </c>
      <c r="O907" s="21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  <c r="R907" t="str" cm="1">
        <f t="array" ref="R907">_xlfn.XLOOKUP(CONTROL[[#This Row],[VEHIDCODE]],GRAPHICS_PROPERTIES[VEHIDCODE],GRAPHICS_PROPERTIES[TEMPLATE_ID]&amp;GRAPHICS_PROPERTIES[TEMPLATE_AMENDMENT_CODE])</f>
        <v>TPL_02A</v>
      </c>
    </row>
    <row r="908" spans="1:18" x14ac:dyDescent="0.35">
      <c r="A908" t="s">
        <v>3364</v>
      </c>
      <c r="B908" s="21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8086</v>
      </c>
      <c r="F908" s="32" t="s">
        <v>1829</v>
      </c>
      <c r="G908" t="s">
        <v>1830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1" t="str">
        <f>"item_"&amp;CONTROL[[#This Row],[VEHIDCODE]]</f>
        <v>item_emu_NSWGR_Tulloch_EMU</v>
      </c>
      <c r="O908" s="21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  <c r="R908" t="str" cm="1">
        <f t="array" ref="R908">_xlfn.XLOOKUP(CONTROL[[#This Row],[VEHIDCODE]],GRAPHICS_PROPERTIES[VEHIDCODE],GRAPHICS_PROPERTIES[TEMPLATE_ID]&amp;GRAPHICS_PROPERTIES[TEMPLATE_AMENDMENT_CODE])</f>
        <v>TPL_02A</v>
      </c>
    </row>
    <row r="909" spans="1:18" x14ac:dyDescent="0.35">
      <c r="A909" t="s">
        <v>3365</v>
      </c>
      <c r="B909" s="21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8087</v>
      </c>
      <c r="F909" s="32" t="s">
        <v>2508</v>
      </c>
      <c r="G909" t="s">
        <v>1831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1" t="str">
        <f>"item_"&amp;CONTROL[[#This Row],[VEHIDCODE]]</f>
        <v>item_emu_Alstom_XTrapolis_100_Melbourne</v>
      </c>
      <c r="O909" s="21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1</v>
      </c>
      <c r="R909" t="str" cm="1">
        <f t="array" ref="R909">_xlfn.XLOOKUP(CONTROL[[#This Row],[VEHIDCODE]],GRAPHICS_PROPERTIES[VEHIDCODE],GRAPHICS_PROPERTIES[TEMPLATE_ID]&amp;GRAPHICS_PROPERTIES[TEMPLATE_AMENDMENT_CODE])</f>
        <v>TPL_02A</v>
      </c>
    </row>
    <row r="910" spans="1:18" x14ac:dyDescent="0.35">
      <c r="A910" t="s">
        <v>1832</v>
      </c>
      <c r="B910" s="21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11073</v>
      </c>
      <c r="F910" s="32" t="s">
        <v>3572</v>
      </c>
      <c r="G910" t="s">
        <v>523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1" t="str">
        <f>"item_"&amp;CONTROL[[#This Row],[VEHIDCODE]]</f>
        <v>item_mu_Coach_Gen1_American_Style_NZAUS_Coach</v>
      </c>
      <c r="O910" s="21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  <c r="R910" t="str" cm="1">
        <f t="array" ref="R910">_xlfn.XLOOKUP(CONTROL[[#This Row],[VEHIDCODE]],GRAPHICS_PROPERTIES[VEHIDCODE],GRAPHICS_PROPERTIES[TEMPLATE_ID]&amp;GRAPHICS_PROPERTIES[TEMPLATE_AMENDMENT_CODE])</f>
        <v>TPL_04U</v>
      </c>
    </row>
    <row r="911" spans="1:18" x14ac:dyDescent="0.35">
      <c r="A911" t="s">
        <v>1834</v>
      </c>
      <c r="B911" s="21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11074</v>
      </c>
      <c r="F911" s="32" t="s">
        <v>3573</v>
      </c>
      <c r="G911" t="s">
        <v>523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1" t="str">
        <f>"item_"&amp;CONTROL[[#This Row],[VEHIDCODE]]</f>
        <v>item_mu_Coach_Gen1_American_Style_NZAUS_Mail_Coach</v>
      </c>
      <c r="O911" s="21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  <c r="R911" t="str" cm="1">
        <f t="array" ref="R911">_xlfn.XLOOKUP(CONTROL[[#This Row],[VEHIDCODE]],GRAPHICS_PROPERTIES[VEHIDCODE],GRAPHICS_PROPERTIES[TEMPLATE_ID]&amp;GRAPHICS_PROPERTIES[TEMPLATE_AMENDMENT_CODE])</f>
        <v>TPL_04U</v>
      </c>
    </row>
    <row r="912" spans="1:18" x14ac:dyDescent="0.35">
      <c r="A912" t="s">
        <v>1835</v>
      </c>
      <c r="B912" s="21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11075</v>
      </c>
      <c r="F912" s="32" t="s">
        <v>1837</v>
      </c>
      <c r="G912" t="s">
        <v>523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1" t="str">
        <f>"item_"&amp;CONTROL[[#This Row],[VEHIDCODE]]</f>
        <v>item_mu_Coach_Gen1_2_Axle_NZAUS_Coach</v>
      </c>
      <c r="O912" s="21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  <c r="R912" t="str" cm="1">
        <f t="array" ref="R912">_xlfn.XLOOKUP(CONTROL[[#This Row],[VEHIDCODE]],GRAPHICS_PROPERTIES[VEHIDCODE],GRAPHICS_PROPERTIES[TEMPLATE_ID]&amp;GRAPHICS_PROPERTIES[TEMPLATE_AMENDMENT_CODE])</f>
        <v>TPL_04U</v>
      </c>
    </row>
    <row r="913" spans="1:18" x14ac:dyDescent="0.35">
      <c r="A913" t="s">
        <v>1836</v>
      </c>
      <c r="B913" s="21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11076</v>
      </c>
      <c r="F913" s="32" t="s">
        <v>1838</v>
      </c>
      <c r="G913" t="s">
        <v>523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1" t="str">
        <f>"item_"&amp;CONTROL[[#This Row],[VEHIDCODE]]</f>
        <v>item_mu_Coach_Gen1_2_Axle_NZAUS_Mail_Coach</v>
      </c>
      <c r="O913" s="21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  <c r="R913" t="str" cm="1">
        <f t="array" ref="R913">_xlfn.XLOOKUP(CONTROL[[#This Row],[VEHIDCODE]],GRAPHICS_PROPERTIES[VEHIDCODE],GRAPHICS_PROPERTIES[TEMPLATE_ID]&amp;GRAPHICS_PROPERTIES[TEMPLATE_AMENDMENT_CODE])</f>
        <v>TPL_04U</v>
      </c>
    </row>
    <row r="914" spans="1:18" x14ac:dyDescent="0.35">
      <c r="A914" t="s">
        <v>1839</v>
      </c>
      <c r="B914" s="21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11077</v>
      </c>
      <c r="F914" s="32" t="s">
        <v>1841</v>
      </c>
      <c r="G914" t="s">
        <v>523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1" t="str">
        <f>"item_"&amp;CONTROL[[#This Row],[VEHIDCODE]]</f>
        <v>item_mu_Coach_Gen1_End_Platform_2_Axle_NZAUS_Coach</v>
      </c>
      <c r="O914" s="21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  <c r="R914" t="str" cm="1">
        <f t="array" ref="R914">_xlfn.XLOOKUP(CONTROL[[#This Row],[VEHIDCODE]],GRAPHICS_PROPERTIES[VEHIDCODE],GRAPHICS_PROPERTIES[TEMPLATE_ID]&amp;GRAPHICS_PROPERTIES[TEMPLATE_AMENDMENT_CODE])</f>
        <v>TPL_04U</v>
      </c>
    </row>
    <row r="915" spans="1:18" x14ac:dyDescent="0.35">
      <c r="A915" t="s">
        <v>1840</v>
      </c>
      <c r="B915" s="21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11078</v>
      </c>
      <c r="F915" s="32" t="s">
        <v>1842</v>
      </c>
      <c r="G915" t="s">
        <v>523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1" t="str">
        <f>"item_"&amp;CONTROL[[#This Row],[VEHIDCODE]]</f>
        <v>item_mu_Coach_Gen1_Suburban_2_Axle_NZAUS_Coach</v>
      </c>
      <c r="O915" s="21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  <c r="R915" t="str" cm="1">
        <f t="array" ref="R915">_xlfn.XLOOKUP(CONTROL[[#This Row],[VEHIDCODE]],GRAPHICS_PROPERTIES[VEHIDCODE],GRAPHICS_PROPERTIES[TEMPLATE_ID]&amp;GRAPHICS_PROPERTIES[TEMPLATE_AMENDMENT_CODE])</f>
        <v>TPL_04U</v>
      </c>
    </row>
    <row r="916" spans="1:18" x14ac:dyDescent="0.35">
      <c r="A916" t="s">
        <v>1843</v>
      </c>
      <c r="B916" s="21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11079</v>
      </c>
      <c r="F916" s="32" t="s">
        <v>2509</v>
      </c>
      <c r="G916" t="s">
        <v>1845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1" t="str">
        <f>"item_"&amp;CONTROL[[#This Row],[VEHIDCODE]]</f>
        <v>item_mu_Coach_Gen4_BREL_Mk3_Coach</v>
      </c>
      <c r="O916" s="21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  <c r="R916" t="str" cm="1">
        <f t="array" ref="R916">_xlfn.XLOOKUP(CONTROL[[#This Row],[VEHIDCODE]],GRAPHICS_PROPERTIES[VEHIDCODE],GRAPHICS_PROPERTIES[TEMPLATE_ID]&amp;GRAPHICS_PROPERTIES[TEMPLATE_AMENDMENT_CODE])</f>
        <v>TPL_04A</v>
      </c>
    </row>
    <row r="917" spans="1:18" x14ac:dyDescent="0.35">
      <c r="A917" t="s">
        <v>1844</v>
      </c>
      <c r="B917" s="21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11080</v>
      </c>
      <c r="F917" s="32" t="s">
        <v>2510</v>
      </c>
      <c r="G917" t="s">
        <v>1845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1" t="str">
        <f>"item_"&amp;CONTROL[[#This Row],[VEHIDCODE]]</f>
        <v>item_mu_Coach_Gen4_BREL_Mk3_Mail_Coach</v>
      </c>
      <c r="O917" s="21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  <c r="R917" t="str" cm="1">
        <f t="array" ref="R917">_xlfn.XLOOKUP(CONTROL[[#This Row],[VEHIDCODE]],GRAPHICS_PROPERTIES[VEHIDCODE],GRAPHICS_PROPERTIES[TEMPLATE_ID]&amp;GRAPHICS_PROPERTIES[TEMPLATE_AMENDMENT_CODE])</f>
        <v>TPL_04U</v>
      </c>
    </row>
    <row r="918" spans="1:18" x14ac:dyDescent="0.35">
      <c r="A918" t="s">
        <v>1846</v>
      </c>
      <c r="B918" s="21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11081</v>
      </c>
      <c r="F918" s="32" t="s">
        <v>1847</v>
      </c>
      <c r="G918" t="s">
        <v>523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1" t="str">
        <f>"item_"&amp;CONTROL[[#This Row],[VEHIDCODE]]</f>
        <v>item_mu_Coach_Gen4_Comeng_Suburban_Double_Deck_SA2000</v>
      </c>
      <c r="O918" s="21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  <c r="R918" t="str" cm="1">
        <f t="array" ref="R918">_xlfn.XLOOKUP(CONTROL[[#This Row],[VEHIDCODE]],GRAPHICS_PROPERTIES[VEHIDCODE],GRAPHICS_PROPERTIES[TEMPLATE_ID]&amp;GRAPHICS_PROPERTIES[TEMPLATE_AMENDMENT_CODE])</f>
        <v>TPL_04U</v>
      </c>
    </row>
    <row r="919" spans="1:18" x14ac:dyDescent="0.35">
      <c r="A919" t="s">
        <v>1848</v>
      </c>
      <c r="B919" s="21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11082</v>
      </c>
      <c r="F919" s="32" t="s">
        <v>3546</v>
      </c>
      <c r="G919" t="s">
        <v>523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1" t="str">
        <f>"item_"&amp;CONTROL[[#This Row],[VEHIDCODE]]</f>
        <v>item_mu_Coach_Gen4_Gonian_4D_Concept</v>
      </c>
      <c r="O919" s="21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  <c r="R919" t="str" cm="1">
        <f t="array" ref="R919">_xlfn.XLOOKUP(CONTROL[[#This Row],[VEHIDCODE]],GRAPHICS_PROPERTIES[VEHIDCODE],GRAPHICS_PROPERTIES[TEMPLATE_ID]&amp;GRAPHICS_PROPERTIES[TEMPLATE_AMENDMENT_CODE])</f>
        <v>TPL_04U</v>
      </c>
    </row>
    <row r="920" spans="1:18" x14ac:dyDescent="0.35">
      <c r="A920" s="2" t="s">
        <v>1849</v>
      </c>
      <c r="B920" s="21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11083</v>
      </c>
      <c r="F920" s="32" t="s">
        <v>1850</v>
      </c>
      <c r="G920" t="s">
        <v>523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1" t="str">
        <f>"item_"&amp;CONTROL[[#This Row],[VEHIDCODE]]</f>
        <v>item_mu_Coach_Gen4_Gonian_Tangara_Concept</v>
      </c>
      <c r="O920" s="21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  <c r="R920" t="str" cm="1">
        <f t="array" ref="R920">_xlfn.XLOOKUP(CONTROL[[#This Row],[VEHIDCODE]],GRAPHICS_PROPERTIES[VEHIDCODE],GRAPHICS_PROPERTIES[TEMPLATE_ID]&amp;GRAPHICS_PROPERTIES[TEMPLATE_AMENDMENT_CODE])</f>
        <v>TPL_04U</v>
      </c>
    </row>
    <row r="921" spans="1:18" x14ac:dyDescent="0.35">
      <c r="A921" t="s">
        <v>1851</v>
      </c>
      <c r="B921" s="21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11084</v>
      </c>
      <c r="F921" s="32" t="s">
        <v>1852</v>
      </c>
      <c r="G921" t="s">
        <v>1873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1" t="str">
        <f>"item_"&amp;CONTROL[[#This Row],[VEHIDCODE]]</f>
        <v>item_mu_Coach_Gen3_Hitachi_Nippon_Sharyo_Silver_Star_Coach</v>
      </c>
      <c r="O921" s="21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  <c r="R921" t="str" cm="1">
        <f t="array" ref="R921">_xlfn.XLOOKUP(CONTROL[[#This Row],[VEHIDCODE]],GRAPHICS_PROPERTIES[VEHIDCODE],GRAPHICS_PROPERTIES[TEMPLATE_ID]&amp;GRAPHICS_PROPERTIES[TEMPLATE_AMENDMENT_CODE])</f>
        <v>TPL_04U</v>
      </c>
    </row>
    <row r="922" spans="1:18" x14ac:dyDescent="0.35">
      <c r="A922" t="s">
        <v>1853</v>
      </c>
      <c r="B922" s="21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11085</v>
      </c>
      <c r="F922" s="32" t="s">
        <v>1854</v>
      </c>
      <c r="G922" t="s">
        <v>1873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1" t="str">
        <f>"item_"&amp;CONTROL[[#This Row],[VEHIDCODE]]</f>
        <v>item_mu_Coach_Gen3_Hitachi_Nippon_Sharyo_Silver_Star_Mail_Coach</v>
      </c>
      <c r="O922" s="21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  <c r="R922" t="str" cm="1">
        <f t="array" ref="R922">_xlfn.XLOOKUP(CONTROL[[#This Row],[VEHIDCODE]],GRAPHICS_PROPERTIES[VEHIDCODE],GRAPHICS_PROPERTIES[TEMPLATE_ID]&amp;GRAPHICS_PROPERTIES[TEMPLATE_AMENDMENT_CODE])</f>
        <v>TPL_04U</v>
      </c>
    </row>
    <row r="923" spans="1:18" x14ac:dyDescent="0.35">
      <c r="A923" t="s">
        <v>1855</v>
      </c>
      <c r="B923" s="21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11086</v>
      </c>
      <c r="F923" s="32" t="s">
        <v>1857</v>
      </c>
      <c r="G923" t="s">
        <v>523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1" t="str">
        <f>"item_"&amp;CONTROL[[#This Row],[VEHIDCODE]]</f>
        <v>item_mu_Coach_Gen3_Comeng_High_Speed_Coach</v>
      </c>
      <c r="O923" s="21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  <c r="R923" t="str" cm="1">
        <f t="array" ref="R923">_xlfn.XLOOKUP(CONTROL[[#This Row],[VEHIDCODE]],GRAPHICS_PROPERTIES[VEHIDCODE],GRAPHICS_PROPERTIES[TEMPLATE_ID]&amp;GRAPHICS_PROPERTIES[TEMPLATE_AMENDMENT_CODE])</f>
        <v>TPL_04U</v>
      </c>
    </row>
    <row r="924" spans="1:18" x14ac:dyDescent="0.35">
      <c r="A924" t="s">
        <v>1856</v>
      </c>
      <c r="B924" s="21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11087</v>
      </c>
      <c r="F924" s="32" t="s">
        <v>1858</v>
      </c>
      <c r="G924" t="s">
        <v>523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1" t="str">
        <f>"item_"&amp;CONTROL[[#This Row],[VEHIDCODE]]</f>
        <v>item_mu_Coach_Gen3_Comeng_High_Speed_Mail_Coach</v>
      </c>
      <c r="O924" s="21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  <c r="R924" t="str" cm="1">
        <f t="array" ref="R924">_xlfn.XLOOKUP(CONTROL[[#This Row],[VEHIDCODE]],GRAPHICS_PROPERTIES[VEHIDCODE],GRAPHICS_PROPERTIES[TEMPLATE_ID]&amp;GRAPHICS_PROPERTIES[TEMPLATE_AMENDMENT_CODE])</f>
        <v>TPL_04U</v>
      </c>
    </row>
    <row r="925" spans="1:18" x14ac:dyDescent="0.35">
      <c r="A925" t="s">
        <v>1860</v>
      </c>
      <c r="B925" s="21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11088</v>
      </c>
      <c r="F925" s="32" t="s">
        <v>1859</v>
      </c>
      <c r="G925" t="s">
        <v>523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1" t="str">
        <f>"item_"&amp;CONTROL[[#This Row],[VEHIDCODE]]</f>
        <v>item_mu_Coach_Gen4_Comeng_HType_Suburban_Coach</v>
      </c>
      <c r="O925" s="21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  <c r="R925" t="str" cm="1">
        <f t="array" ref="R925">_xlfn.XLOOKUP(CONTROL[[#This Row],[VEHIDCODE]],GRAPHICS_PROPERTIES[VEHIDCODE],GRAPHICS_PROPERTIES[TEMPLATE_ID]&amp;GRAPHICS_PROPERTIES[TEMPLATE_AMENDMENT_CODE])</f>
        <v>TPL_04U</v>
      </c>
    </row>
    <row r="926" spans="1:18" x14ac:dyDescent="0.35">
      <c r="A926" t="s">
        <v>1862</v>
      </c>
      <c r="B926" s="21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11089</v>
      </c>
      <c r="F926" s="32" t="s">
        <v>1861</v>
      </c>
      <c r="G926" t="s">
        <v>1830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1" t="str">
        <f>"item_"&amp;CONTROL[[#This Row],[VEHIDCODE]]</f>
        <v>item_mu_Coach_Gen3_NSW_Tulloch_RUB_Stock_Coach</v>
      </c>
      <c r="O926" s="21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  <c r="R926" t="str" cm="1">
        <f t="array" ref="R926">_xlfn.XLOOKUP(CONTROL[[#This Row],[VEHIDCODE]],GRAPHICS_PROPERTIES[VEHIDCODE],GRAPHICS_PROPERTIES[TEMPLATE_ID]&amp;GRAPHICS_PROPERTIES[TEMPLATE_AMENDMENT_CODE])</f>
        <v>TPL_04U</v>
      </c>
    </row>
    <row r="927" spans="1:18" x14ac:dyDescent="0.35">
      <c r="A927" t="s">
        <v>1863</v>
      </c>
      <c r="B927" s="21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11090</v>
      </c>
      <c r="F927" s="32" t="s">
        <v>1864</v>
      </c>
      <c r="G927" t="s">
        <v>1830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1" t="str">
        <f>"item_"&amp;CONTROL[[#This Row],[VEHIDCODE]]</f>
        <v>item_mu_Coach_Gen3_NSW_Tulloch_RUB_Stock_Mail_Coach</v>
      </c>
      <c r="O927" s="21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  <c r="R927" t="str" cm="1">
        <f t="array" ref="R927">_xlfn.XLOOKUP(CONTROL[[#This Row],[VEHIDCODE]],GRAPHICS_PROPERTIES[VEHIDCODE],GRAPHICS_PROPERTIES[TEMPLATE_ID]&amp;GRAPHICS_PROPERTIES[TEMPLATE_AMENDMENT_CODE])</f>
        <v>TPL_04U</v>
      </c>
    </row>
    <row r="928" spans="1:18" x14ac:dyDescent="0.35">
      <c r="A928" t="s">
        <v>1865</v>
      </c>
      <c r="B928" s="21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11091</v>
      </c>
      <c r="F928" s="32" t="s">
        <v>1866</v>
      </c>
      <c r="G928" t="s">
        <v>1871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1" t="str">
        <f>"item_"&amp;CONTROL[[#This Row],[VEHIDCODE]]</f>
        <v>item_mu_Coach_Gen3_WAGR_AY_Suburban_Coach</v>
      </c>
      <c r="O928" s="21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  <c r="R928" t="str" cm="1">
        <f t="array" ref="R928">_xlfn.XLOOKUP(CONTROL[[#This Row],[VEHIDCODE]],GRAPHICS_PROPERTIES[VEHIDCODE],GRAPHICS_PROPERTIES[TEMPLATE_ID]&amp;GRAPHICS_PROPERTIES[TEMPLATE_AMENDMENT_CODE])</f>
        <v>TPL_04U</v>
      </c>
    </row>
    <row r="929" spans="1:18" x14ac:dyDescent="0.35">
      <c r="A929" t="s">
        <v>1867</v>
      </c>
      <c r="B929" s="21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11092</v>
      </c>
      <c r="F929" s="32" t="s">
        <v>1869</v>
      </c>
      <c r="G929" t="s">
        <v>1872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1" t="str">
        <f>"item_"&amp;CONTROL[[#This Row],[VEHIDCODE]]</f>
        <v>item_mu_Coach_Gen3_NZR_56ft_Coach</v>
      </c>
      <c r="O929" s="21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  <c r="R929" t="str" cm="1">
        <f t="array" ref="R929">_xlfn.XLOOKUP(CONTROL[[#This Row],[VEHIDCODE]],GRAPHICS_PROPERTIES[VEHIDCODE],GRAPHICS_PROPERTIES[TEMPLATE_ID]&amp;GRAPHICS_PROPERTIES[TEMPLATE_AMENDMENT_CODE])</f>
        <v>TPL_04U</v>
      </c>
    </row>
    <row r="930" spans="1:18" x14ac:dyDescent="0.35">
      <c r="A930" t="s">
        <v>1868</v>
      </c>
      <c r="B930" s="21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11093</v>
      </c>
      <c r="F930" s="32" t="s">
        <v>1870</v>
      </c>
      <c r="G930" t="s">
        <v>1872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1" t="str">
        <f>"item_"&amp;CONTROL[[#This Row],[VEHIDCODE]]</f>
        <v>item_mu_Coach_Gen3_NZR_56ft_Mail_Coach</v>
      </c>
      <c r="O930" s="21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  <c r="R930" t="str" cm="1">
        <f t="array" ref="R930">_xlfn.XLOOKUP(CONTROL[[#This Row],[VEHIDCODE]],GRAPHICS_PROPERTIES[VEHIDCODE],GRAPHICS_PROPERTIES[TEMPLATE_ID]&amp;GRAPHICS_PROPERTIES[TEMPLATE_AMENDMENT_CODE])</f>
        <v>TPL_04U</v>
      </c>
    </row>
    <row r="931" spans="1:18" x14ac:dyDescent="0.35">
      <c r="A931" s="2" t="s">
        <v>1876</v>
      </c>
      <c r="B931" s="21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11094</v>
      </c>
      <c r="F931" s="32" t="s">
        <v>1874</v>
      </c>
      <c r="G931" t="s">
        <v>1875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1" t="str">
        <f>"item_"&amp;CONTROL[[#This Row],[VEHIDCODE]]</f>
        <v>item_mu_Coach_Gen2_NZR_50ft_Coach</v>
      </c>
      <c r="O931" s="21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  <c r="R931" t="str" cm="1">
        <f t="array" ref="R931">_xlfn.XLOOKUP(CONTROL[[#This Row],[VEHIDCODE]],GRAPHICS_PROPERTIES[VEHIDCODE],GRAPHICS_PROPERTIES[TEMPLATE_ID]&amp;GRAPHICS_PROPERTIES[TEMPLATE_AMENDMENT_CODE])</f>
        <v>TPL_04U</v>
      </c>
    </row>
    <row r="932" spans="1:18" x14ac:dyDescent="0.35">
      <c r="A932" s="2" t="s">
        <v>1877</v>
      </c>
      <c r="B932" s="21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11095</v>
      </c>
      <c r="F932" s="32" t="s">
        <v>1878</v>
      </c>
      <c r="G932" t="s">
        <v>1875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1" t="str">
        <f>"item_"&amp;CONTROL[[#This Row],[VEHIDCODE]]</f>
        <v>item_mu_Coach_Gen2_NZR_50ft_Mail_Coach</v>
      </c>
      <c r="O932" s="21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  <c r="R932" t="str" cm="1">
        <f t="array" ref="R932">_xlfn.XLOOKUP(CONTROL[[#This Row],[VEHIDCODE]],GRAPHICS_PROPERTIES[VEHIDCODE],GRAPHICS_PROPERTIES[TEMPLATE_ID]&amp;GRAPHICS_PROPERTIES[TEMPLATE_AMENDMENT_CODE])</f>
        <v>TPL_04U</v>
      </c>
    </row>
    <row r="933" spans="1:18" x14ac:dyDescent="0.35">
      <c r="A933" t="s">
        <v>1879</v>
      </c>
      <c r="B933" s="21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11096</v>
      </c>
      <c r="F933" s="32" t="s">
        <v>1880</v>
      </c>
      <c r="G933" t="s">
        <v>1881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1" t="str">
        <f>"item_"&amp;CONTROL[[#This Row],[VEHIDCODE]]</f>
        <v>item_mu_Coach_Gen1_NSW_KA_Tram_Car</v>
      </c>
      <c r="O933" s="21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  <c r="R933" t="str" cm="1">
        <f t="array" ref="R933">_xlfn.XLOOKUP(CONTROL[[#This Row],[VEHIDCODE]],GRAPHICS_PROPERTIES[VEHIDCODE],GRAPHICS_PROPERTIES[TEMPLATE_ID]&amp;GRAPHICS_PROPERTIES[TEMPLATE_AMENDMENT_CODE])</f>
        <v>TPL_04U</v>
      </c>
    </row>
    <row r="934" spans="1:18" x14ac:dyDescent="0.35">
      <c r="A934" t="s">
        <v>3366</v>
      </c>
      <c r="B934" s="21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6146</v>
      </c>
      <c r="F934" s="32" t="s">
        <v>2511</v>
      </c>
      <c r="G934" s="34" t="s">
        <v>1882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1" t="str">
        <f>"item_"&amp;CONTROL[[#This Row],[VEHIDCODE]]</f>
        <v>item_electric_Comeng_86_Class</v>
      </c>
      <c r="O934" s="21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  <c r="R934" t="str" cm="1">
        <f t="array" ref="R934">_xlfn.XLOOKUP(CONTROL[[#This Row],[VEHIDCODE]],GRAPHICS_PROPERTIES[VEHIDCODE],GRAPHICS_PROPERTIES[TEMPLATE_ID]&amp;GRAPHICS_PROPERTIES[TEMPLATE_AMENDMENT_CODE])</f>
        <v>TPL_01A</v>
      </c>
    </row>
    <row r="935" spans="1:18" x14ac:dyDescent="0.35">
      <c r="A935" t="s">
        <v>3240</v>
      </c>
      <c r="B935" s="21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8088</v>
      </c>
      <c r="F935" s="32" t="s">
        <v>2420</v>
      </c>
      <c r="G935" t="s">
        <v>1589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1" t="str">
        <f>"item_"&amp;CONTROL[[#This Row],[VEHIDCODE]]</f>
        <v>item_emu_Ganz_MAVAG_EM_ET</v>
      </c>
      <c r="O935" s="21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  <c r="R935" t="str" cm="1">
        <f t="array" ref="R935">_xlfn.XLOOKUP(CONTROL[[#This Row],[VEHIDCODE]],GRAPHICS_PROPERTIES[VEHIDCODE],GRAPHICS_PROPERTIES[TEMPLATE_ID]&amp;GRAPHICS_PROPERTIES[TEMPLATE_AMENDMENT_CODE])</f>
        <v>TPL_02A</v>
      </c>
    </row>
    <row r="936" spans="1:18" x14ac:dyDescent="0.35">
      <c r="A936" t="s">
        <v>3367</v>
      </c>
      <c r="B936" s="21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8089</v>
      </c>
      <c r="F936" s="32" t="s">
        <v>2512</v>
      </c>
      <c r="G936" t="s">
        <v>1883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1" t="str">
        <f>"item_"&amp;CONTROL[[#This Row],[VEHIDCODE]]</f>
        <v>item_emu_EEC_DM_EMU</v>
      </c>
      <c r="O936" s="21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  <c r="R936" t="str" cm="1">
        <f t="array" ref="R936">_xlfn.XLOOKUP(CONTROL[[#This Row],[VEHIDCODE]],GRAPHICS_PROPERTIES[VEHIDCODE],GRAPHICS_PROPERTIES[TEMPLATE_ID]&amp;GRAPHICS_PROPERTIES[TEMPLATE_AMENDMENT_CODE])</f>
        <v>TPL_02A</v>
      </c>
    </row>
    <row r="937" spans="1:18" x14ac:dyDescent="0.35">
      <c r="A937" t="s">
        <v>3368</v>
      </c>
      <c r="B937" s="21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8090</v>
      </c>
      <c r="F937" s="32" t="s">
        <v>3529</v>
      </c>
      <c r="G937" t="s">
        <v>1884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1" t="str">
        <f>"item_"&amp;CONTROL[[#This Row],[VEHIDCODE]]</f>
        <v>item_emu_Hyundai_Rotem__Mitsui_Matangi</v>
      </c>
      <c r="O937" s="21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  <c r="R937" t="str" cm="1">
        <f t="array" ref="R937">_xlfn.XLOOKUP(CONTROL[[#This Row],[VEHIDCODE]],GRAPHICS_PROPERTIES[VEHIDCODE],GRAPHICS_PROPERTIES[TEMPLATE_ID]&amp;GRAPHICS_PROPERTIES[TEMPLATE_AMENDMENT_CODE])</f>
        <v>TPL_02A</v>
      </c>
    </row>
    <row r="938" spans="1:18" x14ac:dyDescent="0.35">
      <c r="A938" t="s">
        <v>3369</v>
      </c>
      <c r="B938" s="21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9066</v>
      </c>
      <c r="F938" s="32" t="s">
        <v>2571</v>
      </c>
      <c r="G938" t="s">
        <v>1886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1" t="str">
        <f>"item_"&amp;CONTROL[[#This Row],[VEHIDCODE]]</f>
        <v>item_mtro_Ganz_Hunslet_Budapest_G2</v>
      </c>
      <c r="O938" s="21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  <c r="R938" t="str" cm="1">
        <f t="array" ref="R938">_xlfn.XLOOKUP(CONTROL[[#This Row],[VEHIDCODE]],GRAPHICS_PROPERTIES[VEHIDCODE],GRAPHICS_PROPERTIES[TEMPLATE_ID]&amp;GRAPHICS_PROPERTIES[TEMPLATE_AMENDMENT_CODE])</f>
        <v>TPL_02C</v>
      </c>
    </row>
    <row r="939" spans="1:18" x14ac:dyDescent="0.35">
      <c r="A939" s="2" t="s">
        <v>3370</v>
      </c>
      <c r="B939" s="21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5175</v>
      </c>
      <c r="F939" s="32" t="s">
        <v>2513</v>
      </c>
      <c r="G939" t="s">
        <v>1887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1" t="str">
        <f>"item_"&amp;CONTROL[[#This Row],[VEHIDCODE]]</f>
        <v>item_diesel_BRC_W_NSU_Class</v>
      </c>
      <c r="O939" s="21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  <c r="R939" t="str" cm="1">
        <f t="array" ref="R939">_xlfn.XLOOKUP(CONTROL[[#This Row],[VEHIDCODE]],GRAPHICS_PROPERTIES[VEHIDCODE],GRAPHICS_PROPERTIES[TEMPLATE_ID]&amp;GRAPHICS_PROPERTIES[TEMPLATE_AMENDMENT_CODE])</f>
        <v>TPL_01A</v>
      </c>
    </row>
    <row r="940" spans="1:18" x14ac:dyDescent="0.35">
      <c r="A940" t="s">
        <v>3371</v>
      </c>
      <c r="B940" s="21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8091</v>
      </c>
      <c r="F940" s="32" t="s">
        <v>2514</v>
      </c>
      <c r="G940" t="s">
        <v>1891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1" t="str">
        <f>"item_"&amp;CONTROL[[#This Row],[VEHIDCODE]]</f>
        <v>item_emu_Itochu_Kinki_Kawasaki_SP1900</v>
      </c>
      <c r="O940" s="21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  <c r="R940" t="str" cm="1">
        <f t="array" ref="R940">_xlfn.XLOOKUP(CONTROL[[#This Row],[VEHIDCODE]],GRAPHICS_PROPERTIES[VEHIDCODE],GRAPHICS_PROPERTIES[TEMPLATE_ID]&amp;GRAPHICS_PROPERTIES[TEMPLATE_AMENDMENT_CODE])</f>
        <v>TPL_02D</v>
      </c>
    </row>
    <row r="941" spans="1:18" x14ac:dyDescent="0.35">
      <c r="A941" t="s">
        <v>3372</v>
      </c>
      <c r="B941" s="21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6147</v>
      </c>
      <c r="F941" s="32" t="s">
        <v>2515</v>
      </c>
      <c r="G941" t="s">
        <v>1892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1" t="str">
        <f>"item_"&amp;CONTROL[[#This Row],[VEHIDCODE]]</f>
        <v>item_electric_Alstom_CRRC_Datong_HXD2</v>
      </c>
      <c r="O941" s="21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  <c r="R941" t="str" cm="1">
        <f t="array" ref="R941">_xlfn.XLOOKUP(CONTROL[[#This Row],[VEHIDCODE]],GRAPHICS_PROPERTIES[VEHIDCODE],GRAPHICS_PROPERTIES[TEMPLATE_ID]&amp;GRAPHICS_PROPERTIES[TEMPLATE_AMENDMENT_CODE])</f>
        <v>TPL_03D</v>
      </c>
    </row>
    <row r="942" spans="1:18" x14ac:dyDescent="0.35">
      <c r="A942" t="s">
        <v>3373</v>
      </c>
      <c r="B942" s="21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5176</v>
      </c>
      <c r="F942" s="32" t="s">
        <v>2516</v>
      </c>
      <c r="G942" t="s">
        <v>1893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1" t="str">
        <f>"item_"&amp;CONTROL[[#This Row],[VEHIDCODE]]</f>
        <v>item_diesel_CRRC_Qishuyan_DF11</v>
      </c>
      <c r="O942" s="21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  <c r="R942" t="str" cm="1">
        <f t="array" ref="R942">_xlfn.XLOOKUP(CONTROL[[#This Row],[VEHIDCODE]],GRAPHICS_PROPERTIES[VEHIDCODE],GRAPHICS_PROPERTIES[TEMPLATE_ID]&amp;GRAPHICS_PROPERTIES[TEMPLATE_AMENDMENT_CODE])</f>
        <v>TPL_01A</v>
      </c>
    </row>
    <row r="943" spans="1:18" x14ac:dyDescent="0.35">
      <c r="A943" s="2" t="s">
        <v>3374</v>
      </c>
      <c r="B943" s="21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6148</v>
      </c>
      <c r="F943" s="32" t="s">
        <v>2517</v>
      </c>
      <c r="G943" t="s">
        <v>1894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1" t="str">
        <f>"item_"&amp;CONTROL[[#This Row],[VEHIDCODE]]</f>
        <v>item_electric_Zhuzhou_SS8</v>
      </c>
      <c r="O943" s="21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  <c r="R943" t="str" cm="1">
        <f t="array" ref="R943">_xlfn.XLOOKUP(CONTROL[[#This Row],[VEHIDCODE]],GRAPHICS_PROPERTIES[VEHIDCODE],GRAPHICS_PROPERTIES[TEMPLATE_ID]&amp;GRAPHICS_PROPERTIES[TEMPLATE_AMENDMENT_CODE])</f>
        <v>TPL_01A</v>
      </c>
    </row>
    <row r="944" spans="1:18" x14ac:dyDescent="0.35">
      <c r="A944" t="s">
        <v>3375</v>
      </c>
      <c r="B944" s="21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6149</v>
      </c>
      <c r="F944" s="32" t="s">
        <v>2518</v>
      </c>
      <c r="G944" t="s">
        <v>1895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1" t="str">
        <f>"item_"&amp;CONTROL[[#This Row],[VEHIDCODE]]</f>
        <v>item_electric_Alstom_CRRC_Datong_HXD2B</v>
      </c>
      <c r="O944" s="21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  <c r="R944" t="str" cm="1">
        <f t="array" ref="R944">_xlfn.XLOOKUP(CONTROL[[#This Row],[VEHIDCODE]],GRAPHICS_PROPERTIES[VEHIDCODE],GRAPHICS_PROPERTIES[TEMPLATE_ID]&amp;GRAPHICS_PROPERTIES[TEMPLATE_AMENDMENT_CODE])</f>
        <v>TPL_01A</v>
      </c>
    </row>
    <row r="945" spans="1:18" x14ac:dyDescent="0.35">
      <c r="A945" t="s">
        <v>3376</v>
      </c>
      <c r="B945" s="21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6150</v>
      </c>
      <c r="F945" s="32" t="s">
        <v>2567</v>
      </c>
      <c r="G945" t="s">
        <v>1896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1" t="str">
        <f>"item_"&amp;CONTROL[[#This Row],[VEHIDCODE]]</f>
        <v>item_electric_CRRC_Dalian_HXD3D</v>
      </c>
      <c r="O945" s="21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  <c r="R945" t="str" cm="1">
        <f t="array" ref="R945">_xlfn.XLOOKUP(CONTROL[[#This Row],[VEHIDCODE]],GRAPHICS_PROPERTIES[VEHIDCODE],GRAPHICS_PROPERTIES[TEMPLATE_ID]&amp;GRAPHICS_PROPERTIES[TEMPLATE_AMENDMENT_CODE])</f>
        <v>TPL_01A</v>
      </c>
    </row>
    <row r="946" spans="1:18" x14ac:dyDescent="0.35">
      <c r="A946" t="s">
        <v>3377</v>
      </c>
      <c r="B946" s="21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5177</v>
      </c>
      <c r="F946" s="32" t="s">
        <v>2519</v>
      </c>
      <c r="G946" t="s">
        <v>1897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1" t="str">
        <f>"item_"&amp;CONTROL[[#This Row],[VEHIDCODE]]</f>
        <v>item_diesel_CRRC_Dalian_DF4</v>
      </c>
      <c r="O946" s="21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  <c r="R946" t="str" cm="1">
        <f t="array" ref="R946">_xlfn.XLOOKUP(CONTROL[[#This Row],[VEHIDCODE]],GRAPHICS_PROPERTIES[VEHIDCODE],GRAPHICS_PROPERTIES[TEMPLATE_ID]&amp;GRAPHICS_PROPERTIES[TEMPLATE_AMENDMENT_CODE])</f>
        <v>TPL_01A</v>
      </c>
    </row>
    <row r="947" spans="1:18" x14ac:dyDescent="0.35">
      <c r="A947" t="s">
        <v>3378</v>
      </c>
      <c r="B947" s="21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5178</v>
      </c>
      <c r="F947" s="32" t="s">
        <v>2520</v>
      </c>
      <c r="G947" s="34" t="s">
        <v>1898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1" t="str">
        <f>"item_"&amp;CONTROL[[#This Row],[VEHIDCODE]]</f>
        <v>item_diesel_Tangshan_Dalian_Sifang_DF5</v>
      </c>
      <c r="O947" s="21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  <c r="R947" t="str" cm="1">
        <f t="array" ref="R947">_xlfn.XLOOKUP(CONTROL[[#This Row],[VEHIDCODE]],GRAPHICS_PROPERTIES[VEHIDCODE],GRAPHICS_PROPERTIES[TEMPLATE_ID]&amp;GRAPHICS_PROPERTIES[TEMPLATE_AMENDMENT_CODE])</f>
        <v>TPL_03F</v>
      </c>
    </row>
    <row r="948" spans="1:18" x14ac:dyDescent="0.35">
      <c r="A948" t="s">
        <v>3379</v>
      </c>
      <c r="B948" s="21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4141</v>
      </c>
      <c r="F948" s="32" t="s">
        <v>2521</v>
      </c>
      <c r="G948" t="s">
        <v>1899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1" t="str">
        <f>"item_"&amp;CONTROL[[#This Row],[VEHIDCODE]]</f>
        <v>item_steam_Dalian_2_8_2_JS_Class</v>
      </c>
      <c r="O948" s="21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  <c r="R948" t="str" cm="1">
        <f t="array" ref="R948">_xlfn.XLOOKUP(CONTROL[[#This Row],[VEHIDCODE]],GRAPHICS_PROPERTIES[VEHIDCODE],GRAPHICS_PROPERTIES[TEMPLATE_ID]&amp;GRAPHICS_PROPERTIES[TEMPLATE_AMENDMENT_CODE])</f>
        <v>TPL_03A</v>
      </c>
    </row>
    <row r="949" spans="1:18" x14ac:dyDescent="0.35">
      <c r="A949" t="s">
        <v>3380</v>
      </c>
      <c r="B949" s="21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4142</v>
      </c>
      <c r="F949" s="32" t="s">
        <v>2563</v>
      </c>
      <c r="G949" t="s">
        <v>1900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1" t="str">
        <f>"item_"&amp;CONTROL[[#This Row],[VEHIDCODE]]</f>
        <v>item_steam_CSR_Sifang_4_6_2_RM</v>
      </c>
      <c r="O949" s="21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  <c r="R949" t="str" cm="1">
        <f t="array" ref="R949">_xlfn.XLOOKUP(CONTROL[[#This Row],[VEHIDCODE]],GRAPHICS_PROPERTIES[VEHIDCODE],GRAPHICS_PROPERTIES[TEMPLATE_ID]&amp;GRAPHICS_PROPERTIES[TEMPLATE_AMENDMENT_CODE])</f>
        <v>TPL_03A</v>
      </c>
    </row>
    <row r="950" spans="1:18" x14ac:dyDescent="0.35">
      <c r="A950" t="s">
        <v>3381</v>
      </c>
      <c r="B950" s="21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2047</v>
      </c>
      <c r="F950" s="32" t="s">
        <v>1901</v>
      </c>
      <c r="G950" t="s">
        <v>1902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1" t="str">
        <f>"item_"&amp;CONTROL[[#This Row],[VEHIDCODE]]</f>
        <v>item_rbd_MAV_Ikarus_260</v>
      </c>
      <c r="O950" s="21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  <c r="R950" t="str" cm="1">
        <f t="array" ref="R950">_xlfn.XLOOKUP(CONTROL[[#This Row],[VEHIDCODE]],GRAPHICS_PROPERTIES[VEHIDCODE],GRAPHICS_PROPERTIES[TEMPLATE_ID]&amp;GRAPHICS_PROPERTIES[TEMPLATE_AMENDMENT_CODE])</f>
        <v>TPL_01A</v>
      </c>
    </row>
    <row r="951" spans="1:18" x14ac:dyDescent="0.35">
      <c r="A951" s="2" t="s">
        <v>3382</v>
      </c>
      <c r="B951" s="21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5179</v>
      </c>
      <c r="F951" s="32" t="s">
        <v>2035</v>
      </c>
      <c r="G951" t="s">
        <v>1320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1" t="str">
        <f>"item_"&amp;CONTROL[[#This Row],[VEHIDCODE]]</f>
        <v>item_diesel_GE_ES43ACi</v>
      </c>
      <c r="O951" s="21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  <c r="R951" t="str" cm="1">
        <f t="array" ref="R951">_xlfn.XLOOKUP(CONTROL[[#This Row],[VEHIDCODE]],GRAPHICS_PROPERTIES[VEHIDCODE],GRAPHICS_PROPERTIES[TEMPLATE_ID]&amp;GRAPHICS_PROPERTIES[TEMPLATE_AMENDMENT_CODE])</f>
        <v>TPL_01A</v>
      </c>
    </row>
    <row r="952" spans="1:18" x14ac:dyDescent="0.35">
      <c r="A952" t="s">
        <v>3383</v>
      </c>
      <c r="B952" s="21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5180</v>
      </c>
      <c r="F952" s="32" t="s">
        <v>1908</v>
      </c>
      <c r="G952" t="s">
        <v>1903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1" t="str">
        <f>"item_"&amp;CONTROL[[#This Row],[VEHIDCODE]]</f>
        <v>item_diesel_EMD_GP40</v>
      </c>
      <c r="O952" s="21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  <c r="R952" t="str" cm="1">
        <f t="array" ref="R952">_xlfn.XLOOKUP(CONTROL[[#This Row],[VEHIDCODE]],GRAPHICS_PROPERTIES[VEHIDCODE],GRAPHICS_PROPERTIES[TEMPLATE_ID]&amp;GRAPHICS_PROPERTIES[TEMPLATE_AMENDMENT_CODE])</f>
        <v>TPL_01A</v>
      </c>
    </row>
    <row r="953" spans="1:18" x14ac:dyDescent="0.35">
      <c r="A953" t="s">
        <v>3384</v>
      </c>
      <c r="B953" s="21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5181</v>
      </c>
      <c r="F953" s="32" t="s">
        <v>1904</v>
      </c>
      <c r="G953" t="s">
        <v>1289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1" t="str">
        <f>"item_"&amp;CONTROL[[#This Row],[VEHIDCODE]]</f>
        <v>item_diesel_EMD_SD70</v>
      </c>
      <c r="O953" s="21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  <c r="R953" t="str" cm="1">
        <f t="array" ref="R953">_xlfn.XLOOKUP(CONTROL[[#This Row],[VEHIDCODE]],GRAPHICS_PROPERTIES[VEHIDCODE],GRAPHICS_PROPERTIES[TEMPLATE_ID]&amp;GRAPHICS_PROPERTIES[TEMPLATE_AMENDMENT_CODE])</f>
        <v>TPL_01A</v>
      </c>
    </row>
    <row r="954" spans="1:18" x14ac:dyDescent="0.35">
      <c r="A954" s="2" t="s">
        <v>3385</v>
      </c>
      <c r="B954" s="21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5182</v>
      </c>
      <c r="F954" s="32" t="s">
        <v>1978</v>
      </c>
      <c r="G954" t="s">
        <v>1905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1" t="str">
        <f>"item_"&amp;CONTROL[[#This Row],[VEHIDCODE]]</f>
        <v>item_diesel_GE_C30_7_Dash_7</v>
      </c>
      <c r="O954" s="21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  <c r="R954" t="str" cm="1">
        <f t="array" ref="R954">_xlfn.XLOOKUP(CONTROL[[#This Row],[VEHIDCODE]],GRAPHICS_PROPERTIES[VEHIDCODE],GRAPHICS_PROPERTIES[TEMPLATE_ID]&amp;GRAPHICS_PROPERTIES[TEMPLATE_AMENDMENT_CODE])</f>
        <v>TPL_01A</v>
      </c>
    </row>
    <row r="955" spans="1:18" x14ac:dyDescent="0.35">
      <c r="A955" s="2" t="s">
        <v>3386</v>
      </c>
      <c r="B955" s="21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5183</v>
      </c>
      <c r="F955" s="32" t="s">
        <v>2522</v>
      </c>
      <c r="G955" t="s">
        <v>1906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1" t="str">
        <f>"item_"&amp;CONTROL[[#This Row],[VEHIDCODE]]</f>
        <v>item_diesel_GE_C40_8_Dash_8</v>
      </c>
      <c r="O955" s="21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  <c r="R955" t="str" cm="1">
        <f t="array" ref="R955">_xlfn.XLOOKUP(CONTROL[[#This Row],[VEHIDCODE]],GRAPHICS_PROPERTIES[VEHIDCODE],GRAPHICS_PROPERTIES[TEMPLATE_ID]&amp;GRAPHICS_PROPERTIES[TEMPLATE_AMENDMENT_CODE])</f>
        <v>TPL_01A</v>
      </c>
    </row>
    <row r="956" spans="1:18" x14ac:dyDescent="0.35">
      <c r="A956" t="s">
        <v>3387</v>
      </c>
      <c r="B956" s="21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5184</v>
      </c>
      <c r="F956" s="32" t="s">
        <v>1977</v>
      </c>
      <c r="G956" t="s">
        <v>1907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1" t="str">
        <f>"item_"&amp;CONTROL[[#This Row],[VEHIDCODE]]</f>
        <v>item_diesel_GE_C44_9W_Dash_9</v>
      </c>
      <c r="O956" s="21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  <c r="R956" t="str" cm="1">
        <f t="array" ref="R956">_xlfn.XLOOKUP(CONTROL[[#This Row],[VEHIDCODE]],GRAPHICS_PROPERTIES[VEHIDCODE],GRAPHICS_PROPERTIES[TEMPLATE_ID]&amp;GRAPHICS_PROPERTIES[TEMPLATE_AMENDMENT_CODE])</f>
        <v>TPL_01A</v>
      </c>
    </row>
    <row r="957" spans="1:18" x14ac:dyDescent="0.35">
      <c r="A957" t="s">
        <v>3477</v>
      </c>
      <c r="B957" s="21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5185</v>
      </c>
      <c r="F957" s="32" t="s">
        <v>1908</v>
      </c>
      <c r="G957" t="s">
        <v>1909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1" t="str">
        <f>"item_"&amp;CONTROL[[#This Row],[VEHIDCODE]]</f>
        <v>item_diesel_EMD_GP40_DNU</v>
      </c>
      <c r="O957" s="21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  <c r="R957" t="str" cm="1">
        <f t="array" ref="R957">_xlfn.XLOOKUP(CONTROL[[#This Row],[VEHIDCODE]],GRAPHICS_PROPERTIES[VEHIDCODE],GRAPHICS_PROPERTIES[TEMPLATE_ID]&amp;GRAPHICS_PROPERTIES[TEMPLATE_AMENDMENT_CODE])</f>
        <v>TPL_01A</v>
      </c>
    </row>
    <row r="958" spans="1:18" x14ac:dyDescent="0.35">
      <c r="A958" t="s">
        <v>3388</v>
      </c>
      <c r="B958" s="21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4143</v>
      </c>
      <c r="F958" s="32" t="s">
        <v>2523</v>
      </c>
      <c r="G958" t="s">
        <v>1911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1" t="str">
        <f>"item_"&amp;CONTROL[[#This Row],[VEHIDCODE]]</f>
        <v>item_steam_Kitson_2_2_2_3166_3171</v>
      </c>
      <c r="O958" s="21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  <c r="R958" t="str" cm="1">
        <f t="array" ref="R958">_xlfn.XLOOKUP(CONTROL[[#This Row],[VEHIDCODE]],GRAPHICS_PROPERTIES[VEHIDCODE],GRAPHICS_PROPERTIES[TEMPLATE_ID]&amp;GRAPHICS_PROPERTIES[TEMPLATE_AMENDMENT_CODE])</f>
        <v>TPL_03A</v>
      </c>
    </row>
    <row r="959" spans="1:18" x14ac:dyDescent="0.35">
      <c r="A959" t="s">
        <v>3389</v>
      </c>
      <c r="B959" s="21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4144</v>
      </c>
      <c r="F959" s="32" t="s">
        <v>2524</v>
      </c>
      <c r="G959" t="s">
        <v>1910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1" t="str">
        <f>"item_"&amp;CONTROL[[#This Row],[VEHIDCODE]]</f>
        <v>item_steam_Burnham_2_6_0_15857_15871</v>
      </c>
      <c r="O959" s="21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  <c r="R959" t="str" cm="1">
        <f t="array" ref="R959">_xlfn.XLOOKUP(CONTROL[[#This Row],[VEHIDCODE]],GRAPHICS_PROPERTIES[VEHIDCODE],GRAPHICS_PROPERTIES[TEMPLATE_ID]&amp;GRAPHICS_PROPERTIES[TEMPLATE_AMENDMENT_CODE])</f>
        <v>TPL_03A</v>
      </c>
    </row>
    <row r="960" spans="1:18" x14ac:dyDescent="0.35">
      <c r="A960" t="s">
        <v>3390</v>
      </c>
      <c r="B960" s="21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4145</v>
      </c>
      <c r="F960" s="32" t="s">
        <v>2525</v>
      </c>
      <c r="G960" t="s">
        <v>1912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1" t="str">
        <f>"item_"&amp;CONTROL[[#This Row],[VEHIDCODE]]</f>
        <v>item_steam_SA_Franco_Belge_0_6_0_Class_4</v>
      </c>
      <c r="O960" s="21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  <c r="R960" t="str" cm="1">
        <f t="array" ref="R960">_xlfn.XLOOKUP(CONTROL[[#This Row],[VEHIDCODE]],GRAPHICS_PROPERTIES[VEHIDCODE],GRAPHICS_PROPERTIES[TEMPLATE_ID]&amp;GRAPHICS_PROPERTIES[TEMPLATE_AMENDMENT_CODE])</f>
        <v>TPL_03C</v>
      </c>
    </row>
    <row r="961" spans="1:18" x14ac:dyDescent="0.35">
      <c r="A961" s="2" t="s">
        <v>3391</v>
      </c>
      <c r="B961" s="21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15002</v>
      </c>
      <c r="F961" s="32" t="s">
        <v>2578</v>
      </c>
      <c r="G961" t="s">
        <v>1913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1" t="str">
        <f>"item_"&amp;CONTROL[[#This Row],[VEHIDCODE]]</f>
        <v>item_mglv_ACME_Corp__Pegasus</v>
      </c>
      <c r="O961" s="21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  <c r="R961" t="str" cm="1">
        <f t="array" ref="R961">_xlfn.XLOOKUP(CONTROL[[#This Row],[VEHIDCODE]],GRAPHICS_PROPERTIES[VEHIDCODE],GRAPHICS_PROPERTIES[TEMPLATE_ID]&amp;GRAPHICS_PROPERTIES[TEMPLATE_AMENDMENT_CODE])</f>
        <v>TPL_01A</v>
      </c>
    </row>
    <row r="962" spans="1:18" x14ac:dyDescent="0.35">
      <c r="A962" s="2" t="s">
        <v>3392</v>
      </c>
      <c r="B962" s="21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10002</v>
      </c>
      <c r="F962" s="32" t="s">
        <v>2579</v>
      </c>
      <c r="G962" t="s">
        <v>1914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1" t="str">
        <f>"item_"&amp;CONTROL[[#This Row],[VEHIDCODE]]</f>
        <v>item_mmu_ACME_Corp__Chimaera</v>
      </c>
      <c r="O962" s="21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  <c r="R962" t="str" cm="1">
        <f t="array" ref="R962">_xlfn.XLOOKUP(CONTROL[[#This Row],[VEHIDCODE]],GRAPHICS_PROPERTIES[VEHIDCODE],GRAPHICS_PROPERTIES[TEMPLATE_ID]&amp;GRAPHICS_PROPERTIES[TEMPLATE_AMENDMENT_CODE])</f>
        <v>TPL_02A</v>
      </c>
    </row>
    <row r="963" spans="1:18" x14ac:dyDescent="0.35">
      <c r="A963" t="s">
        <v>1915</v>
      </c>
      <c r="B963" s="21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13100</v>
      </c>
      <c r="F963" s="32" t="s">
        <v>2580</v>
      </c>
      <c r="G963" t="s">
        <v>523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1" t="str">
        <f>"item_"&amp;CONTROL[[#This Row],[VEHIDCODE]]</f>
        <v>item_mglv_coach_Gen7M_Chimaera_Passenger_Coach</v>
      </c>
      <c r="O963" s="21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  <c r="R963" t="str" cm="1">
        <f t="array" ref="R963">_xlfn.XLOOKUP(CONTROL[[#This Row],[VEHIDCODE]],GRAPHICS_PROPERTIES[VEHIDCODE],GRAPHICS_PROPERTIES[TEMPLATE_ID]&amp;GRAPHICS_PROPERTIES[TEMPLATE_AMENDMENT_CODE])</f>
        <v>TPL_04U</v>
      </c>
    </row>
    <row r="964" spans="1:18" x14ac:dyDescent="0.35">
      <c r="A964" t="s">
        <v>1916</v>
      </c>
      <c r="B964" s="21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13101</v>
      </c>
      <c r="F964" s="32" t="s">
        <v>2581</v>
      </c>
      <c r="G964" t="s">
        <v>523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1" t="str">
        <f>"item_"&amp;CONTROL[[#This Row],[VEHIDCODE]]</f>
        <v>item_mglv_coach_Gen7M_Chimaera_Mail_Coach</v>
      </c>
      <c r="O964" s="21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  <c r="R964" t="str" cm="1">
        <f t="array" ref="R964">_xlfn.XLOOKUP(CONTROL[[#This Row],[VEHIDCODE]],GRAPHICS_PROPERTIES[VEHIDCODE],GRAPHICS_PROPERTIES[TEMPLATE_ID]&amp;GRAPHICS_PROPERTIES[TEMPLATE_AMENDMENT_CODE])</f>
        <v>TPL_04U</v>
      </c>
    </row>
    <row r="965" spans="1:18" x14ac:dyDescent="0.35">
      <c r="A965" t="s">
        <v>3393</v>
      </c>
      <c r="B965" s="21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4146</v>
      </c>
      <c r="F965" s="32" t="s">
        <v>2526</v>
      </c>
      <c r="G965" t="s">
        <v>1919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1" t="str">
        <f>"item_"&amp;CONTROL[[#This Row],[VEHIDCODE]]</f>
        <v>item_steam_Sharp_BP_0_6_0_BDZ_142_150</v>
      </c>
      <c r="O965" s="21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  <c r="R965" t="str" cm="1">
        <f t="array" ref="R965">_xlfn.XLOOKUP(CONTROL[[#This Row],[VEHIDCODE]],GRAPHICS_PROPERTIES[VEHIDCODE],GRAPHICS_PROPERTIES[TEMPLATE_ID]&amp;GRAPHICS_PROPERTIES[TEMPLATE_AMENDMENT_CODE])</f>
        <v>TPL_03A</v>
      </c>
    </row>
    <row r="966" spans="1:18" x14ac:dyDescent="0.35">
      <c r="A966" t="s">
        <v>3394</v>
      </c>
      <c r="B966" s="21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4147</v>
      </c>
      <c r="F966" s="32" t="s">
        <v>2527</v>
      </c>
      <c r="G966" t="s">
        <v>1920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1" t="str">
        <f>"item_"&amp;CONTROL[[#This Row],[VEHIDCODE]]</f>
        <v>item_steam_MAVAG_4_4_2_Class_203</v>
      </c>
      <c r="O966" s="21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  <c r="R966" t="str" cm="1">
        <f t="array" ref="R966">_xlfn.XLOOKUP(CONTROL[[#This Row],[VEHIDCODE]],GRAPHICS_PROPERTIES[VEHIDCODE],GRAPHICS_PROPERTIES[TEMPLATE_ID]&amp;GRAPHICS_PROPERTIES[TEMPLATE_AMENDMENT_CODE])</f>
        <v>TPL_03A</v>
      </c>
    </row>
    <row r="967" spans="1:18" x14ac:dyDescent="0.35">
      <c r="A967" t="s">
        <v>3395</v>
      </c>
      <c r="B967" s="21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4148</v>
      </c>
      <c r="F967" s="32" t="s">
        <v>2528</v>
      </c>
      <c r="G967" t="s">
        <v>1921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1" t="str">
        <f>"item_"&amp;CONTROL[[#This Row],[VEHIDCODE]]</f>
        <v>item_steam_MAVAG_2_6_6_0_Class_601</v>
      </c>
      <c r="O967" s="21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  <c r="R967" t="str" cm="1">
        <f t="array" ref="R967">_xlfn.XLOOKUP(CONTROL[[#This Row],[VEHIDCODE]],GRAPHICS_PROPERTIES[VEHIDCODE],GRAPHICS_PROPERTIES[TEMPLATE_ID]&amp;GRAPHICS_PROPERTIES[TEMPLATE_AMENDMENT_CODE])</f>
        <v>TPL_03A</v>
      </c>
    </row>
    <row r="968" spans="1:18" x14ac:dyDescent="0.35">
      <c r="A968" t="s">
        <v>3396</v>
      </c>
      <c r="B968" s="21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6151</v>
      </c>
      <c r="F968" s="32" t="s">
        <v>2529</v>
      </c>
      <c r="G968" t="s">
        <v>1922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1" t="str">
        <f>"item_"&amp;CONTROL[[#This Row],[VEHIDCODE]]</f>
        <v>item_electric_Ganz_MAVAG_VM7_V40</v>
      </c>
      <c r="O968" s="21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  <c r="R968" t="str" cm="1">
        <f t="array" ref="R968">_xlfn.XLOOKUP(CONTROL[[#This Row],[VEHIDCODE]],GRAPHICS_PROPERTIES[VEHIDCODE],GRAPHICS_PROPERTIES[TEMPLATE_ID]&amp;GRAPHICS_PROPERTIES[TEMPLATE_AMENDMENT_CODE])</f>
        <v>TPL_01A</v>
      </c>
    </row>
    <row r="969" spans="1:18" x14ac:dyDescent="0.35">
      <c r="A969" t="s">
        <v>3397</v>
      </c>
      <c r="B969" s="21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5186</v>
      </c>
      <c r="F969" s="32" t="s">
        <v>2036</v>
      </c>
      <c r="G969" t="s">
        <v>1923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1" t="str">
        <f>"item_"&amp;CONTROL[[#This Row],[VEHIDCODE]]</f>
        <v>item_diesel_PESA_111D</v>
      </c>
      <c r="O969" s="21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  <c r="R969" t="str" cm="1">
        <f t="array" ref="R969">_xlfn.XLOOKUP(CONTROL[[#This Row],[VEHIDCODE]],GRAPHICS_PROPERTIES[VEHIDCODE],GRAPHICS_PROPERTIES[TEMPLATE_ID]&amp;GRAPHICS_PROPERTIES[TEMPLATE_AMENDMENT_CODE])</f>
        <v>TPL_01A</v>
      </c>
    </row>
    <row r="970" spans="1:18" x14ac:dyDescent="0.35">
      <c r="A970" t="s">
        <v>3398</v>
      </c>
      <c r="B970" s="21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4149</v>
      </c>
      <c r="F970" s="32" t="s">
        <v>2530</v>
      </c>
      <c r="G970" t="s">
        <v>1924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1" t="str">
        <f>"item_"&amp;CONTROL[[#This Row],[VEHIDCODE]]</f>
        <v>item_steam_Stephenson_BP_2_2_2_LVCI_Class_1</v>
      </c>
      <c r="O970" s="21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  <c r="R970" t="str" cm="1">
        <f t="array" ref="R970">_xlfn.XLOOKUP(CONTROL[[#This Row],[VEHIDCODE]],GRAPHICS_PROPERTIES[VEHIDCODE],GRAPHICS_PROPERTIES[TEMPLATE_ID]&amp;GRAPHICS_PROPERTIES[TEMPLATE_AMENDMENT_CODE])</f>
        <v>TPL_03A</v>
      </c>
    </row>
    <row r="971" spans="1:18" x14ac:dyDescent="0.35">
      <c r="A971" t="s">
        <v>3399</v>
      </c>
      <c r="B971" s="21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4150</v>
      </c>
      <c r="F971" s="32" t="s">
        <v>2531</v>
      </c>
      <c r="G971" t="s">
        <v>1925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1" t="str">
        <f>"item_"&amp;CONTROL[[#This Row],[VEHIDCODE]]</f>
        <v>item_steam_Babcock_4_6_2_2_6_4T_462</v>
      </c>
      <c r="O971" s="21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  <c r="R971" t="str" cm="1">
        <f t="array" ref="R971">_xlfn.XLOOKUP(CONTROL[[#This Row],[VEHIDCODE]],GRAPHICS_PROPERTIES[VEHIDCODE],GRAPHICS_PROPERTIES[TEMPLATE_ID]&amp;GRAPHICS_PROPERTIES[TEMPLATE_AMENDMENT_CODE])</f>
        <v>TPL_17C</v>
      </c>
    </row>
    <row r="972" spans="1:18" x14ac:dyDescent="0.35">
      <c r="A972" s="2" t="s">
        <v>3400</v>
      </c>
      <c r="B972" s="21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4151</v>
      </c>
      <c r="F972" s="32" t="s">
        <v>2532</v>
      </c>
      <c r="G972" s="34" t="s">
        <v>1927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1" t="str">
        <f>"item_"&amp;CONTROL[[#This Row],[VEHIDCODE]]</f>
        <v>item_steam_Koechlin_0_6_0_030</v>
      </c>
      <c r="O972" s="21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  <c r="R972" t="str" cm="1">
        <f t="array" ref="R972">_xlfn.XLOOKUP(CONTROL[[#This Row],[VEHIDCODE]],GRAPHICS_PROPERTIES[VEHIDCODE],GRAPHICS_PROPERTIES[TEMPLATE_ID]&amp;GRAPHICS_PROPERTIES[TEMPLATE_AMENDMENT_CODE])</f>
        <v>TPL_03C</v>
      </c>
    </row>
    <row r="973" spans="1:18" x14ac:dyDescent="0.35">
      <c r="A973" s="2" t="s">
        <v>3401</v>
      </c>
      <c r="B973" s="21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4152</v>
      </c>
      <c r="F973" s="32" t="s">
        <v>2533</v>
      </c>
      <c r="G973" t="s">
        <v>1928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1" t="str">
        <f>"item_"&amp;CONTROL[[#This Row],[VEHIDCODE]]</f>
        <v>item_steam_Hanomag_ALCO_4_8_0_240</v>
      </c>
      <c r="O973" s="21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  <c r="R973" t="str" cm="1">
        <f t="array" ref="R973">_xlfn.XLOOKUP(CONTROL[[#This Row],[VEHIDCODE]],GRAPHICS_PROPERTIES[VEHIDCODE],GRAPHICS_PROPERTIES[TEMPLATE_ID]&amp;GRAPHICS_PROPERTIES[TEMPLATE_AMENDMENT_CODE])</f>
        <v>TPL_03C</v>
      </c>
    </row>
    <row r="974" spans="1:18" x14ac:dyDescent="0.35">
      <c r="A974" t="s">
        <v>3402</v>
      </c>
      <c r="B974" s="21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8092</v>
      </c>
      <c r="F974" s="32" t="s">
        <v>2534</v>
      </c>
      <c r="G974" t="s">
        <v>1929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1" t="str">
        <f>"item_"&amp;CONTROL[[#This Row],[VEHIDCODE]]</f>
        <v>item_emu_CRRC_Sifang_SFB_500</v>
      </c>
      <c r="O974" s="21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  <c r="R974" t="str" cm="1">
        <f t="array" ref="R974">_xlfn.XLOOKUP(CONTROL[[#This Row],[VEHIDCODE]],GRAPHICS_PROPERTIES[VEHIDCODE],GRAPHICS_PROPERTIES[TEMPLATE_ID]&amp;GRAPHICS_PROPERTIES[TEMPLATE_AMENDMENT_CODE])</f>
        <v>TPL_02A</v>
      </c>
    </row>
    <row r="975" spans="1:18" x14ac:dyDescent="0.35">
      <c r="A975" t="s">
        <v>3403</v>
      </c>
      <c r="B975" s="21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5187</v>
      </c>
      <c r="F975" s="32" t="s">
        <v>1932</v>
      </c>
      <c r="G975" t="s">
        <v>1931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1" t="str">
        <f>"item_"&amp;CONTROL[[#This Row],[VEHIDCODE]]</f>
        <v>item_diesel_EMC_E3</v>
      </c>
      <c r="O975" s="21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  <c r="R975" t="str" cm="1">
        <f t="array" ref="R975">_xlfn.XLOOKUP(CONTROL[[#This Row],[VEHIDCODE]],GRAPHICS_PROPERTIES[VEHIDCODE],GRAPHICS_PROPERTIES[TEMPLATE_ID]&amp;GRAPHICS_PROPERTIES[TEMPLATE_AMENDMENT_CODE])</f>
        <v>TPL_03F</v>
      </c>
    </row>
    <row r="976" spans="1:18" x14ac:dyDescent="0.35">
      <c r="A976" t="s">
        <v>3404</v>
      </c>
      <c r="B976" s="21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5188</v>
      </c>
      <c r="F976" s="32" t="s">
        <v>1933</v>
      </c>
      <c r="G976" t="s">
        <v>1934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1" t="str">
        <f>"item_"&amp;CONTROL[[#This Row],[VEHIDCODE]]</f>
        <v>item_diesel_EMD_FT</v>
      </c>
      <c r="O976" s="21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  <c r="R976" t="str" cm="1">
        <f t="array" ref="R976">_xlfn.XLOOKUP(CONTROL[[#This Row],[VEHIDCODE]],GRAPHICS_PROPERTIES[VEHIDCODE],GRAPHICS_PROPERTIES[TEMPLATE_ID]&amp;GRAPHICS_PROPERTIES[TEMPLATE_AMENDMENT_CODE])</f>
        <v>TPL_03F</v>
      </c>
    </row>
    <row r="977" spans="1:18" x14ac:dyDescent="0.35">
      <c r="A977" t="s">
        <v>3405</v>
      </c>
      <c r="B977" s="21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5189</v>
      </c>
      <c r="F977" s="32" t="s">
        <v>1967</v>
      </c>
      <c r="G977" t="s">
        <v>1746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1" t="str">
        <f>"item_"&amp;CONTROL[[#This Row],[VEHIDCODE]]</f>
        <v>item_diesel_LTZ_TE109</v>
      </c>
      <c r="O977" s="21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  <c r="R977" t="str" cm="1">
        <f t="array" ref="R977">_xlfn.XLOOKUP(CONTROL[[#This Row],[VEHIDCODE]],GRAPHICS_PROPERTIES[VEHIDCODE],GRAPHICS_PROPERTIES[TEMPLATE_ID]&amp;GRAPHICS_PROPERTIES[TEMPLATE_AMENDMENT_CODE])</f>
        <v>TPL_01A</v>
      </c>
    </row>
    <row r="978" spans="1:18" x14ac:dyDescent="0.35">
      <c r="A978" s="2" t="s">
        <v>3406</v>
      </c>
      <c r="B978" s="21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8093</v>
      </c>
      <c r="F978" s="32" t="s">
        <v>2535</v>
      </c>
      <c r="G978" t="s">
        <v>1935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1" t="str">
        <f>"item_"&amp;CONTROL[[#This Row],[VEHIDCODE]]</f>
        <v>item_emu_Hitachi_Kawasaki_Shinkansen_Series_100</v>
      </c>
      <c r="O978" s="21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  <c r="R978" t="str" cm="1">
        <f t="array" ref="R978">_xlfn.XLOOKUP(CONTROL[[#This Row],[VEHIDCODE]],GRAPHICS_PROPERTIES[VEHIDCODE],GRAPHICS_PROPERTIES[TEMPLATE_ID]&amp;GRAPHICS_PROPERTIES[TEMPLATE_AMENDMENT_CODE])</f>
        <v>TPL_02D</v>
      </c>
    </row>
    <row r="979" spans="1:18" x14ac:dyDescent="0.35">
      <c r="A979" t="s">
        <v>3407</v>
      </c>
      <c r="B979" s="21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5190</v>
      </c>
      <c r="F979" s="32" t="s">
        <v>2565</v>
      </c>
      <c r="G979" t="s">
        <v>1936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1" t="str">
        <f>"item_"&amp;CONTROL[[#This Row],[VEHIDCODE]]</f>
        <v>item_diesel_Krauss_Maffei_ML_2200</v>
      </c>
      <c r="O979" s="21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  <c r="R979" t="str" cm="1">
        <f t="array" ref="R979">_xlfn.XLOOKUP(CONTROL[[#This Row],[VEHIDCODE]],GRAPHICS_PROPERTIES[VEHIDCODE],GRAPHICS_PROPERTIES[TEMPLATE_ID]&amp;GRAPHICS_PROPERTIES[TEMPLATE_AMENDMENT_CODE])</f>
        <v>TPL_01A</v>
      </c>
    </row>
    <row r="980" spans="1:18" x14ac:dyDescent="0.35">
      <c r="A980" t="s">
        <v>3408</v>
      </c>
      <c r="B980" s="21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7062</v>
      </c>
      <c r="F980" s="32" t="s">
        <v>2574</v>
      </c>
      <c r="G980" t="s">
        <v>1937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1" t="str">
        <f>"item_"&amp;CONTROL[[#This Row],[VEHIDCODE]]</f>
        <v>item_dmu_Ganz_Hargita_M440</v>
      </c>
      <c r="O980" s="21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  <c r="R980" t="str" cm="1">
        <f t="array" ref="R980">_xlfn.XLOOKUP(CONTROL[[#This Row],[VEHIDCODE]],GRAPHICS_PROPERTIES[VEHIDCODE],GRAPHICS_PROPERTIES[TEMPLATE_ID]&amp;GRAPHICS_PROPERTIES[TEMPLATE_AMENDMENT_CODE])</f>
        <v>TPL_02A</v>
      </c>
    </row>
    <row r="981" spans="1:18" x14ac:dyDescent="0.35">
      <c r="A981" s="2" t="s">
        <v>3409</v>
      </c>
      <c r="B981" s="21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6152</v>
      </c>
      <c r="F981" s="32" t="s">
        <v>2536</v>
      </c>
      <c r="G981" t="s">
        <v>1938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1" t="str">
        <f>"item_"&amp;CONTROL[[#This Row],[VEHIDCODE]]</f>
        <v>item_electric_SSW_Krauss_E44</v>
      </c>
      <c r="O981" s="21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  <c r="R981" t="str" cm="1">
        <f t="array" ref="R981">_xlfn.XLOOKUP(CONTROL[[#This Row],[VEHIDCODE]],GRAPHICS_PROPERTIES[VEHIDCODE],GRAPHICS_PROPERTIES[TEMPLATE_ID]&amp;GRAPHICS_PROPERTIES[TEMPLATE_AMENDMENT_CODE])</f>
        <v>TPL_01A</v>
      </c>
    </row>
    <row r="982" spans="1:18" x14ac:dyDescent="0.35">
      <c r="A982" t="s">
        <v>3410</v>
      </c>
      <c r="B982" s="21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6153</v>
      </c>
      <c r="F982" s="32" t="s">
        <v>1940</v>
      </c>
      <c r="G982" t="s">
        <v>1923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1" t="str">
        <f>"item_"&amp;CONTROL[[#This Row],[VEHIDCODE]]</f>
        <v>item_electric_PESA_111MS</v>
      </c>
      <c r="O982" s="21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  <c r="R982" t="str" cm="1">
        <f t="array" ref="R982">_xlfn.XLOOKUP(CONTROL[[#This Row],[VEHIDCODE]],GRAPHICS_PROPERTIES[VEHIDCODE],GRAPHICS_PROPERTIES[TEMPLATE_ID]&amp;GRAPHICS_PROPERTIES[TEMPLATE_AMENDMENT_CODE])</f>
        <v>TPL_01A</v>
      </c>
    </row>
    <row r="983" spans="1:18" x14ac:dyDescent="0.35">
      <c r="A983" s="2" t="s">
        <v>3411</v>
      </c>
      <c r="B983" s="21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6154</v>
      </c>
      <c r="F983" s="32" t="s">
        <v>2037</v>
      </c>
      <c r="G983" t="s">
        <v>1941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1" t="str">
        <f>"item_"&amp;CONTROL[[#This Row],[VEHIDCODE]]</f>
        <v>item_electric_Kolomna_VL19</v>
      </c>
      <c r="O983" s="21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  <c r="R983" t="str" cm="1">
        <f t="array" ref="R983">_xlfn.XLOOKUP(CONTROL[[#This Row],[VEHIDCODE]],GRAPHICS_PROPERTIES[VEHIDCODE],GRAPHICS_PROPERTIES[TEMPLATE_ID]&amp;GRAPHICS_PROPERTIES[TEMPLATE_AMENDMENT_CODE])</f>
        <v>TPL_01A</v>
      </c>
    </row>
    <row r="984" spans="1:18" x14ac:dyDescent="0.35">
      <c r="A984" s="2" t="s">
        <v>3412</v>
      </c>
      <c r="B984" s="21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6155</v>
      </c>
      <c r="F984" s="32" t="s">
        <v>2537</v>
      </c>
      <c r="G984" t="s">
        <v>1942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1" t="str">
        <f>"item_"&amp;CONTROL[[#This Row],[VEHIDCODE]]</f>
        <v>item_electric_AEG_Krupp_E18</v>
      </c>
      <c r="O984" s="21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  <c r="R984" t="str" cm="1">
        <f t="array" ref="R984">_xlfn.XLOOKUP(CONTROL[[#This Row],[VEHIDCODE]],GRAPHICS_PROPERTIES[VEHIDCODE],GRAPHICS_PROPERTIES[TEMPLATE_ID]&amp;GRAPHICS_PROPERTIES[TEMPLATE_AMENDMENT_CODE])</f>
        <v>TPL_01A</v>
      </c>
    </row>
    <row r="985" spans="1:18" x14ac:dyDescent="0.35">
      <c r="A985" t="s">
        <v>3413</v>
      </c>
      <c r="B985" s="21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8094</v>
      </c>
      <c r="F985" s="32" t="s">
        <v>2538</v>
      </c>
      <c r="G985" t="s">
        <v>1943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1" t="str">
        <f>"item_"&amp;CONTROL[[#This Row],[VEHIDCODE]]</f>
        <v>item_emu_Hitachi_Alstom_Zefiro_Class_895_HS2</v>
      </c>
      <c r="O985" s="21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  <c r="R985" t="str" cm="1">
        <f t="array" ref="R985">_xlfn.XLOOKUP(CONTROL[[#This Row],[VEHIDCODE]],GRAPHICS_PROPERTIES[VEHIDCODE],GRAPHICS_PROPERTIES[TEMPLATE_ID]&amp;GRAPHICS_PROPERTIES[TEMPLATE_AMENDMENT_CODE])</f>
        <v>TPL_02D</v>
      </c>
    </row>
    <row r="986" spans="1:18" x14ac:dyDescent="0.35">
      <c r="A986" t="s">
        <v>3414</v>
      </c>
      <c r="B986" s="21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5191</v>
      </c>
      <c r="F986" s="32" t="s">
        <v>1968</v>
      </c>
      <c r="G986" t="s">
        <v>1944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1" t="str">
        <f>"item_"&amp;CONTROL[[#This Row],[VEHIDCODE]]</f>
        <v>item_diesel_EMD_JT22CW</v>
      </c>
      <c r="O986" s="21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  <c r="R986" t="str" cm="1">
        <f t="array" ref="R986">_xlfn.XLOOKUP(CONTROL[[#This Row],[VEHIDCODE]],GRAPHICS_PROPERTIES[VEHIDCODE],GRAPHICS_PROPERTIES[TEMPLATE_ID]&amp;GRAPHICS_PROPERTIES[TEMPLATE_AMENDMENT_CODE])</f>
        <v>TPL_01A</v>
      </c>
    </row>
    <row r="987" spans="1:18" x14ac:dyDescent="0.35">
      <c r="A987" t="s">
        <v>3415</v>
      </c>
      <c r="B987" s="21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7063</v>
      </c>
      <c r="F987" s="32" t="s">
        <v>2564</v>
      </c>
      <c r="G987" t="s">
        <v>1952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1" t="str">
        <f>"item_"&amp;CONTROL[[#This Row],[VEHIDCODE]]</f>
        <v>item_dmu_RVR_DR1A</v>
      </c>
      <c r="O987" s="21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  <c r="R987" t="str" cm="1">
        <f t="array" ref="R987">_xlfn.XLOOKUP(CONTROL[[#This Row],[VEHIDCODE]],GRAPHICS_PROPERTIES[VEHIDCODE],GRAPHICS_PROPERTIES[TEMPLATE_ID]&amp;GRAPHICS_PROPERTIES[TEMPLATE_AMENDMENT_CODE])</f>
        <v>TPL_02D</v>
      </c>
    </row>
    <row r="988" spans="1:18" x14ac:dyDescent="0.35">
      <c r="A988" t="s">
        <v>3416</v>
      </c>
      <c r="B988" s="21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6156</v>
      </c>
      <c r="F988" s="32" t="s">
        <v>2582</v>
      </c>
      <c r="G988" t="s">
        <v>523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1" t="str">
        <f>"item_"&amp;CONTROL[[#This Row],[VEHIDCODE]]</f>
        <v>item_electric_ACME_Corp__HS001</v>
      </c>
      <c r="O988" s="21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  <c r="R988" t="str" cm="1">
        <f t="array" ref="R988">_xlfn.XLOOKUP(CONTROL[[#This Row],[VEHIDCODE]],GRAPHICS_PROPERTIES[VEHIDCODE],GRAPHICS_PROPERTIES[TEMPLATE_ID]&amp;GRAPHICS_PROPERTIES[TEMPLATE_AMENDMENT_CODE])</f>
        <v>TPL_01A</v>
      </c>
    </row>
    <row r="989" spans="1:18" x14ac:dyDescent="0.35">
      <c r="A989" t="s">
        <v>3417</v>
      </c>
      <c r="B989" s="21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6157</v>
      </c>
      <c r="F989" s="32" t="s">
        <v>2583</v>
      </c>
      <c r="G989" t="s">
        <v>523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1" t="str">
        <f>"item_"&amp;CONTROL[[#This Row],[VEHIDCODE]]</f>
        <v>item_electric_ACME_Corp__HS002</v>
      </c>
      <c r="O989" s="21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  <c r="R989" t="str" cm="1">
        <f t="array" ref="R989">_xlfn.XLOOKUP(CONTROL[[#This Row],[VEHIDCODE]],GRAPHICS_PROPERTIES[VEHIDCODE],GRAPHICS_PROPERTIES[TEMPLATE_ID]&amp;GRAPHICS_PROPERTIES[TEMPLATE_AMENDMENT_CODE])</f>
        <v>TPL_03D</v>
      </c>
    </row>
    <row r="990" spans="1:18" x14ac:dyDescent="0.35">
      <c r="A990" t="s">
        <v>3418</v>
      </c>
      <c r="B990" s="21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7064</v>
      </c>
      <c r="F990" s="32" t="s">
        <v>2584</v>
      </c>
      <c r="G990" t="s">
        <v>523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1" t="str">
        <f>"item_"&amp;CONTROL[[#This Row],[VEHIDCODE]]</f>
        <v>item_dmu_ACME_Corp__V200D_DMU</v>
      </c>
      <c r="O990" s="21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  <c r="R990" t="str" cm="1">
        <f t="array" ref="R990">_xlfn.XLOOKUP(CONTROL[[#This Row],[VEHIDCODE]],GRAPHICS_PROPERTIES[VEHIDCODE],GRAPHICS_PROPERTIES[TEMPLATE_ID]&amp;GRAPHICS_PROPERTIES[TEMPLATE_AMENDMENT_CODE])</f>
        <v>TPL_02G</v>
      </c>
    </row>
    <row r="991" spans="1:18" x14ac:dyDescent="0.35">
      <c r="A991" t="s">
        <v>3419</v>
      </c>
      <c r="B991" s="21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8095</v>
      </c>
      <c r="F991" s="32" t="s">
        <v>2585</v>
      </c>
      <c r="G991" t="s">
        <v>523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1" t="str">
        <f>"item_"&amp;CONTROL[[#This Row],[VEHIDCODE]]</f>
        <v>item_emu_ACME_Corp__V200E_EMU</v>
      </c>
      <c r="O991" s="21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  <c r="R991" t="str" cm="1">
        <f t="array" ref="R991">_xlfn.XLOOKUP(CONTROL[[#This Row],[VEHIDCODE]],GRAPHICS_PROPERTIES[VEHIDCODE],GRAPHICS_PROPERTIES[TEMPLATE_ID]&amp;GRAPHICS_PROPERTIES[TEMPLATE_AMENDMENT_CODE])</f>
        <v>TPL_02G</v>
      </c>
    </row>
    <row r="992" spans="1:18" x14ac:dyDescent="0.35">
      <c r="A992" t="s">
        <v>3420</v>
      </c>
      <c r="B992" s="21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14501</v>
      </c>
      <c r="F992" s="32" t="s">
        <v>2587</v>
      </c>
      <c r="G992" t="s">
        <v>523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1" t="str">
        <f>"item_"&amp;CONTROL[[#This Row],[VEHIDCODE]]</f>
        <v>item_cargoemu_ACME_Corp__DD_CargoEMU</v>
      </c>
      <c r="O992" s="21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  <c r="R992" t="str" cm="1">
        <f t="array" ref="R992">_xlfn.XLOOKUP(CONTROL[[#This Row],[VEHIDCODE]],GRAPHICS_PROPERTIES[VEHIDCODE],GRAPHICS_PROPERTIES[TEMPLATE_ID]&amp;GRAPHICS_PROPERTIES[TEMPLATE_AMENDMENT_CODE])</f>
        <v>TPL_42C</v>
      </c>
    </row>
    <row r="993" spans="1:18" x14ac:dyDescent="0.35">
      <c r="A993" t="s">
        <v>3421</v>
      </c>
      <c r="B993" s="21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5192</v>
      </c>
      <c r="F993" s="32" t="s">
        <v>3611</v>
      </c>
      <c r="G993" t="s">
        <v>2588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1" t="str">
        <f>"item_"&amp;CONTROL[[#This Row],[VEHIDCODE]]</f>
        <v>item_diesel_VEB_LKM_V180</v>
      </c>
      <c r="O993" s="21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  <c r="R993" t="str" cm="1">
        <f t="array" ref="R993">_xlfn.XLOOKUP(CONTROL[[#This Row],[VEHIDCODE]],GRAPHICS_PROPERTIES[VEHIDCODE],GRAPHICS_PROPERTIES[TEMPLATE_ID]&amp;GRAPHICS_PROPERTIES[TEMPLATE_AMENDMENT_CODE])</f>
        <v>TPL_01A</v>
      </c>
    </row>
    <row r="994" spans="1:18" x14ac:dyDescent="0.35">
      <c r="A994" t="s">
        <v>3422</v>
      </c>
      <c r="B994" s="21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8096</v>
      </c>
      <c r="F994" s="32" t="s">
        <v>2590</v>
      </c>
      <c r="G994" t="s">
        <v>2589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1" t="str">
        <f>"item_"&amp;CONTROL[[#This Row],[VEHIDCODE]]</f>
        <v>item_emu_PESA_43WE_DART</v>
      </c>
      <c r="O994" s="21" t="str">
        <f>"str_"&amp;CONTROL[[#This Row],[VEHIDCODE]]</f>
        <v>str_emu_PESA_43WE_DART</v>
      </c>
      <c r="P994" s="42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  <c r="R994" t="str" cm="1">
        <f t="array" ref="R994">_xlfn.XLOOKUP(CONTROL[[#This Row],[VEHIDCODE]],GRAPHICS_PROPERTIES[VEHIDCODE],GRAPHICS_PROPERTIES[TEMPLATE_ID]&amp;GRAPHICS_PROPERTIES[TEMPLATE_AMENDMENT_CODE])</f>
        <v>TPL_02E</v>
      </c>
    </row>
    <row r="995" spans="1:18" x14ac:dyDescent="0.35">
      <c r="A995" t="s">
        <v>3423</v>
      </c>
      <c r="B995" s="21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6158</v>
      </c>
      <c r="F995" s="32" t="s">
        <v>2591</v>
      </c>
      <c r="G995" t="s">
        <v>2592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1" t="str">
        <f>"item_"&amp;CONTROL[[#This Row],[VEHIDCODE]]</f>
        <v>item_electric_LEW_EL2</v>
      </c>
      <c r="O995" s="21" t="str">
        <f>"str_"&amp;CONTROL[[#This Row],[VEHIDCODE]]</f>
        <v>str_electric_LEW_EL2</v>
      </c>
      <c r="P995" s="42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  <c r="R995" t="str" cm="1">
        <f t="array" ref="R995">_xlfn.XLOOKUP(CONTROL[[#This Row],[VEHIDCODE]],GRAPHICS_PROPERTIES[VEHIDCODE],GRAPHICS_PROPERTIES[TEMPLATE_ID]&amp;GRAPHICS_PROPERTIES[TEMPLATE_AMENDMENT_CODE])</f>
        <v>TPL_01A</v>
      </c>
    </row>
    <row r="996" spans="1:18" x14ac:dyDescent="0.35">
      <c r="A996" t="s">
        <v>3424</v>
      </c>
      <c r="B996" s="21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6159</v>
      </c>
      <c r="F996" s="32" t="s">
        <v>2593</v>
      </c>
      <c r="G996" t="s">
        <v>2594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1" t="str">
        <f>"item_"&amp;CONTROL[[#This Row],[VEHIDCODE]]</f>
        <v>item_electric_Pafawag_201E</v>
      </c>
      <c r="O996" s="21" t="str">
        <f>"str_"&amp;CONTROL[[#This Row],[VEHIDCODE]]</f>
        <v>str_electric_Pafawag_201E</v>
      </c>
      <c r="P996" s="42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  <c r="R996" t="str" cm="1">
        <f t="array" ref="R996">_xlfn.XLOOKUP(CONTROL[[#This Row],[VEHIDCODE]],GRAPHICS_PROPERTIES[VEHIDCODE],GRAPHICS_PROPERTIES[TEMPLATE_ID]&amp;GRAPHICS_PROPERTIES[TEMPLATE_AMENDMENT_CODE])</f>
        <v>TPL_01A</v>
      </c>
    </row>
    <row r="997" spans="1:18" x14ac:dyDescent="0.35">
      <c r="A997" t="s">
        <v>3425</v>
      </c>
      <c r="B997" s="21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5193</v>
      </c>
      <c r="F997" s="32" t="s">
        <v>2595</v>
      </c>
      <c r="G997" t="s">
        <v>2596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1" t="str">
        <f>"item_"&amp;CONTROL[[#This Row],[VEHIDCODE]]</f>
        <v>item_diesel_NOHAB_AA16</v>
      </c>
      <c r="O997" s="21" t="str">
        <f>"str_"&amp;CONTROL[[#This Row],[VEHIDCODE]]</f>
        <v>str_diesel_NOHAB_AA16</v>
      </c>
      <c r="P997" s="42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  <c r="R997" t="str" cm="1">
        <f t="array" ref="R997">_xlfn.XLOOKUP(CONTROL[[#This Row],[VEHIDCODE]],GRAPHICS_PROPERTIES[VEHIDCODE],GRAPHICS_PROPERTIES[TEMPLATE_ID]&amp;GRAPHICS_PROPERTIES[TEMPLATE_AMENDMENT_CODE])</f>
        <v>TPL_01A</v>
      </c>
    </row>
    <row r="998" spans="1:18" x14ac:dyDescent="0.35">
      <c r="A998" t="s">
        <v>3426</v>
      </c>
      <c r="B998" s="21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5194</v>
      </c>
      <c r="F998" s="32" t="s">
        <v>2597</v>
      </c>
      <c r="G998" t="s">
        <v>2598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1" t="str">
        <f>"item_"&amp;CONTROL[[#This Row],[VEHIDCODE]]</f>
        <v>item_diesel_LEW_V100</v>
      </c>
      <c r="O998" s="21" t="str">
        <f>"str_"&amp;CONTROL[[#This Row],[VEHIDCODE]]</f>
        <v>str_diesel_LEW_V100</v>
      </c>
      <c r="P998" s="42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  <c r="R998" t="str" cm="1">
        <f t="array" ref="R998">_xlfn.XLOOKUP(CONTROL[[#This Row],[VEHIDCODE]],GRAPHICS_PROPERTIES[VEHIDCODE],GRAPHICS_PROPERTIES[TEMPLATE_ID]&amp;GRAPHICS_PROPERTIES[TEMPLATE_AMENDMENT_CODE])</f>
        <v>TPL_01A</v>
      </c>
    </row>
    <row r="999" spans="1:18" x14ac:dyDescent="0.35">
      <c r="A999" t="s">
        <v>3427</v>
      </c>
      <c r="B999" s="21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5195</v>
      </c>
      <c r="F999" s="32" t="s">
        <v>2620</v>
      </c>
      <c r="G999" t="s">
        <v>2623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1" t="str">
        <f>"item_"&amp;CONTROL[[#This Row],[VEHIDCODE]]</f>
        <v>item_diesel_Fablok_6D</v>
      </c>
      <c r="O999" s="21" t="str">
        <f>"str_"&amp;CONTROL[[#This Row],[VEHIDCODE]]</f>
        <v>str_diesel_Fablok_6D</v>
      </c>
      <c r="P999" s="42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  <c r="R999" t="str" cm="1">
        <f t="array" ref="R999">_xlfn.XLOOKUP(CONTROL[[#This Row],[VEHIDCODE]],GRAPHICS_PROPERTIES[VEHIDCODE],GRAPHICS_PROPERTIES[TEMPLATE_ID]&amp;GRAPHICS_PROPERTIES[TEMPLATE_AMENDMENT_CODE])</f>
        <v>TPL_01A</v>
      </c>
    </row>
    <row r="1000" spans="1:18" x14ac:dyDescent="0.35">
      <c r="A1000" t="s">
        <v>3428</v>
      </c>
      <c r="B1000" s="21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5196</v>
      </c>
      <c r="F1000" s="32" t="s">
        <v>2624</v>
      </c>
      <c r="G1000" t="s">
        <v>2625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1" t="str">
        <f>"item_"&amp;CONTROL[[#This Row],[VEHIDCODE]]</f>
        <v>item_diesel_HCP_301D</v>
      </c>
      <c r="O1000" s="21" t="str">
        <f>"str_"&amp;CONTROL[[#This Row],[VEHIDCODE]]</f>
        <v>str_diesel_HCP_301D</v>
      </c>
      <c r="P1000" s="42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  <c r="R1000" t="str" cm="1">
        <f t="array" ref="R1000">_xlfn.XLOOKUP(CONTROL[[#This Row],[VEHIDCODE]],GRAPHICS_PROPERTIES[VEHIDCODE],GRAPHICS_PROPERTIES[TEMPLATE_ID]&amp;GRAPHICS_PROPERTIES[TEMPLATE_AMENDMENT_CODE])</f>
        <v>TPL_01A</v>
      </c>
    </row>
    <row r="1001" spans="1:18" x14ac:dyDescent="0.35">
      <c r="A1001" t="s">
        <v>3429</v>
      </c>
      <c r="B1001" s="21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7065</v>
      </c>
      <c r="F1001" s="32" t="s">
        <v>2622</v>
      </c>
      <c r="G1001" t="s">
        <v>2621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1" t="str">
        <f>"item_"&amp;CONTROL[[#This Row],[VEHIDCODE]]</f>
        <v>item_dmu_Stadler_Flirt_PowerPack_DMU</v>
      </c>
      <c r="O1001" s="21" t="str">
        <f>"str_"&amp;CONTROL[[#This Row],[VEHIDCODE]]</f>
        <v>str_dmu_Stadler_Flirt_PowerPack_DMU</v>
      </c>
      <c r="P1001" s="42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  <c r="R1001" t="str" cm="1">
        <f t="array" ref="R1001">_xlfn.XLOOKUP(CONTROL[[#This Row],[VEHIDCODE]],GRAPHICS_PROPERTIES[VEHIDCODE],GRAPHICS_PROPERTIES[TEMPLATE_ID]&amp;GRAPHICS_PROPERTIES[TEMPLATE_AMENDMENT_CODE])</f>
        <v>TPL_02E</v>
      </c>
    </row>
    <row r="1002" spans="1:18" x14ac:dyDescent="0.35">
      <c r="A1002" t="s">
        <v>3430</v>
      </c>
      <c r="B1002" s="21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14502</v>
      </c>
      <c r="F1002" s="32" t="s">
        <v>2626</v>
      </c>
      <c r="G1002" t="s">
        <v>2627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1" t="str">
        <f>"item_"&amp;CONTROL[[#This Row],[VEHIDCODE]]</f>
        <v>item_cargoemu_JNR_Container_Bullet_Train_Concept</v>
      </c>
      <c r="O1002" s="21" t="str">
        <f>"str_"&amp;CONTROL[[#This Row],[VEHIDCODE]]</f>
        <v>str_cargoemu_JNR_Container_Bullet_Train_Concept</v>
      </c>
      <c r="P1002" s="42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  <c r="R1002" t="str" cm="1">
        <f t="array" ref="R1002">_xlfn.XLOOKUP(CONTROL[[#This Row],[VEHIDCODE]],GRAPHICS_PROPERTIES[VEHIDCODE],GRAPHICS_PROPERTIES[TEMPLATE_ID]&amp;GRAPHICS_PROPERTIES[TEMPLATE_AMENDMENT_CODE])</f>
        <v>TPL_42B</v>
      </c>
    </row>
    <row r="1003" spans="1:18" x14ac:dyDescent="0.35">
      <c r="A1003" t="s">
        <v>3431</v>
      </c>
      <c r="B1003" s="21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6160</v>
      </c>
      <c r="F1003" s="32" t="s">
        <v>2630</v>
      </c>
      <c r="G1003" t="s">
        <v>2631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1" t="str">
        <f>"item_"&amp;CONTROL[[#This Row],[VEHIDCODE]]</f>
        <v>item_electric_Hitachi_WAG_6B_C</v>
      </c>
      <c r="O1003" s="21" t="str">
        <f>"str_"&amp;CONTROL[[#This Row],[VEHIDCODE]]</f>
        <v>str_electric_Hitachi_WAG_6B_C</v>
      </c>
      <c r="P1003" s="42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  <c r="R1003" t="str" cm="1">
        <f t="array" ref="R1003">_xlfn.XLOOKUP(CONTROL[[#This Row],[VEHIDCODE]],GRAPHICS_PROPERTIES[VEHIDCODE],GRAPHICS_PROPERTIES[TEMPLATE_ID]&amp;GRAPHICS_PROPERTIES[TEMPLATE_AMENDMENT_CODE])</f>
        <v>TPL_01A</v>
      </c>
    </row>
    <row r="1004" spans="1:18" x14ac:dyDescent="0.35">
      <c r="A1004" t="s">
        <v>3432</v>
      </c>
      <c r="B1004" s="21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6161</v>
      </c>
      <c r="F1004" s="32" t="s">
        <v>2632</v>
      </c>
      <c r="G1004" t="s">
        <v>2633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1" t="str">
        <f>"item_"&amp;CONTROL[[#This Row],[VEHIDCODE]]</f>
        <v>item_electric_Toshiba_10E</v>
      </c>
      <c r="O1004" s="21" t="str">
        <f>"str_"&amp;CONTROL[[#This Row],[VEHIDCODE]]</f>
        <v>str_electric_Toshiba_10E</v>
      </c>
      <c r="P1004" s="42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  <c r="R1004" t="str" cm="1">
        <f t="array" ref="R1004">_xlfn.XLOOKUP(CONTROL[[#This Row],[VEHIDCODE]],GRAPHICS_PROPERTIES[VEHIDCODE],GRAPHICS_PROPERTIES[TEMPLATE_ID]&amp;GRAPHICS_PROPERTIES[TEMPLATE_AMENDMENT_CODE])</f>
        <v>TPL_01A</v>
      </c>
    </row>
    <row r="1005" spans="1:18" x14ac:dyDescent="0.35">
      <c r="A1005" s="2" t="s">
        <v>3433</v>
      </c>
      <c r="B1005" s="21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6162</v>
      </c>
      <c r="F1005" s="32" t="s">
        <v>2634</v>
      </c>
      <c r="G1005" t="s">
        <v>2635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1" t="str">
        <f>"item_"&amp;CONTROL[[#This Row],[VEHIDCODE]]</f>
        <v>item_electric_GEC_9E</v>
      </c>
      <c r="O1005" s="21" t="str">
        <f>"str_"&amp;CONTROL[[#This Row],[VEHIDCODE]]</f>
        <v>str_electric_GEC_9E</v>
      </c>
      <c r="P1005" s="42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  <c r="R1005" t="str" cm="1">
        <f t="array" ref="R1005">_xlfn.XLOOKUP(CONTROL[[#This Row],[VEHIDCODE]],GRAPHICS_PROPERTIES[VEHIDCODE],GRAPHICS_PROPERTIES[TEMPLATE_ID]&amp;GRAPHICS_PROPERTIES[TEMPLATE_AMENDMENT_CODE])</f>
        <v>TPL_01A</v>
      </c>
    </row>
    <row r="1006" spans="1:18" x14ac:dyDescent="0.35">
      <c r="A1006" t="s">
        <v>3434</v>
      </c>
      <c r="B1006" s="21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6163</v>
      </c>
      <c r="F1006" s="32" t="s">
        <v>2636</v>
      </c>
      <c r="G1006" t="s">
        <v>2637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1" t="str">
        <f>"item_"&amp;CONTROL[[#This Row],[VEHIDCODE]]</f>
        <v>item_electric_Hitachi_E1100</v>
      </c>
      <c r="O1006" s="21" t="str">
        <f>"str_"&amp;CONTROL[[#This Row],[VEHIDCODE]]</f>
        <v>str_electric_Hitachi_E1100</v>
      </c>
      <c r="P1006" s="42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  <c r="R1006" t="str" cm="1">
        <f t="array" ref="R1006">_xlfn.XLOOKUP(CONTROL[[#This Row],[VEHIDCODE]],GRAPHICS_PROPERTIES[VEHIDCODE],GRAPHICS_PROPERTIES[TEMPLATE_ID]&amp;GRAPHICS_PROPERTIES[TEMPLATE_AMENDMENT_CODE])</f>
        <v>TPL_01A</v>
      </c>
    </row>
    <row r="1007" spans="1:18" x14ac:dyDescent="0.35">
      <c r="A1007" t="s">
        <v>3435</v>
      </c>
      <c r="B1007" s="21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6164</v>
      </c>
      <c r="F1007" s="32" t="s">
        <v>2638</v>
      </c>
      <c r="G1007" t="s">
        <v>2639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1" t="str">
        <f>"item_"&amp;CONTROL[[#This Row],[VEHIDCODE]]</f>
        <v>item_electric_RDSO_CLW_WAM_4</v>
      </c>
      <c r="O1007" s="21" t="str">
        <f>"str_"&amp;CONTROL[[#This Row],[VEHIDCODE]]</f>
        <v>str_electric_RDSO_CLW_WAM_4</v>
      </c>
      <c r="P1007" s="42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  <c r="R1007" t="str" cm="1">
        <f t="array" ref="R1007">_xlfn.XLOOKUP(CONTROL[[#This Row],[VEHIDCODE]],GRAPHICS_PROPERTIES[VEHIDCODE],GRAPHICS_PROPERTIES[TEMPLATE_ID]&amp;GRAPHICS_PROPERTIES[TEMPLATE_AMENDMENT_CODE])</f>
        <v>TPL_01A</v>
      </c>
    </row>
    <row r="1008" spans="1:18" x14ac:dyDescent="0.35">
      <c r="A1008" t="s">
        <v>3436</v>
      </c>
      <c r="B1008" s="21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6165</v>
      </c>
      <c r="F1008" s="32" t="s">
        <v>2641</v>
      </c>
      <c r="G1008" t="s">
        <v>2642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1" t="str">
        <f>"item_"&amp;CONTROL[[#This Row],[VEHIDCODE]]</f>
        <v>item_electric_Groupement_50_Hz_WAM_1</v>
      </c>
      <c r="O1008" s="21" t="str">
        <f>"str_"&amp;CONTROL[[#This Row],[VEHIDCODE]]</f>
        <v>str_electric_Groupement_50_Hz_WAM_1</v>
      </c>
      <c r="P1008" s="42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  <c r="R1008" t="str" cm="1">
        <f t="array" ref="R1008">_xlfn.XLOOKUP(CONTROL[[#This Row],[VEHIDCODE]],GRAPHICS_PROPERTIES[VEHIDCODE],GRAPHICS_PROPERTIES[TEMPLATE_ID]&amp;GRAPHICS_PROPERTIES[TEMPLATE_AMENDMENT_CODE])</f>
        <v>TPL_01A</v>
      </c>
    </row>
    <row r="1009" spans="1:18" x14ac:dyDescent="0.35">
      <c r="A1009" t="s">
        <v>3437</v>
      </c>
      <c r="B1009" s="21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5197</v>
      </c>
      <c r="F1009" s="32" t="s">
        <v>2643</v>
      </c>
      <c r="G1009" t="s">
        <v>2644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1" t="str">
        <f>"item_"&amp;CONTROL[[#This Row],[VEHIDCODE]]</f>
        <v>item_diesel_Baldwin_Lima_Hamilton_RF_615_E</v>
      </c>
      <c r="O1009" s="21" t="str">
        <f>"str_"&amp;CONTROL[[#This Row],[VEHIDCODE]]</f>
        <v>str_diesel_Baldwin_Lima_Hamilton_RF_615_E</v>
      </c>
      <c r="P1009" s="42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  <c r="R1009" t="str" cm="1">
        <f t="array" ref="R1009">_xlfn.XLOOKUP(CONTROL[[#This Row],[VEHIDCODE]],GRAPHICS_PROPERTIES[VEHIDCODE],GRAPHICS_PROPERTIES[TEMPLATE_ID]&amp;GRAPHICS_PROPERTIES[TEMPLATE_AMENDMENT_CODE])</f>
        <v>TPL_01A</v>
      </c>
    </row>
    <row r="1010" spans="1:18" x14ac:dyDescent="0.35">
      <c r="A1010" t="s">
        <v>3438</v>
      </c>
      <c r="B1010" s="21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5198</v>
      </c>
      <c r="F1010" s="32" t="s">
        <v>2645</v>
      </c>
      <c r="G1010" t="s">
        <v>2646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1" t="str">
        <f>"item_"&amp;CONTROL[[#This Row],[VEHIDCODE]]</f>
        <v>item_diesel_EE_Dick__Kerr___Co_Vulcan_Foundry_DE2</v>
      </c>
      <c r="O1010" s="21" t="str">
        <f>"str_"&amp;CONTROL[[#This Row],[VEHIDCODE]]</f>
        <v>str_diesel_EE_Dick__Kerr___Co_Vulcan_Foundry_DE2</v>
      </c>
      <c r="P1010" s="42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  <c r="R1010" t="str" cm="1">
        <f t="array" ref="R1010">_xlfn.XLOOKUP(CONTROL[[#This Row],[VEHIDCODE]],GRAPHICS_PROPERTIES[VEHIDCODE],GRAPHICS_PROPERTIES[TEMPLATE_ID]&amp;GRAPHICS_PROPERTIES[TEMPLATE_AMENDMENT_CODE])</f>
        <v>TPL_01A</v>
      </c>
    </row>
    <row r="1011" spans="1:18" x14ac:dyDescent="0.35">
      <c r="A1011" t="s">
        <v>3487</v>
      </c>
      <c r="B1011" s="21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5199</v>
      </c>
      <c r="F1011" s="32" t="s">
        <v>2648</v>
      </c>
      <c r="G1011" t="s">
        <v>2647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1" t="str">
        <f>"item_"&amp;CONTROL[[#This Row],[VEHIDCODE]]</f>
        <v>item_diesel_Ingeteam_TD2000_series</v>
      </c>
      <c r="O1011" s="21" t="str">
        <f>"str_"&amp;CONTROL[[#This Row],[VEHIDCODE]]</f>
        <v>str_diesel_Ingeteam_TD2000_series</v>
      </c>
      <c r="P1011" s="42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  <c r="R1011" t="str" cm="1">
        <f t="array" ref="R1011">_xlfn.XLOOKUP(CONTROL[[#This Row],[VEHIDCODE]],GRAPHICS_PROPERTIES[VEHIDCODE],GRAPHICS_PROPERTIES[TEMPLATE_ID]&amp;GRAPHICS_PROPERTIES[TEMPLATE_AMENDMENT_CODE])</f>
        <v>TPL_01A</v>
      </c>
    </row>
    <row r="1012" spans="1:18" x14ac:dyDescent="0.35">
      <c r="A1012" s="2" t="s">
        <v>3479</v>
      </c>
      <c r="B1012" s="21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5200</v>
      </c>
      <c r="F1012" s="32" t="s">
        <v>2407</v>
      </c>
      <c r="G1012" t="s">
        <v>1634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1" t="str">
        <f>"item_"&amp;CONTROL[[#This Row],[VEHIDCODE]]</f>
        <v>item_diesel_Tulloch_0_6_0DM_W_Class</v>
      </c>
      <c r="O1012" s="21" t="str">
        <f>"str_"&amp;CONTROL[[#This Row],[VEHIDCODE]]</f>
        <v>str_diesel_Tulloch_0_6_0DM_W_Class</v>
      </c>
      <c r="P1012" s="42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  <c r="R1012" t="str" cm="1">
        <f t="array" ref="R1012">_xlfn.XLOOKUP(CONTROL[[#This Row],[VEHIDCODE]],GRAPHICS_PROPERTIES[VEHIDCODE],GRAPHICS_PROPERTIES[TEMPLATE_ID]&amp;GRAPHICS_PROPERTIES[TEMPLATE_AMENDMENT_CODE])</f>
        <v>TPL_01A</v>
      </c>
    </row>
    <row r="1013" spans="1:18" x14ac:dyDescent="0.35">
      <c r="A1013" t="s">
        <v>3491</v>
      </c>
      <c r="B1013" s="21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6166</v>
      </c>
      <c r="F1013" s="32" t="s">
        <v>3496</v>
      </c>
      <c r="G1013" t="s">
        <v>3501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1" t="str">
        <f>"item_"&amp;CONTROL[[#This Row],[VEHIDCODE]]</f>
        <v>item_electric_GE_289_Boxcab</v>
      </c>
      <c r="O1013" s="21" t="str">
        <f>"str_"&amp;CONTROL[[#This Row],[VEHIDCODE]]</f>
        <v>str_electric_GE_289_Boxcab</v>
      </c>
      <c r="P1013" s="42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  <c r="R1013" t="str" cm="1">
        <f t="array" ref="R1013">_xlfn.XLOOKUP(CONTROL[[#This Row],[VEHIDCODE]],GRAPHICS_PROPERTIES[VEHIDCODE],GRAPHICS_PROPERTIES[TEMPLATE_ID]&amp;GRAPHICS_PROPERTIES[TEMPLATE_AMENDMENT_CODE])</f>
        <v>TPL_01A</v>
      </c>
    </row>
    <row r="1014" spans="1:18" x14ac:dyDescent="0.35">
      <c r="A1014" t="s">
        <v>3494</v>
      </c>
      <c r="B1014" s="21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6167</v>
      </c>
      <c r="F1014" s="32" t="s">
        <v>3495</v>
      </c>
      <c r="G1014" t="s">
        <v>3497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1" t="str">
        <f>"item_"&amp;CONTROL[[#This Row],[VEHIDCODE]]</f>
        <v>item_electric_Alsthom_EC_386</v>
      </c>
      <c r="O1014" s="21" t="str">
        <f>"str_"&amp;CONTROL[[#This Row],[VEHIDCODE]]</f>
        <v>str_electric_Alsthom_EC_386</v>
      </c>
      <c r="P1014" s="42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  <c r="R1014" t="str" cm="1">
        <f t="array" ref="R1014">_xlfn.XLOOKUP(CONTROL[[#This Row],[VEHIDCODE]],GRAPHICS_PROPERTIES[VEHIDCODE],GRAPHICS_PROPERTIES[TEMPLATE_ID]&amp;GRAPHICS_PROPERTIES[TEMPLATE_AMENDMENT_CODE])</f>
        <v>TPL_01A</v>
      </c>
    </row>
    <row r="1015" spans="1:18" x14ac:dyDescent="0.35">
      <c r="A1015" t="s">
        <v>3499</v>
      </c>
      <c r="B1015" s="21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6168</v>
      </c>
      <c r="F1015" s="32" t="s">
        <v>3498</v>
      </c>
      <c r="G1015" t="s">
        <v>523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1" t="str">
        <f>"item_"&amp;CONTROL[[#This Row],[VEHIDCODE]]</f>
        <v>item_electric_Chesta_Casagrande_E650</v>
      </c>
      <c r="O1015" s="21" t="str">
        <f>"str_"&amp;CONTROL[[#This Row],[VEHIDCODE]]</f>
        <v>str_electric_Chesta_Casagrande_E650</v>
      </c>
      <c r="P1015" s="42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  <c r="R1015" t="str" cm="1">
        <f t="array" ref="R1015">_xlfn.XLOOKUP(CONTROL[[#This Row],[VEHIDCODE]],GRAPHICS_PROPERTIES[VEHIDCODE],GRAPHICS_PROPERTIES[TEMPLATE_ID]&amp;GRAPHICS_PROPERTIES[TEMPLATE_AMENDMENT_CODE])</f>
        <v>TPL_01A</v>
      </c>
    </row>
    <row r="1016" spans="1:18" x14ac:dyDescent="0.35">
      <c r="A1016" t="s">
        <v>3492</v>
      </c>
      <c r="B1016" s="21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6169</v>
      </c>
      <c r="F1016" s="32" t="s">
        <v>3493</v>
      </c>
      <c r="G1016" t="s">
        <v>3500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1" t="str">
        <f>"item_"&amp;CONTROL[[#This Row],[VEHIDCODE]]</f>
        <v>item_electric_Breda_Marelli_E32</v>
      </c>
      <c r="O1016" s="21" t="str">
        <f>"str_"&amp;CONTROL[[#This Row],[VEHIDCODE]]</f>
        <v>str_electric_Breda_Marelli_E32</v>
      </c>
      <c r="P1016" s="42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  <c r="R1016" t="str" cm="1">
        <f t="array" ref="R1016">_xlfn.XLOOKUP(CONTROL[[#This Row],[VEHIDCODE]],GRAPHICS_PROPERTIES[VEHIDCODE],GRAPHICS_PROPERTIES[TEMPLATE_ID]&amp;GRAPHICS_PROPERTIES[TEMPLATE_AMENDMENT_CODE])</f>
        <v>TPL_01A</v>
      </c>
    </row>
    <row r="1017" spans="1:18" x14ac:dyDescent="0.35">
      <c r="A1017" t="s">
        <v>3502</v>
      </c>
      <c r="B1017" s="21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5201</v>
      </c>
      <c r="F1017" s="32" t="s">
        <v>3503</v>
      </c>
      <c r="G1017" t="s">
        <v>1320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1" t="str">
        <f>"item_"&amp;CONTROL[[#This Row],[VEHIDCODE]]</f>
        <v>item_diesel_GE_ES58ACi</v>
      </c>
      <c r="O1017" s="21" t="str">
        <f>"str_"&amp;CONTROL[[#This Row],[VEHIDCODE]]</f>
        <v>str_diesel_GE_ES58ACi</v>
      </c>
      <c r="P1017" s="42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  <c r="R1017" t="str" cm="1">
        <f t="array" ref="R1017">_xlfn.XLOOKUP(CONTROL[[#This Row],[VEHIDCODE]],GRAPHICS_PROPERTIES[VEHIDCODE],GRAPHICS_PROPERTIES[TEMPLATE_ID]&amp;GRAPHICS_PROPERTIES[TEMPLATE_AMENDMENT_CODE])</f>
        <v>TPL_01A</v>
      </c>
    </row>
    <row r="1018" spans="1:18" x14ac:dyDescent="0.35">
      <c r="A1018" t="s">
        <v>3703</v>
      </c>
      <c r="B1018" s="21" t="str">
        <f>_xlfn.TEXTAFTER(CONTROL[[#This Row],[VEHIDCODE]],"_")</f>
        <v>Ganz_MAVAG_Ikarus_725_00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2048</v>
      </c>
      <c r="F1018" s="32" t="s">
        <v>3548</v>
      </c>
      <c r="G1018" t="s">
        <v>3542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1" t="str">
        <f>"item_"&amp;CONTROL[[#This Row],[VEHIDCODE]]</f>
        <v>item_rbd_Ganz_MAVAG_Ikarus_725_00</v>
      </c>
      <c r="O1018" s="21" t="str">
        <f>"str_"&amp;CONTROL[[#This Row],[VEHIDCODE]]</f>
        <v>str_rbd_Ganz_MAVAG_Ikarus_725_00</v>
      </c>
      <c r="P1018" s="42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  <c r="R1018" t="str" cm="1">
        <f t="array" ref="R1018">_xlfn.XLOOKUP(CONTROL[[#This Row],[VEHIDCODE]],GRAPHICS_PROPERTIES[VEHIDCODE],GRAPHICS_PROPERTIES[TEMPLATE_ID]&amp;GRAPHICS_PROPERTIES[TEMPLATE_AMENDMENT_CODE])</f>
        <v>TPL_03E</v>
      </c>
    </row>
    <row r="1019" spans="1:18" x14ac:dyDescent="0.35">
      <c r="A1019" t="s">
        <v>3558</v>
      </c>
      <c r="B1019" s="21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9067</v>
      </c>
      <c r="F1019" s="32" t="s">
        <v>3559</v>
      </c>
      <c r="G1019" t="s">
        <v>3560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1" t="str">
        <f>"item_"&amp;CONTROL[[#This Row],[VEHIDCODE]]</f>
        <v>item_mtro_Alstom_Metropolis</v>
      </c>
      <c r="O1019" s="21" t="str">
        <f>"str_"&amp;CONTROL[[#This Row],[VEHIDCODE]]</f>
        <v>str_mtro_Alstom_Metropolis</v>
      </c>
      <c r="P1019" s="42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  <c r="R1019" t="str" cm="1">
        <f t="array" ref="R1019">_xlfn.XLOOKUP(CONTROL[[#This Row],[VEHIDCODE]],GRAPHICS_PROPERTIES[VEHIDCODE],GRAPHICS_PROPERTIES[TEMPLATE_ID]&amp;GRAPHICS_PROPERTIES[TEMPLATE_AMENDMENT_CODE])</f>
        <v>TPL_02C</v>
      </c>
    </row>
    <row r="1020" spans="1:18" x14ac:dyDescent="0.35">
      <c r="A1020" t="s">
        <v>3561</v>
      </c>
      <c r="B1020" s="21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4153</v>
      </c>
      <c r="F1020" s="32" t="s">
        <v>3563</v>
      </c>
      <c r="G1020" t="s">
        <v>3562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1" t="str">
        <f>"item_"&amp;CONTROL[[#This Row],[VEHIDCODE]]</f>
        <v>item_steam_Sharp_2_2_2_Patriot</v>
      </c>
      <c r="O1020" s="21" t="str">
        <f>"str_"&amp;CONTROL[[#This Row],[VEHIDCODE]]</f>
        <v>str_steam_Sharp_2_2_2_Patriot</v>
      </c>
      <c r="P1020" s="42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  <c r="R1020" t="str" cm="1">
        <f t="array" ref="R1020">_xlfn.XLOOKUP(CONTROL[[#This Row],[VEHIDCODE]],GRAPHICS_PROPERTIES[VEHIDCODE],GRAPHICS_PROPERTIES[TEMPLATE_ID]&amp;GRAPHICS_PROPERTIES[TEMPLATE_AMENDMENT_CODE])</f>
        <v>TPL_03C</v>
      </c>
    </row>
    <row r="1021" spans="1:18" x14ac:dyDescent="0.35">
      <c r="A1021" s="2" t="s">
        <v>3570</v>
      </c>
      <c r="B1021" s="21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11097</v>
      </c>
      <c r="F1021" s="32" t="s">
        <v>3571</v>
      </c>
      <c r="G1021" t="s">
        <v>523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1" t="str">
        <f>"item_"&amp;CONTROL[[#This Row],[VEHIDCODE]]</f>
        <v>item_mu_Coach_Gen2_Heavyweight_Regional_Coach</v>
      </c>
      <c r="O1021" s="21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  <c r="R1021" t="str" cm="1">
        <f t="array" ref="R1021">_xlfn.XLOOKUP(CONTROL[[#This Row],[VEHIDCODE]],GRAPHICS_PROPERTIES[VEHIDCODE],GRAPHICS_PROPERTIES[TEMPLATE_ID]&amp;GRAPHICS_PROPERTIES[TEMPLATE_AMENDMENT_CODE])</f>
        <v>TPL_04A</v>
      </c>
    </row>
    <row r="1022" spans="1:18" x14ac:dyDescent="0.35">
      <c r="A1022" t="s">
        <v>3575</v>
      </c>
      <c r="B1022" s="21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11098</v>
      </c>
      <c r="F1022" s="32" t="s">
        <v>3576</v>
      </c>
      <c r="G1022" t="s">
        <v>523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1" t="str">
        <f>"item_"&amp;CONTROL[[#This Row],[VEHIDCODE]]</f>
        <v>item_mu_Coach_Gen1_American_Style_Coach</v>
      </c>
      <c r="O1022" s="21" t="str">
        <f>"str_"&amp;CONTROL[[#This Row],[VEHIDCODE]]</f>
        <v>str_mu_Coach_Gen1_American_Style_Coach</v>
      </c>
      <c r="P1022" s="42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  <c r="R1022" t="str" cm="1">
        <f t="array" ref="R1022">_xlfn.XLOOKUP(CONTROL[[#This Row],[VEHIDCODE]],GRAPHICS_PROPERTIES[VEHIDCODE],GRAPHICS_PROPERTIES[TEMPLATE_ID]&amp;GRAPHICS_PROPERTIES[TEMPLATE_AMENDMENT_CODE])</f>
        <v>TPL_04A</v>
      </c>
    </row>
    <row r="1023" spans="1:18" x14ac:dyDescent="0.35">
      <c r="A1023" t="s">
        <v>3574</v>
      </c>
      <c r="B1023" s="21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11099</v>
      </c>
      <c r="F1023" s="32" t="s">
        <v>3577</v>
      </c>
      <c r="G1023" t="s">
        <v>523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1" t="str">
        <f>"item_"&amp;CONTROL[[#This Row],[VEHIDCODE]]</f>
        <v>item_mu_Coach_Gen1_American_Style_Mail_Coach</v>
      </c>
      <c r="O1023" s="21" t="str">
        <f>"str_"&amp;CONTROL[[#This Row],[VEHIDCODE]]</f>
        <v>str_mu_Coach_Gen1_American_Style_Mail_Coach</v>
      </c>
      <c r="P1023" s="42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  <c r="R1023" t="str" cm="1">
        <f t="array" ref="R1023">_xlfn.XLOOKUP(CONTROL[[#This Row],[VEHIDCODE]],GRAPHICS_PROPERTIES[VEHIDCODE],GRAPHICS_PROPERTIES[TEMPLATE_ID]&amp;GRAPHICS_PROPERTIES[TEMPLATE_AMENDMENT_CODE])</f>
        <v>TPL_04A</v>
      </c>
    </row>
    <row r="1024" spans="1:18" x14ac:dyDescent="0.35">
      <c r="A1024" s="2" t="s">
        <v>3581</v>
      </c>
      <c r="B1024" s="21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11100</v>
      </c>
      <c r="F1024" s="32" t="s">
        <v>3582</v>
      </c>
      <c r="G1024" t="s">
        <v>523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1" t="str">
        <f>"item_"&amp;CONTROL[[#This Row],[VEHIDCODE]]</f>
        <v>item_mu_Coach_Gen3_Steel_Lightweight_Commuter_Coach</v>
      </c>
      <c r="O1024" s="21" t="str">
        <f>"str_"&amp;CONTROL[[#This Row],[VEHIDCODE]]</f>
        <v>str_mu_Coach_Gen3_Steel_Lightweight_Commuter_Coach</v>
      </c>
      <c r="P1024" s="42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  <c r="R1024" t="str" cm="1">
        <f t="array" ref="R1024">_xlfn.XLOOKUP(CONTROL[[#This Row],[VEHIDCODE]],GRAPHICS_PROPERTIES[VEHIDCODE],GRAPHICS_PROPERTIES[TEMPLATE_ID]&amp;GRAPHICS_PROPERTIES[TEMPLATE_AMENDMENT_CODE])</f>
        <v>TPL_04A</v>
      </c>
    </row>
    <row r="1025" spans="1:18" x14ac:dyDescent="0.35">
      <c r="A1025" t="s">
        <v>3583</v>
      </c>
      <c r="B1025" s="21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6170</v>
      </c>
      <c r="F1025" s="32" t="s">
        <v>3584</v>
      </c>
      <c r="G1025" t="s">
        <v>3585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1" t="str">
        <f>"item_"&amp;CONTROL[[#This Row],[VEHIDCODE]]</f>
        <v>item_electric_ALCO_GE_T_Motor</v>
      </c>
      <c r="O1025" s="21" t="str">
        <f>"str_"&amp;CONTROL[[#This Row],[VEHIDCODE]]</f>
        <v>str_electric_ALCO_GE_T_Motor</v>
      </c>
      <c r="P1025" s="42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  <c r="R1025" t="str" cm="1">
        <f t="array" ref="R1025">_xlfn.XLOOKUP(CONTROL[[#This Row],[VEHIDCODE]],GRAPHICS_PROPERTIES[VEHIDCODE],GRAPHICS_PROPERTIES[TEMPLATE_ID]&amp;GRAPHICS_PROPERTIES[TEMPLATE_AMENDMENT_CODE])</f>
        <v>TPL_01A</v>
      </c>
    </row>
    <row r="1026" spans="1:18" x14ac:dyDescent="0.35">
      <c r="A1026" t="s">
        <v>3586</v>
      </c>
      <c r="B1026" s="21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6171</v>
      </c>
      <c r="F1026" s="32" t="s">
        <v>3587</v>
      </c>
      <c r="G1026" t="s">
        <v>3588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1" t="str">
        <f>"item_"&amp;CONTROL[[#This Row],[VEHIDCODE]]</f>
        <v>item_electric_Altoona_Works_DD1</v>
      </c>
      <c r="O1026" s="21" t="str">
        <f>"str_"&amp;CONTROL[[#This Row],[VEHIDCODE]]</f>
        <v>str_electric_Altoona_Works_DD1</v>
      </c>
      <c r="P1026" s="42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  <c r="R1026" t="str" cm="1">
        <f t="array" ref="R1026">_xlfn.XLOOKUP(CONTROL[[#This Row],[VEHIDCODE]],GRAPHICS_PROPERTIES[VEHIDCODE],GRAPHICS_PROPERTIES[TEMPLATE_ID]&amp;GRAPHICS_PROPERTIES[TEMPLATE_AMENDMENT_CODE])</f>
        <v>TPL_17E</v>
      </c>
    </row>
    <row r="1027" spans="1:18" x14ac:dyDescent="0.35">
      <c r="A1027" t="s">
        <v>3591</v>
      </c>
      <c r="B1027" s="21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8097</v>
      </c>
      <c r="F1027" s="32" t="s">
        <v>3590</v>
      </c>
      <c r="G1027" t="s">
        <v>3589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1" t="str">
        <f>"item_"&amp;CONTROL[[#This Row],[VEHIDCODE]]</f>
        <v>item_emu_PRR_MP_70</v>
      </c>
      <c r="O1027" s="21" t="str">
        <f>"str_"&amp;CONTROL[[#This Row],[VEHIDCODE]]</f>
        <v>str_emu_PRR_MP_70</v>
      </c>
      <c r="P1027" s="42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  <c r="R1027" t="str" cm="1">
        <f t="array" ref="R1027">_xlfn.XLOOKUP(CONTROL[[#This Row],[VEHIDCODE]],GRAPHICS_PROPERTIES[VEHIDCODE],GRAPHICS_PROPERTIES[TEMPLATE_ID]&amp;GRAPHICS_PROPERTIES[TEMPLATE_AMENDMENT_CODE])</f>
        <v>TPL_02A</v>
      </c>
    </row>
    <row r="1028" spans="1:18" x14ac:dyDescent="0.35">
      <c r="A1028" t="s">
        <v>3592</v>
      </c>
      <c r="B1028" s="21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8098</v>
      </c>
      <c r="F1028" s="32" t="s">
        <v>3593</v>
      </c>
      <c r="G1028" t="s">
        <v>3594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1" t="str">
        <f>"item_"&amp;CONTROL[[#This Row],[VEHIDCODE]]</f>
        <v>item_emu_Pullman_Standard_LIRR_MP75</v>
      </c>
      <c r="O1028" s="21" t="str">
        <f>"str_"&amp;CONTROL[[#This Row],[VEHIDCODE]]</f>
        <v>str_emu_Pullman_Standard_LIRR_MP75</v>
      </c>
      <c r="P1028" s="42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  <c r="R1028" t="str" cm="1">
        <f t="array" ref="R1028">_xlfn.XLOOKUP(CONTROL[[#This Row],[VEHIDCODE]],GRAPHICS_PROPERTIES[VEHIDCODE],GRAPHICS_PROPERTIES[TEMPLATE_ID]&amp;GRAPHICS_PROPERTIES[TEMPLATE_AMENDMENT_CODE])</f>
        <v>TPL_02A</v>
      </c>
    </row>
    <row r="1029" spans="1:18" x14ac:dyDescent="0.35">
      <c r="A1029" t="s">
        <v>3596</v>
      </c>
      <c r="B1029" s="21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14004</v>
      </c>
      <c r="F1029" s="32" t="s">
        <v>3597</v>
      </c>
      <c r="G1029" t="s">
        <v>3595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1" t="str">
        <f>"item_"&amp;CONTROL[[#This Row],[VEHIDCODE]]</f>
        <v>item_singlemtro_ACF_NYCC_Heavyweight</v>
      </c>
      <c r="O1029" s="21" t="str">
        <f>"str_"&amp;CONTROL[[#This Row],[VEHIDCODE]]</f>
        <v>str_singlemtro_ACF_NYCC_Heavyweight</v>
      </c>
      <c r="P1029" s="42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  <c r="R1029" t="str" cm="1">
        <f t="array" ref="R1029">_xlfn.XLOOKUP(CONTROL[[#This Row],[VEHIDCODE]],GRAPHICS_PROPERTIES[VEHIDCODE],GRAPHICS_PROPERTIES[TEMPLATE_ID]&amp;GRAPHICS_PROPERTIES[TEMPLATE_AMENDMENT_CODE])</f>
        <v>TPL_01A</v>
      </c>
    </row>
    <row r="1030" spans="1:18" x14ac:dyDescent="0.35">
      <c r="A1030" s="2" t="s">
        <v>3598</v>
      </c>
      <c r="B1030" s="21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11101</v>
      </c>
      <c r="F1030" s="32" t="s">
        <v>3599</v>
      </c>
      <c r="G1030" t="s">
        <v>3600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1" t="str">
        <f>"item_"&amp;CONTROL[[#This Row],[VEHIDCODE]]</f>
        <v>item_mu_Coach_Gen3_Goerlitz_Doppelstockwagen_Articulated_Coach</v>
      </c>
      <c r="O1030" s="21" t="str">
        <f>"str_"&amp;CONTROL[[#This Row],[VEHIDCODE]]</f>
        <v>str_mu_Coach_Gen3_Goerlitz_Doppelstockwagen_Articulated_Coach</v>
      </c>
      <c r="P1030" s="42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  <c r="R1030" t="str" cm="1">
        <f t="array" ref="R1030">_xlfn.XLOOKUP(CONTROL[[#This Row],[VEHIDCODE]],GRAPHICS_PROPERTIES[VEHIDCODE],GRAPHICS_PROPERTIES[TEMPLATE_ID]&amp;GRAPHICS_PROPERTIES[TEMPLATE_AMENDMENT_CODE])</f>
        <v>TPL_04S</v>
      </c>
    </row>
    <row r="1031" spans="1:18" x14ac:dyDescent="0.35">
      <c r="A1031" s="2" t="s">
        <v>3603</v>
      </c>
      <c r="B1031" s="21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8099</v>
      </c>
      <c r="F1031" s="32" t="s">
        <v>383</v>
      </c>
      <c r="G1031" t="s">
        <v>1569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1" t="str">
        <f>"item_"&amp;CONTROL[[#This Row],[VEHIDCODE]]</f>
        <v>item_emu_PRR_MP54_3RL</v>
      </c>
      <c r="O1031" s="21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  <c r="R1031" t="str" cm="1">
        <f t="array" ref="R1031">_xlfn.XLOOKUP(CONTROL[[#This Row],[VEHIDCODE]],GRAPHICS_PROPERTIES[VEHIDCODE],GRAPHICS_PROPERTIES[TEMPLATE_ID]&amp;GRAPHICS_PROPERTIES[TEMPLATE_AMENDMENT_CODE])</f>
        <v>TPL_02A</v>
      </c>
    </row>
    <row r="1032" spans="1:18" x14ac:dyDescent="0.35">
      <c r="A1032" s="2" t="s">
        <v>3604</v>
      </c>
      <c r="B1032" s="21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8100</v>
      </c>
      <c r="F1032" s="32" t="s">
        <v>383</v>
      </c>
      <c r="G1032" t="s">
        <v>1569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1" t="str">
        <f>"item_"&amp;CONTROL[[#This Row],[VEHIDCODE]]</f>
        <v>item_emu_PRR_MP54_OHLE</v>
      </c>
      <c r="O1032" s="21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  <c r="R1032" t="str" cm="1">
        <f t="array" ref="R1032">_xlfn.XLOOKUP(CONTROL[[#This Row],[VEHIDCODE]],GRAPHICS_PROPERTIES[VEHIDCODE],GRAPHICS_PROPERTIES[TEMPLATE_ID]&amp;GRAPHICS_PROPERTIES[TEMPLATE_AMENDMENT_CODE])</f>
        <v>TPL_02A</v>
      </c>
    </row>
    <row r="1033" spans="1:18" x14ac:dyDescent="0.35">
      <c r="A1033" s="2" t="s">
        <v>3606</v>
      </c>
      <c r="B1033" s="21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11102</v>
      </c>
      <c r="F1033" s="32" t="s">
        <v>3607</v>
      </c>
      <c r="G1033" t="s">
        <v>1569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1" t="str">
        <f>"item_"&amp;CONTROL[[#This Row],[VEHIDCODE]]</f>
        <v>item_mu_Coach_Gen2_PRR_MP54_Commuter_Coach</v>
      </c>
      <c r="O1033" s="21" t="str">
        <f>"str_"&amp;CONTROL[[#This Row],[VEHIDCODE]]</f>
        <v>str_mu_Coach_Gen2_PRR_MP54_Commuter_Coach</v>
      </c>
      <c r="P1033" s="42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  <c r="R1033" t="str" cm="1">
        <f t="array" ref="R1033">_xlfn.XLOOKUP(CONTROL[[#This Row],[VEHIDCODE]],GRAPHICS_PROPERTIES[VEHIDCODE],GRAPHICS_PROPERTIES[TEMPLATE_ID]&amp;GRAPHICS_PROPERTIES[TEMPLATE_AMENDMENT_CODE])</f>
        <v>TPL_04A</v>
      </c>
    </row>
    <row r="1034" spans="1:18" x14ac:dyDescent="0.35">
      <c r="A1034" s="2" t="s">
        <v>3605</v>
      </c>
      <c r="B1034" s="21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11103</v>
      </c>
      <c r="F1034" s="32" t="s">
        <v>3608</v>
      </c>
      <c r="G1034" t="s">
        <v>1569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1" t="str">
        <f>"item_"&amp;CONTROL[[#This Row],[VEHIDCODE]]</f>
        <v>item_mu_Coach_Gen2_PRR_MP54_Mail_Coach</v>
      </c>
      <c r="O1034" s="21" t="str">
        <f>"str_"&amp;CONTROL[[#This Row],[VEHIDCODE]]</f>
        <v>str_mu_Coach_Gen2_PRR_MP54_Mail_Coach</v>
      </c>
      <c r="P1034" s="42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  <c r="R1034" t="str" cm="1">
        <f t="array" ref="R1034">_xlfn.XLOOKUP(CONTROL[[#This Row],[VEHIDCODE]],GRAPHICS_PROPERTIES[VEHIDCODE],GRAPHICS_PROPERTIES[TEMPLATE_ID]&amp;GRAPHICS_PROPERTIES[TEMPLATE_AMENDMENT_CODE])</f>
        <v>TPL_04A</v>
      </c>
    </row>
    <row r="1035" spans="1:18" x14ac:dyDescent="0.35">
      <c r="A1035" s="2" t="s">
        <v>3612</v>
      </c>
      <c r="B1035" s="21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11104</v>
      </c>
      <c r="F1035" s="32" t="s">
        <v>3613</v>
      </c>
      <c r="G1035" t="s">
        <v>523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1" t="str">
        <f>"item_"&amp;CONTROL[[#This Row],[VEHIDCODE]]</f>
        <v>item_mu_Coach_Gen3_PRR_P70_Bilevel_Coach</v>
      </c>
      <c r="O1035" s="21" t="str">
        <f>"str_"&amp;CONTROL[[#This Row],[VEHIDCODE]]</f>
        <v>str_mu_Coach_Gen3_PRR_P70_Bilevel_Coach</v>
      </c>
      <c r="P1035" s="42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  <c r="R1035" t="str" cm="1">
        <f t="array" ref="R1035">_xlfn.XLOOKUP(CONTROL[[#This Row],[VEHIDCODE]],GRAPHICS_PROPERTIES[VEHIDCODE],GRAPHICS_PROPERTIES[TEMPLATE_ID]&amp;GRAPHICS_PROPERTIES[TEMPLATE_AMENDMENT_CODE])</f>
        <v>TPL_04A</v>
      </c>
    </row>
    <row r="1036" spans="1:18" x14ac:dyDescent="0.35">
      <c r="A1036" s="2" t="s">
        <v>3614</v>
      </c>
      <c r="B1036" s="21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5202</v>
      </c>
      <c r="F1036" s="32" t="s">
        <v>2011</v>
      </c>
      <c r="G1036" t="s">
        <v>1310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1" t="str">
        <f>"item_"&amp;CONTROL[[#This Row],[VEHIDCODE]]</f>
        <v>item_diesel_LTZ_TE10M</v>
      </c>
      <c r="O1036" s="21" t="str">
        <f>"str_"&amp;CONTROL[[#This Row],[VEHIDCODE]]</f>
        <v>str_diesel_LTZ_TE10M</v>
      </c>
      <c r="P1036" s="42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  <c r="R1036" t="str" cm="1">
        <f t="array" ref="R1036">_xlfn.XLOOKUP(CONTROL[[#This Row],[VEHIDCODE]],GRAPHICS_PROPERTIES[VEHIDCODE],GRAPHICS_PROPERTIES[TEMPLATE_ID]&amp;GRAPHICS_PROPERTIES[TEMPLATE_AMENDMENT_CODE])</f>
        <v>TPL_03F</v>
      </c>
    </row>
    <row r="1037" spans="1:18" x14ac:dyDescent="0.35">
      <c r="A1037" s="2" t="s">
        <v>3615</v>
      </c>
      <c r="B1037" s="21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5203</v>
      </c>
      <c r="F1037" s="32" t="s">
        <v>2012</v>
      </c>
      <c r="G1037" t="s">
        <v>3673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1" t="str">
        <f>"item_"&amp;CONTROL[[#This Row],[VEHIDCODE]]</f>
        <v>item_diesel_LTZ_TE126</v>
      </c>
      <c r="O1037" s="21" t="str">
        <f>"str_"&amp;CONTROL[[#This Row],[VEHIDCODE]]</f>
        <v>str_diesel_LTZ_TE126</v>
      </c>
      <c r="P1037" s="42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  <c r="R1037" t="str" cm="1">
        <f t="array" ref="R1037">_xlfn.XLOOKUP(CONTROL[[#This Row],[VEHIDCODE]],GRAPHICS_PROPERTIES[VEHIDCODE],GRAPHICS_PROPERTIES[TEMPLATE_ID]&amp;GRAPHICS_PROPERTIES[TEMPLATE_AMENDMENT_CODE])</f>
        <v>TPL_32D</v>
      </c>
    </row>
    <row r="1038" spans="1:18" x14ac:dyDescent="0.35">
      <c r="A1038" s="2" t="s">
        <v>3616</v>
      </c>
      <c r="B1038" s="21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5204</v>
      </c>
      <c r="F1038" s="32" t="s">
        <v>2013</v>
      </c>
      <c r="G1038" t="s">
        <v>1313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1" t="str">
        <f>"item_"&amp;CONTROL[[#This Row],[VEHIDCODE]]</f>
        <v>item_diesel_LTZ_TE10Ut</v>
      </c>
      <c r="O1038" s="21" t="str">
        <f>"str_"&amp;CONTROL[[#This Row],[VEHIDCODE]]</f>
        <v>str_diesel_LTZ_TE10Ut</v>
      </c>
      <c r="P1038" s="42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  <c r="R1038" t="str" cm="1">
        <f t="array" ref="R1038">_xlfn.XLOOKUP(CONTROL[[#This Row],[VEHIDCODE]],GRAPHICS_PROPERTIES[VEHIDCODE],GRAPHICS_PROPERTIES[TEMPLATE_ID]&amp;GRAPHICS_PROPERTIES[TEMPLATE_AMENDMENT_CODE])</f>
        <v>TPL_03F</v>
      </c>
    </row>
    <row r="1039" spans="1:18" x14ac:dyDescent="0.35">
      <c r="A1039" t="s">
        <v>3656</v>
      </c>
      <c r="B1039" s="21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2049</v>
      </c>
      <c r="F1039" s="32" t="s">
        <v>3617</v>
      </c>
      <c r="G1039" t="s">
        <v>3618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1" t="str">
        <f>"item_"&amp;CONTROL[[#This Row],[VEHIDCODE]]</f>
        <v>item_rbd_Faur_A20DP</v>
      </c>
      <c r="O1039" s="21" t="str">
        <f>"str_"&amp;CONTROL[[#This Row],[VEHIDCODE]]</f>
        <v>str_rbd_Faur_A20DP</v>
      </c>
      <c r="P1039" s="42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  <c r="R1039" t="str" cm="1">
        <f t="array" ref="R1039">_xlfn.XLOOKUP(CONTROL[[#This Row],[VEHIDCODE]],GRAPHICS_PROPERTIES[VEHIDCODE],GRAPHICS_PROPERTIES[TEMPLATE_ID]&amp;GRAPHICS_PROPERTIES[TEMPLATE_AMENDMENT_CODE])</f>
        <v>TPL_01A</v>
      </c>
    </row>
    <row r="1040" spans="1:18" x14ac:dyDescent="0.35">
      <c r="A1040" t="s">
        <v>3619</v>
      </c>
      <c r="B1040" s="21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11105</v>
      </c>
      <c r="F1040" s="32" t="s">
        <v>3620</v>
      </c>
      <c r="G1040" t="s">
        <v>3618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1" t="str">
        <f>"item_"&amp;CONTROL[[#This Row],[VEHIDCODE]]</f>
        <v>item_mu_Coach_Gen4_Faur_AD20DP_Trailer</v>
      </c>
      <c r="O1040" s="21" t="str">
        <f>"str_"&amp;CONTROL[[#This Row],[VEHIDCODE]]</f>
        <v>str_mu_Coach_Gen4_Faur_AD20DP_Trailer</v>
      </c>
      <c r="P1040" s="42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  <c r="R1040" t="str" cm="1">
        <f t="array" ref="R1040">_xlfn.XLOOKUP(CONTROL[[#This Row],[VEHIDCODE]],GRAPHICS_PROPERTIES[VEHIDCODE],GRAPHICS_PROPERTIES[TEMPLATE_ID]&amp;GRAPHICS_PROPERTIES[TEMPLATE_AMENDMENT_CODE])</f>
        <v>TPL_04U</v>
      </c>
    </row>
    <row r="1041" spans="1:18" x14ac:dyDescent="0.35">
      <c r="A1041" t="s">
        <v>3621</v>
      </c>
      <c r="B1041" s="21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5205</v>
      </c>
      <c r="F1041" s="32" t="s">
        <v>3622</v>
      </c>
      <c r="G1041" t="s">
        <v>3623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1" t="str">
        <f>"item_"&amp;CONTROL[[#This Row],[VEHIDCODE]]</f>
        <v>item_diesel_Faur_L45H</v>
      </c>
      <c r="O1041" s="21" t="str">
        <f>"str_"&amp;CONTROL[[#This Row],[VEHIDCODE]]</f>
        <v>str_diesel_Faur_L45H</v>
      </c>
      <c r="P1041" s="42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  <c r="R1041" t="str" cm="1">
        <f t="array" ref="R1041">_xlfn.XLOOKUP(CONTROL[[#This Row],[VEHIDCODE]],GRAPHICS_PROPERTIES[VEHIDCODE],GRAPHICS_PROPERTIES[TEMPLATE_ID]&amp;GRAPHICS_PROPERTIES[TEMPLATE_AMENDMENT_CODE])</f>
        <v>TPL_01A</v>
      </c>
    </row>
    <row r="1042" spans="1:18" x14ac:dyDescent="0.35">
      <c r="A1042" s="2" t="s">
        <v>3625</v>
      </c>
      <c r="B1042" s="21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11106</v>
      </c>
      <c r="F1042" s="32" t="s">
        <v>3624</v>
      </c>
      <c r="G1042" t="s">
        <v>3626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1" t="str">
        <f>"item_"&amp;CONTROL[[#This Row],[VEHIDCODE]]</f>
        <v>item_mu_Coach_Gen3_Pafawag_3Aw</v>
      </c>
      <c r="O1042" s="21" t="str">
        <f>"str_"&amp;CONTROL[[#This Row],[VEHIDCODE]]</f>
        <v>str_mu_Coach_Gen3_Pafawag_3Aw</v>
      </c>
      <c r="P1042" s="42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  <c r="R1042" t="str" cm="1">
        <f t="array" ref="R1042">_xlfn.XLOOKUP(CONTROL[[#This Row],[VEHIDCODE]],GRAPHICS_PROPERTIES[VEHIDCODE],GRAPHICS_PROPERTIES[TEMPLATE_ID]&amp;GRAPHICS_PROPERTIES[TEMPLATE_AMENDMENT_CODE])</f>
        <v>TPL_04U</v>
      </c>
    </row>
    <row r="1043" spans="1:18" x14ac:dyDescent="0.35">
      <c r="A1043" t="s">
        <v>3627</v>
      </c>
      <c r="B1043" s="21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5206</v>
      </c>
      <c r="F1043" s="32" t="s">
        <v>3628</v>
      </c>
      <c r="G1043" t="s">
        <v>3629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1" t="str">
        <f>"item_"&amp;CONTROL[[#This Row],[VEHIDCODE]]</f>
        <v>item_diesel_KMZ_TU7_TGM40</v>
      </c>
      <c r="O1043" s="21" t="str">
        <f>"str_"&amp;CONTROL[[#This Row],[VEHIDCODE]]</f>
        <v>str_diesel_KMZ_TU7_TGM40</v>
      </c>
      <c r="P1043" s="42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  <c r="R1043" t="str" cm="1">
        <f t="array" ref="R1043">_xlfn.XLOOKUP(CONTROL[[#This Row],[VEHIDCODE]],GRAPHICS_PROPERTIES[VEHIDCODE],GRAPHICS_PROPERTIES[TEMPLATE_ID]&amp;GRAPHICS_PROPERTIES[TEMPLATE_AMENDMENT_CODE])</f>
        <v>TPL_01A</v>
      </c>
    </row>
    <row r="1044" spans="1:18" x14ac:dyDescent="0.35">
      <c r="A1044" t="s">
        <v>3632</v>
      </c>
      <c r="B1044" s="21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6172</v>
      </c>
      <c r="F1044" s="32" t="s">
        <v>3631</v>
      </c>
      <c r="G1044" t="s">
        <v>3634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1" t="str">
        <f>"item_"&amp;CONTROL[[#This Row],[VEHIDCODE]]</f>
        <v>item_electric_Alsthom_CC_7100</v>
      </c>
      <c r="O1044" s="21" t="str">
        <f>"str_"&amp;CONTROL[[#This Row],[VEHIDCODE]]</f>
        <v>str_electric_Alsthom_CC_7100</v>
      </c>
      <c r="P1044" s="42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  <c r="R1044" t="str" cm="1">
        <f t="array" ref="R1044">_xlfn.XLOOKUP(CONTROL[[#This Row],[VEHIDCODE]],GRAPHICS_PROPERTIES[VEHIDCODE],GRAPHICS_PROPERTIES[TEMPLATE_ID]&amp;GRAPHICS_PROPERTIES[TEMPLATE_AMENDMENT_CODE])</f>
        <v>TPL_01A</v>
      </c>
    </row>
    <row r="1045" spans="1:18" x14ac:dyDescent="0.35">
      <c r="A1045" t="s">
        <v>3630</v>
      </c>
      <c r="B1045" s="21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6173</v>
      </c>
      <c r="F1045" s="32" t="s">
        <v>3633</v>
      </c>
      <c r="G1045" t="s">
        <v>3635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1" t="str">
        <f>"item_"&amp;CONTROL[[#This Row],[VEHIDCODE]]</f>
        <v>item_electric_Alsthom_F_Series</v>
      </c>
      <c r="O1045" s="21" t="str">
        <f>"str_"&amp;CONTROL[[#This Row],[VEHIDCODE]]</f>
        <v>str_electric_Alsthom_F_Series</v>
      </c>
      <c r="P1045" s="42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  <c r="R1045" t="str" cm="1">
        <f t="array" ref="R1045">_xlfn.XLOOKUP(CONTROL[[#This Row],[VEHIDCODE]],GRAPHICS_PROPERTIES[VEHIDCODE],GRAPHICS_PROPERTIES[TEMPLATE_ID]&amp;GRAPHICS_PROPERTIES[TEMPLATE_AMENDMENT_CODE])</f>
        <v>TPL_01A</v>
      </c>
    </row>
    <row r="1046" spans="1:18" x14ac:dyDescent="0.35">
      <c r="A1046" t="s">
        <v>3676</v>
      </c>
      <c r="B1046" s="21" t="str">
        <f>_xlfn.TEXTAFTER(CONTROL[[#This Row],[VEHIDCODE]],"_")</f>
        <v>Siemens_Vectron_MS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6174</v>
      </c>
      <c r="F1046" s="32" t="s">
        <v>3646</v>
      </c>
      <c r="G1046" t="s">
        <v>3642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1" t="str">
        <f>"item_"&amp;CONTROL[[#This Row],[VEHIDCODE]]</f>
        <v>item_electric_Siemens_Vectron_MS</v>
      </c>
      <c r="O1046" s="21" t="str">
        <f>"str_"&amp;CONTROL[[#This Row],[VEHIDCODE]]</f>
        <v>str_electric_Siemens_Vectron_MS</v>
      </c>
      <c r="P1046" s="42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  <c r="R1046" t="str" cm="1">
        <f t="array" ref="R1046">_xlfn.XLOOKUP(CONTROL[[#This Row],[VEHIDCODE]],GRAPHICS_PROPERTIES[VEHIDCODE],GRAPHICS_PROPERTIES[TEMPLATE_ID]&amp;GRAPHICS_PROPERTIES[TEMPLATE_AMENDMENT_CODE])</f>
        <v>TPL_01A</v>
      </c>
    </row>
    <row r="1047" spans="1:18" x14ac:dyDescent="0.35">
      <c r="A1047" t="s">
        <v>3641</v>
      </c>
      <c r="B1047" s="21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5207</v>
      </c>
      <c r="F1047" s="32" t="s">
        <v>3639</v>
      </c>
      <c r="G1047" t="s">
        <v>3642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1" t="str">
        <f>"item_"&amp;CONTROL[[#This Row],[VEHIDCODE]]</f>
        <v>item_diesel_Siemens_Vectron_DE</v>
      </c>
      <c r="O1047" s="21" t="str">
        <f>"str_"&amp;CONTROL[[#This Row],[VEHIDCODE]]</f>
        <v>str_diesel_Siemens_Vectron_DE</v>
      </c>
      <c r="P1047" s="42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  <c r="R1047" t="str" cm="1">
        <f t="array" ref="R1047">_xlfn.XLOOKUP(CONTROL[[#This Row],[VEHIDCODE]],GRAPHICS_PROPERTIES[VEHIDCODE],GRAPHICS_PROPERTIES[TEMPLATE_ID]&amp;GRAPHICS_PROPERTIES[TEMPLATE_AMENDMENT_CODE])</f>
        <v>TPL_01A</v>
      </c>
    </row>
    <row r="1048" spans="1:18" x14ac:dyDescent="0.35">
      <c r="A1048" t="s">
        <v>3638</v>
      </c>
      <c r="B1048" s="21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6175</v>
      </c>
      <c r="F1048" s="32" t="s">
        <v>3640</v>
      </c>
      <c r="G1048" t="s">
        <v>3642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1" t="str">
        <f>"item_"&amp;CONTROL[[#This Row],[VEHIDCODE]]</f>
        <v>item_electric_Siemens_Vectron_Dual_Mode</v>
      </c>
      <c r="O1048" s="21" t="str">
        <f>"str_"&amp;CONTROL[[#This Row],[VEHIDCODE]]</f>
        <v>str_electric_Siemens_Vectron_Dual_Mode</v>
      </c>
      <c r="P1048" s="42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  <c r="R1048" t="str" cm="1">
        <f t="array" ref="R1048">_xlfn.XLOOKUP(CONTROL[[#This Row],[VEHIDCODE]],GRAPHICS_PROPERTIES[VEHIDCODE],GRAPHICS_PROPERTIES[TEMPLATE_ID]&amp;GRAPHICS_PROPERTIES[TEMPLATE_AMENDMENT_CODE])</f>
        <v>TPL_01A</v>
      </c>
    </row>
    <row r="1049" spans="1:18" x14ac:dyDescent="0.35">
      <c r="A1049" t="s">
        <v>3659</v>
      </c>
      <c r="B1049" s="21" t="str">
        <f>_xlfn.TEXTAFTER(CONTROL[[#This Row],[VEHIDCODE]],"_")</f>
        <v>Tours_Chapelon_2_12_0_160A</v>
      </c>
      <c r="C1049" t="str" cm="1">
        <f t="array" ref="C10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9" t="str" cm="1">
        <f t="array" ref="D10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4154</v>
      </c>
      <c r="F1049" s="32" t="s">
        <v>3657</v>
      </c>
      <c r="G1049" t="s">
        <v>3658</v>
      </c>
      <c r="H1049" s="2" t="b">
        <f>AND(CONTROL[[#This Row],[IS_WAGON_OR_COACH]]=TRUE,OR(RIGHT(CONTROL[[#This Row],[VEHIDCODE]],7)="Powered",RIGHT(CONTROL[[#This Row],[VEHIDCODE]],9)="Unpowered"))</f>
        <v>0</v>
      </c>
      <c r="I10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9" t="b">
        <f>ISNUMBER(_xlfn.XMATCH(CONTROL[[#This Row],[VEHIDCODE]],TRACK_TYPES[VEHIDCODE],0))</f>
        <v>1</v>
      </c>
      <c r="K1049" t="b">
        <f>ISNUMBER(_xlfn.XMATCH(CONTROL[[#This Row],[VEHIDCODE]],PROPERTIES[VEHIDCODE],0))</f>
        <v>1</v>
      </c>
      <c r="L1049" t="b">
        <f>ISNUMBER(_xlfn.XLOOKUP(CONTROL[[#This Row],[VEHIDCODE]],roster!A:A,roster!D:D))</f>
        <v>1</v>
      </c>
      <c r="M1049" t="b">
        <f>ISNUMBER(_xlfn.XMATCH(CONTROL[[#This Row],[VEHIDCODE]],GRAPHICS_PROPERTIES[VEHIDCODE],0))</f>
        <v>1</v>
      </c>
      <c r="N1049" s="21" t="str">
        <f>"item_"&amp;CONTROL[[#This Row],[VEHIDCODE]]</f>
        <v>item_steam_Tours_Chapelon_2_12_0_160A</v>
      </c>
      <c r="O1049" s="21" t="str">
        <f>"str_"&amp;CONTROL[[#This Row],[VEHIDCODE]]</f>
        <v>str_steam_Tours_Chapelon_2_12_0_160A</v>
      </c>
      <c r="P1049" s="42" t="b">
        <f>_xlfn.XLOOKUP(CONTROL[[#This Row],[VEHIDCODE]],PROPERTIES[VEHIDCODE],PROPERTIES[IS_CONCEPT])="IS_CONCEPT"</f>
        <v>0</v>
      </c>
      <c r="Q1049" s="7" t="b">
        <f>_xlfn.XLOOKUP(CONTROL[[#This Row],[VEHIDCODE]],PROPERTIES[VEHIDCODE],PROPERTIES[EXCLUDE])</f>
        <v>0</v>
      </c>
      <c r="R1049" t="str" cm="1">
        <f t="array" ref="R1049">_xlfn.XLOOKUP(CONTROL[[#This Row],[VEHIDCODE]],GRAPHICS_PROPERTIES[VEHIDCODE],GRAPHICS_PROPERTIES[TEMPLATE_ID]&amp;GRAPHICS_PROPERTIES[TEMPLATE_AMENDMENT_CODE])</f>
        <v>TPL_03G</v>
      </c>
    </row>
    <row r="1050" spans="1:18" x14ac:dyDescent="0.35">
      <c r="A1050" t="s">
        <v>3674</v>
      </c>
      <c r="B1050" s="21" t="str">
        <f>_xlfn.TEXTAFTER(CONTROL[[#This Row],[VEHIDCODE]],"_")</f>
        <v>LTZ_TE166</v>
      </c>
      <c r="C1050" t="str" cm="1">
        <f t="array" ref="C10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50" t="str" cm="1">
        <f t="array" ref="D10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5208</v>
      </c>
      <c r="F1050" s="32" t="s">
        <v>3675</v>
      </c>
      <c r="G1050" t="s">
        <v>1312</v>
      </c>
      <c r="H1050" s="2" t="b">
        <f>AND(CONTROL[[#This Row],[IS_WAGON_OR_COACH]]=TRUE,OR(RIGHT(CONTROL[[#This Row],[VEHIDCODE]],7)="Powered",RIGHT(CONTROL[[#This Row],[VEHIDCODE]],9)="Unpowered"))</f>
        <v>0</v>
      </c>
      <c r="I10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0" t="b">
        <f>ISNUMBER(_xlfn.XMATCH(CONTROL[[#This Row],[VEHIDCODE]],TRACK_TYPES[VEHIDCODE],0))</f>
        <v>1</v>
      </c>
      <c r="K1050" t="b">
        <f>ISNUMBER(_xlfn.XMATCH(CONTROL[[#This Row],[VEHIDCODE]],PROPERTIES[VEHIDCODE],0))</f>
        <v>1</v>
      </c>
      <c r="L1050" t="b">
        <f>ISNUMBER(_xlfn.XLOOKUP(CONTROL[[#This Row],[VEHIDCODE]],roster!A:A,roster!D:D))</f>
        <v>1</v>
      </c>
      <c r="M1050" t="b">
        <f>ISNUMBER(_xlfn.XMATCH(CONTROL[[#This Row],[VEHIDCODE]],GRAPHICS_PROPERTIES[VEHIDCODE],0))</f>
        <v>1</v>
      </c>
      <c r="N1050" s="21" t="str">
        <f>"item_"&amp;CONTROL[[#This Row],[VEHIDCODE]]</f>
        <v>item_diesel_LTZ_TE166</v>
      </c>
      <c r="O1050" s="21" t="str">
        <f>"str_"&amp;CONTROL[[#This Row],[VEHIDCODE]]</f>
        <v>str_diesel_LTZ_TE166</v>
      </c>
      <c r="P1050" s="42" t="b">
        <f>_xlfn.XLOOKUP(CONTROL[[#This Row],[VEHIDCODE]],PROPERTIES[VEHIDCODE],PROPERTIES[IS_CONCEPT])="IS_CONCEPT"</f>
        <v>0</v>
      </c>
      <c r="Q1050" s="7" t="b">
        <f>_xlfn.XLOOKUP(CONTROL[[#This Row],[VEHIDCODE]],PROPERTIES[VEHIDCODE],PROPERTIES[EXCLUDE])</f>
        <v>0</v>
      </c>
      <c r="R1050" t="str" cm="1">
        <f t="array" ref="R1050">_xlfn.XLOOKUP(CONTROL[[#This Row],[VEHIDCODE]],GRAPHICS_PROPERTIES[VEHIDCODE],GRAPHICS_PROPERTIES[TEMPLATE_ID]&amp;GRAPHICS_PROPERTIES[TEMPLATE_AMENDMENT_CODE])</f>
        <v>TPL_03F</v>
      </c>
    </row>
    <row r="1051" spans="1:18" x14ac:dyDescent="0.35">
      <c r="A1051" t="s">
        <v>3700</v>
      </c>
      <c r="B1051" s="21" t="str">
        <f>_xlfn.TEXTAFTER(CONTROL[[#This Row],[VEHIDCODE]],"_")</f>
        <v>Ganz_MAVAG_SN61</v>
      </c>
      <c r="C1051" t="str" cm="1">
        <f t="array" ref="C10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51" t="str" cm="1">
        <f t="array" ref="D10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2050</v>
      </c>
      <c r="F1051" s="32" t="s">
        <v>3702</v>
      </c>
      <c r="G1051" t="s">
        <v>3701</v>
      </c>
      <c r="H1051" s="2" t="b">
        <f>AND(CONTROL[[#This Row],[IS_WAGON_OR_COACH]]=TRUE,OR(RIGHT(CONTROL[[#This Row],[VEHIDCODE]],7)="Powered",RIGHT(CONTROL[[#This Row],[VEHIDCODE]],9)="Unpowered"))</f>
        <v>0</v>
      </c>
      <c r="I10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1" t="b">
        <f>ISNUMBER(_xlfn.XMATCH(CONTROL[[#This Row],[VEHIDCODE]],TRACK_TYPES[VEHIDCODE],0))</f>
        <v>1</v>
      </c>
      <c r="K1051" t="b">
        <f>ISNUMBER(_xlfn.XMATCH(CONTROL[[#This Row],[VEHIDCODE]],PROPERTIES[VEHIDCODE],0))</f>
        <v>1</v>
      </c>
      <c r="L1051" t="b">
        <f>ISNUMBER(_xlfn.XLOOKUP(CONTROL[[#This Row],[VEHIDCODE]],roster!A:A,roster!D:D))</f>
        <v>1</v>
      </c>
      <c r="M1051" t="b">
        <f>ISNUMBER(_xlfn.XMATCH(CONTROL[[#This Row],[VEHIDCODE]],GRAPHICS_PROPERTIES[VEHIDCODE],0))</f>
        <v>1</v>
      </c>
      <c r="N1051" s="21" t="str">
        <f>"item_"&amp;CONTROL[[#This Row],[VEHIDCODE]]</f>
        <v>item_rbd_Ganz_MAVAG_SN61</v>
      </c>
      <c r="O1051" s="21" t="str">
        <f>"str_"&amp;CONTROL[[#This Row],[VEHIDCODE]]</f>
        <v>str_rbd_Ganz_MAVAG_SN61</v>
      </c>
      <c r="P1051" s="42" t="b">
        <f>_xlfn.XLOOKUP(CONTROL[[#This Row],[VEHIDCODE]],PROPERTIES[VEHIDCODE],PROPERTIES[IS_CONCEPT])="IS_CONCEPT"</f>
        <v>0</v>
      </c>
      <c r="Q1051" s="7" t="b">
        <f>_xlfn.XLOOKUP(CONTROL[[#This Row],[VEHIDCODE]],PROPERTIES[VEHIDCODE],PROPERTIES[EXCLUDE])</f>
        <v>0</v>
      </c>
      <c r="R1051" t="str" cm="1">
        <f t="array" ref="R1051">_xlfn.XLOOKUP(CONTROL[[#This Row],[VEHIDCODE]],GRAPHICS_PROPERTIES[VEHIDCODE],GRAPHICS_PROPERTIES[TEMPLATE_ID]&amp;GRAPHICS_PROPERTIES[TEMPLATE_AMENDMENT_CODE])</f>
        <v>TPL_01H</v>
      </c>
    </row>
  </sheetData>
  <conditionalFormatting sqref="A1:A940 A974:A977 A985:A1029 A1031:A1048576">
    <cfRule type="containsText" dxfId="101" priority="37" operator="containsText" text=" ">
      <formula>NOT(ISERROR(SEARCH(" ",A1)))</formula>
    </cfRule>
  </conditionalFormatting>
  <conditionalFormatting sqref="A1:A1048576">
    <cfRule type="expression" dxfId="100" priority="3">
      <formula>$Q1=TRUE</formula>
    </cfRule>
  </conditionalFormatting>
  <conditionalFormatting sqref="A942:A943">
    <cfRule type="containsText" dxfId="99" priority="32" operator="containsText" text=" ">
      <formula>NOT(ISERROR(SEARCH(" ",A942)))</formula>
    </cfRule>
  </conditionalFormatting>
  <conditionalFormatting sqref="A946:A950 A952:A953">
    <cfRule type="containsText" dxfId="98" priority="44" operator="containsText" text=" ">
      <formula>NOT(ISERROR(SEARCH(" ",A946)))</formula>
    </cfRule>
  </conditionalFormatting>
  <conditionalFormatting sqref="A956:A971">
    <cfRule type="containsText" dxfId="97" priority="30" operator="containsText" text=" ">
      <formula>NOT(ISERROR(SEARCH(" ",A956)))</formula>
    </cfRule>
  </conditionalFormatting>
  <conditionalFormatting sqref="A979:A982">
    <cfRule type="containsText" dxfId="96" priority="28" operator="containsText" text=" ">
      <formula>NOT(ISERROR(SEARCH(" ",A979)))</formula>
    </cfRule>
  </conditionalFormatting>
  <conditionalFormatting sqref="B2:E1051 J2:O1051">
    <cfRule type="cellIs" dxfId="95" priority="2" operator="equal">
      <formula>FALSE</formula>
    </cfRule>
  </conditionalFormatting>
  <conditionalFormatting sqref="E2:E1048576">
    <cfRule type="duplicateValues" dxfId="94" priority="43"/>
  </conditionalFormatting>
  <conditionalFormatting sqref="E568">
    <cfRule type="cellIs" dxfId="93" priority="6" operator="equal">
      <formula>FALSE</formula>
    </cfRule>
  </conditionalFormatting>
  <conditionalFormatting sqref="E570:E586">
    <cfRule type="cellIs" dxfId="92" priority="7" operator="equal">
      <formula>FALSE</formula>
    </cfRule>
  </conditionalFormatting>
  <conditionalFormatting sqref="E1006:E1021">
    <cfRule type="cellIs" dxfId="91" priority="22" operator="equal">
      <formula>FALSE</formula>
    </cfRule>
  </conditionalFormatting>
  <conditionalFormatting sqref="F1:F1048576">
    <cfRule type="containsText" dxfId="90" priority="45" operator="containsText" text=")">
      <formula>NOT(ISERROR(SEARCH(")",F1)))</formula>
    </cfRule>
    <cfRule type="containsText" dxfId="89" priority="46" operator="containsText" text="(">
      <formula>NOT(ISERROR(SEARCH("(",F1)))</formula>
    </cfRule>
  </conditionalFormatting>
  <conditionalFormatting sqref="H2:I1051">
    <cfRule type="containsText" dxfId="88" priority="47" operator="containsText" text="FALSE">
      <formula>NOT(ISERROR(SEARCH("FALSE",H2)))</formula>
    </cfRule>
  </conditionalFormatting>
  <conditionalFormatting sqref="H1:M1">
    <cfRule type="cellIs" dxfId="87" priority="15" operator="equal">
      <formula>FALSE</formula>
    </cfRule>
  </conditionalFormatting>
  <conditionalFormatting sqref="N1:P1">
    <cfRule type="cellIs" dxfId="86" priority="49" operator="equal">
      <formula>FALSE</formula>
    </cfRule>
  </conditionalFormatting>
  <conditionalFormatting sqref="P2:Q1048576">
    <cfRule type="cellIs" dxfId="85" priority="25" operator="equal">
      <formula>FALSE</formula>
    </cfRule>
  </conditionalFormatting>
  <conditionalFormatting sqref="Q1">
    <cfRule type="cellIs" dxfId="84" priority="3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V1051"/>
  <sheetViews>
    <sheetView tabSelected="1" zoomScale="85" zoomScaleNormal="85"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AT3" sqref="AT3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0" bestFit="1" customWidth="1"/>
    <col min="6" max="6" width="15.26953125" hidden="1" customWidth="1"/>
    <col min="7" max="7" width="15.26953125" style="40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3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0" customWidth="1"/>
    <col min="27" max="27" width="8.453125" customWidth="1"/>
    <col min="28" max="28" width="8.453125" style="20" customWidth="1"/>
    <col min="29" max="29" width="8.453125" customWidth="1"/>
    <col min="30" max="30" width="14.453125" style="17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8.81640625" style="46" customWidth="1"/>
    <col min="42" max="45" width="8.81640625" style="50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bestFit="1" customWidth="1"/>
    <col min="63" max="63" width="17.453125" bestFit="1" customWidth="1"/>
    <col min="64" max="64" width="10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48" ht="61.5" customHeight="1" x14ac:dyDescent="0.35">
      <c r="A1" s="1" t="s">
        <v>0</v>
      </c>
      <c r="B1" s="1" t="s">
        <v>5</v>
      </c>
      <c r="C1" s="1" t="s">
        <v>1926</v>
      </c>
      <c r="D1" s="11" t="s">
        <v>2</v>
      </c>
      <c r="E1" s="41" t="s">
        <v>2566</v>
      </c>
      <c r="F1" s="1" t="s">
        <v>528</v>
      </c>
      <c r="G1" s="41" t="s">
        <v>1030</v>
      </c>
      <c r="H1" s="11" t="s">
        <v>3</v>
      </c>
      <c r="I1" s="1" t="s">
        <v>1</v>
      </c>
      <c r="J1" s="1" t="s">
        <v>4</v>
      </c>
      <c r="K1" s="1" t="s">
        <v>3662</v>
      </c>
      <c r="L1" s="1" t="s">
        <v>3660</v>
      </c>
      <c r="M1" s="11" t="s">
        <v>6</v>
      </c>
      <c r="N1" s="11" t="s">
        <v>346</v>
      </c>
      <c r="O1" s="11" t="s">
        <v>7</v>
      </c>
      <c r="P1" s="11" t="s">
        <v>8</v>
      </c>
      <c r="Q1" s="22" t="s">
        <v>14</v>
      </c>
      <c r="R1" s="1" t="s">
        <v>9</v>
      </c>
      <c r="S1" s="51" t="s">
        <v>3651</v>
      </c>
      <c r="T1" s="51" t="s">
        <v>3649</v>
      </c>
      <c r="U1" s="51" t="s">
        <v>3650</v>
      </c>
      <c r="V1" s="1" t="s">
        <v>10</v>
      </c>
      <c r="W1" s="51" t="s">
        <v>3652</v>
      </c>
      <c r="X1" s="51" t="s">
        <v>3653</v>
      </c>
      <c r="Y1" s="51" t="s">
        <v>3654</v>
      </c>
      <c r="Z1" s="18" t="s">
        <v>1037</v>
      </c>
      <c r="AA1" s="18" t="s">
        <v>1038</v>
      </c>
      <c r="AB1" s="18" t="s">
        <v>1039</v>
      </c>
      <c r="AC1" s="11" t="s">
        <v>11</v>
      </c>
      <c r="AD1" s="11" t="s">
        <v>12</v>
      </c>
      <c r="AE1" s="5" t="s">
        <v>13</v>
      </c>
      <c r="AF1" s="5" t="s">
        <v>3661</v>
      </c>
      <c r="AG1" t="s">
        <v>46</v>
      </c>
      <c r="AH1" t="s">
        <v>47</v>
      </c>
      <c r="AI1" t="s">
        <v>48</v>
      </c>
      <c r="AJ1" s="2" t="s">
        <v>3517</v>
      </c>
      <c r="AK1" s="1" t="s">
        <v>245</v>
      </c>
      <c r="AL1" s="11" t="s">
        <v>322</v>
      </c>
      <c r="AM1" s="11" t="s">
        <v>323</v>
      </c>
      <c r="AN1" s="11" t="s">
        <v>326</v>
      </c>
      <c r="AO1" s="43" t="s">
        <v>3643</v>
      </c>
      <c r="AP1" s="47" t="s">
        <v>3648</v>
      </c>
      <c r="AQ1" s="47" t="s">
        <v>3647</v>
      </c>
      <c r="AR1" s="47" t="s">
        <v>3664</v>
      </c>
      <c r="AS1" s="47" t="s">
        <v>3663</v>
      </c>
      <c r="AT1" s="3" t="s">
        <v>1885</v>
      </c>
      <c r="AU1" s="3" t="s">
        <v>3698</v>
      </c>
      <c r="AV1" s="1"/>
    </row>
    <row r="2" spans="1:48" x14ac:dyDescent="0.35">
      <c r="A2" s="2" t="s">
        <v>71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0" t="str">
        <f>_xlfn.XLOOKUP(PROPERTIES[[#This Row],[VEHIDCODE]],CONTROL[VEHIDCODE],CONTROL[ENGLISH])</f>
        <v>Maglev Unit Wagon</v>
      </c>
      <c r="G2" s="40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15</v>
      </c>
      <c r="J2">
        <v>1</v>
      </c>
      <c r="K2">
        <v>8</v>
      </c>
      <c r="L2">
        <v>0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3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0">
        <v>0</v>
      </c>
      <c r="AA2" s="19">
        <f>IFERROR(PROPERTIES[[#This Row],[TE_STARTING_KN]]/(PROPERTIES[[#This Row],[WEIGHT]]*9.81),0)</f>
        <v>0</v>
      </c>
      <c r="AB2" s="19">
        <v>0.3</v>
      </c>
      <c r="AC2" s="16">
        <f>ROUND(IF(IFERROR(PROPERTIES[[#This Row],[TE_COEFFICIENT_CALC]],0)=0,PROPERTIES[[#This Row],[TE_COEFFICIENT_MANUAL]],PROPERTIES[[#This Row],[TE_COEFFICIENT_CALC]]),3)</f>
        <v>0.3</v>
      </c>
      <c r="AD2" s="38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6">
        <v>0</v>
      </c>
      <c r="AF2" s="6">
        <v>0</v>
      </c>
      <c r="AG2" t="s">
        <v>241</v>
      </c>
      <c r="AH2" t="s">
        <v>229</v>
      </c>
      <c r="AI2" t="s">
        <v>229</v>
      </c>
      <c r="AJ2" s="2" t="s">
        <v>229</v>
      </c>
      <c r="AK2" s="2" t="s">
        <v>244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44" t="b">
        <v>0</v>
      </c>
      <c r="AP2" s="48" t="b">
        <v>0</v>
      </c>
      <c r="AQ2" s="48" t="b">
        <v>0</v>
      </c>
      <c r="AR2" s="48">
        <v>0</v>
      </c>
      <c r="AS2" s="48" t="b">
        <v>0</v>
      </c>
      <c r="AT2" s="7" t="b">
        <v>0</v>
      </c>
      <c r="AU2" s="40" t="str" cm="1">
        <f t="array" ref="AU2">_xlfn.XLOOKUP(PROPERTIES[[#This Row],[VEHIDCODE]],GRAPHICS_PROPERTIES[VEHIDCODE],GRAPHICS_PROPERTIES[TEMPLATE_ID]&amp;GRAPHICS_PROPERTIES[TEMPLATE_AMENDMENT_CODE])</f>
        <v>TPL_01F</v>
      </c>
    </row>
    <row r="3" spans="1:48" x14ac:dyDescent="0.35">
      <c r="A3" s="2" t="s">
        <v>72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0" t="str">
        <f>_xlfn.XLOOKUP(PROPERTIES[[#This Row],[VEHIDCODE]],CONTROL[VEHIDCODE],CONTROL[ENGLISH])</f>
        <v>Maglev Unit Wagon</v>
      </c>
      <c r="G3" s="40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15</v>
      </c>
      <c r="J3">
        <v>1</v>
      </c>
      <c r="K3">
        <v>8</v>
      </c>
      <c r="L3">
        <v>0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0">
        <v>0</v>
      </c>
      <c r="AA3" s="19">
        <f>IFERROR(PROPERTIES[[#This Row],[TE_STARTING_KN]]/(PROPERTIES[[#This Row],[WEIGHT]]*9.81),0)</f>
        <v>0</v>
      </c>
      <c r="AB3" s="19">
        <v>0.3</v>
      </c>
      <c r="AC3" s="16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6">
        <v>0</v>
      </c>
      <c r="AF3" s="6">
        <v>0</v>
      </c>
      <c r="AG3" t="s">
        <v>241</v>
      </c>
      <c r="AH3" t="s">
        <v>229</v>
      </c>
      <c r="AI3" t="s">
        <v>229</v>
      </c>
      <c r="AJ3" s="2" t="s">
        <v>229</v>
      </c>
      <c r="AK3" s="2" t="s">
        <v>244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44" t="b">
        <v>0</v>
      </c>
      <c r="AP3" s="48" t="b">
        <v>0</v>
      </c>
      <c r="AQ3" s="48" t="b">
        <v>0</v>
      </c>
      <c r="AR3" s="48">
        <v>0</v>
      </c>
      <c r="AS3" s="48" t="b">
        <v>0</v>
      </c>
      <c r="AT3" s="7" t="b">
        <v>0</v>
      </c>
      <c r="AU3" s="40" t="str" cm="1">
        <f t="array" ref="AU3">_xlfn.XLOOKUP(PROPERTIES[[#This Row],[VEHIDCODE]],GRAPHICS_PROPERTIES[VEHIDCODE],GRAPHICS_PROPERTIES[TEMPLATE_ID]&amp;GRAPHICS_PROPERTIES[TEMPLATE_AMENDMENT_CODE])</f>
        <v>TPL_01F</v>
      </c>
    </row>
    <row r="4" spans="1:48" x14ac:dyDescent="0.35">
      <c r="A4" s="2" t="s">
        <v>2649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0" t="str">
        <f>_xlfn.XLOOKUP(PROPERTIES[[#This Row],[VEHIDCODE]],CONTROL[VEHIDCODE],CONTROL[ENGLISH])</f>
        <v>Komarek NOLB 1</v>
      </c>
      <c r="F4" t="s">
        <v>540</v>
      </c>
      <c r="G4" s="40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15</v>
      </c>
      <c r="J4">
        <v>22</v>
      </c>
      <c r="K4">
        <v>5</v>
      </c>
      <c r="L4">
        <v>0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3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0">
        <v>0</v>
      </c>
      <c r="AA4" s="19">
        <f>IFERROR(PROPERTIES[[#This Row],[TE_STARTING_KN]]/(PROPERTIES[[#This Row],[WEIGHT]]*9.81),0)</f>
        <v>0</v>
      </c>
      <c r="AB4" s="19">
        <v>0.18</v>
      </c>
      <c r="AC4" s="16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6">
        <v>0</v>
      </c>
      <c r="AF4" s="6">
        <v>0</v>
      </c>
      <c r="AG4" t="s">
        <v>230</v>
      </c>
      <c r="AH4" t="s">
        <v>229</v>
      </c>
      <c r="AI4" t="s">
        <v>229</v>
      </c>
      <c r="AJ4" s="2" t="s">
        <v>229</v>
      </c>
      <c r="AK4" s="2" t="s">
        <v>244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44" t="b">
        <v>0</v>
      </c>
      <c r="AP4" s="48" t="b">
        <v>0</v>
      </c>
      <c r="AQ4" s="48" t="b">
        <v>0</v>
      </c>
      <c r="AR4" s="48">
        <v>0</v>
      </c>
      <c r="AS4" s="48" t="b">
        <v>0</v>
      </c>
      <c r="AT4" s="7" t="b">
        <v>0</v>
      </c>
      <c r="AU4" s="40" t="str" cm="1">
        <f t="array" ref="AU4">_xlfn.XLOOKUP(PROPERTIES[[#This Row],[VEHIDCODE]],GRAPHICS_PROPERTIES[VEHIDCODE],GRAPHICS_PROPERTIES[TEMPLATE_ID]&amp;GRAPHICS_PROPERTIES[TEMPLATE_AMENDMENT_CODE])</f>
        <v>TPL_01B</v>
      </c>
    </row>
    <row r="5" spans="1:48" x14ac:dyDescent="0.35">
      <c r="A5" s="2" t="s">
        <v>2650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0" t="str">
        <f>_xlfn.XLOOKUP(PROPERTIES[[#This Row],[VEHIDCODE]],CONTROL[VEHIDCODE],CONTROL[ENGLISH])</f>
        <v>Kerr, Stuart &amp; Co. 86</v>
      </c>
      <c r="F5" t="s">
        <v>636</v>
      </c>
      <c r="G5" s="40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15</v>
      </c>
      <c r="J5">
        <v>86</v>
      </c>
      <c r="K5">
        <v>8</v>
      </c>
      <c r="L5">
        <v>0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3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0">
        <v>0</v>
      </c>
      <c r="AA5" s="19">
        <f>IFERROR(PROPERTIES[[#This Row],[TE_STARTING_KN]]/(PROPERTIES[[#This Row],[WEIGHT]]*9.81),0)</f>
        <v>0</v>
      </c>
      <c r="AB5" s="19">
        <v>0.08</v>
      </c>
      <c r="AC5" s="16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6">
        <v>0</v>
      </c>
      <c r="AF5" s="6">
        <v>0</v>
      </c>
      <c r="AG5" t="s">
        <v>231</v>
      </c>
      <c r="AH5" t="s">
        <v>229</v>
      </c>
      <c r="AI5" t="s">
        <v>229</v>
      </c>
      <c r="AJ5" s="2" t="s">
        <v>229</v>
      </c>
      <c r="AK5" s="2" t="s">
        <v>244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44" t="b">
        <v>0</v>
      </c>
      <c r="AP5" s="48" t="b">
        <v>0</v>
      </c>
      <c r="AQ5" s="48" t="b">
        <v>0</v>
      </c>
      <c r="AR5" s="48">
        <v>0</v>
      </c>
      <c r="AS5" s="48" t="b">
        <v>0</v>
      </c>
      <c r="AT5" s="7" t="b">
        <v>0</v>
      </c>
      <c r="AU5" s="40" t="str" cm="1">
        <f t="array" ref="AU5">_xlfn.XLOOKUP(PROPERTIES[[#This Row],[VEHIDCODE]],GRAPHICS_PROPERTIES[VEHIDCODE],GRAPHICS_PROPERTIES[TEMPLATE_ID]&amp;GRAPHICS_PROPERTIES[TEMPLATE_AMENDMENT_CODE])</f>
        <v>TPL_03C</v>
      </c>
    </row>
    <row r="6" spans="1:48" x14ac:dyDescent="0.35">
      <c r="A6" s="2" t="s">
        <v>2651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0" t="str">
        <f>_xlfn.XLOOKUP(PROPERTIES[[#This Row],[VEHIDCODE]],CONTROL[VEHIDCODE],CONTROL[ENGLISH])</f>
        <v>Victorian Railways Rowan Railmotor</v>
      </c>
      <c r="F6" t="s">
        <v>541</v>
      </c>
      <c r="G6" s="40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15</v>
      </c>
      <c r="J6">
        <v>42</v>
      </c>
      <c r="K6">
        <v>6</v>
      </c>
      <c r="L6">
        <v>0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3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0">
        <v>16</v>
      </c>
      <c r="AA6" s="19">
        <f>IFERROR(PROPERTIES[[#This Row],[TE_STARTING_KN]]/(PROPERTIES[[#This Row],[WEIGHT]]*9.81),0)</f>
        <v>0.10873258579680598</v>
      </c>
      <c r="AB6" s="19">
        <v>0</v>
      </c>
      <c r="AC6" s="16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6">
        <v>0</v>
      </c>
      <c r="AF6" s="6">
        <v>0</v>
      </c>
      <c r="AG6" t="s">
        <v>232</v>
      </c>
      <c r="AH6" t="s">
        <v>229</v>
      </c>
      <c r="AI6" t="s">
        <v>229</v>
      </c>
      <c r="AJ6" s="2" t="s">
        <v>229</v>
      </c>
      <c r="AK6" s="2" t="s">
        <v>244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44" t="b">
        <v>0</v>
      </c>
      <c r="AP6" s="48" t="b">
        <v>0</v>
      </c>
      <c r="AQ6" s="48" t="b">
        <v>0</v>
      </c>
      <c r="AR6" s="48">
        <v>0</v>
      </c>
      <c r="AS6" s="48" t="b">
        <v>0</v>
      </c>
      <c r="AT6" s="7" t="b">
        <v>0</v>
      </c>
      <c r="AU6" s="40" t="str" cm="1">
        <f t="array" ref="AU6">_xlfn.XLOOKUP(PROPERTIES[[#This Row],[VEHIDCODE]],GRAPHICS_PROPERTIES[VEHIDCODE],GRAPHICS_PROPERTIES[TEMPLATE_ID]&amp;GRAPHICS_PROPERTIES[TEMPLATE_AMENDMENT_CODE])</f>
        <v>TPL_03C</v>
      </c>
    </row>
    <row r="7" spans="1:48" x14ac:dyDescent="0.35">
      <c r="A7" s="2" t="s">
        <v>2652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0" t="str">
        <f>_xlfn.XLOOKUP(PROPERTIES[[#This Row],[VEHIDCODE]],CONTROL[VEHIDCODE],CONTROL[ENGLISH])</f>
        <v>Esslingen Czm 1/2</v>
      </c>
      <c r="F7" t="s">
        <v>570</v>
      </c>
      <c r="G7" s="40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15</v>
      </c>
      <c r="J7">
        <v>30</v>
      </c>
      <c r="K7">
        <v>5</v>
      </c>
      <c r="L7">
        <v>0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3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0">
        <v>0</v>
      </c>
      <c r="AA7" s="19">
        <f>IFERROR(PROPERTIES[[#This Row],[TE_STARTING_KN]]/(PROPERTIES[[#This Row],[WEIGHT]]*9.81),0)</f>
        <v>0</v>
      </c>
      <c r="AB7" s="19">
        <v>0.34</v>
      </c>
      <c r="AC7" s="16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6">
        <v>0</v>
      </c>
      <c r="AF7" s="6">
        <v>0</v>
      </c>
      <c r="AG7" t="s">
        <v>230</v>
      </c>
      <c r="AH7" t="s">
        <v>229</v>
      </c>
      <c r="AI7" t="s">
        <v>229</v>
      </c>
      <c r="AJ7" s="2" t="s">
        <v>229</v>
      </c>
      <c r="AK7" s="2" t="s">
        <v>244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44" t="b">
        <v>0</v>
      </c>
      <c r="AP7" s="48" t="b">
        <v>0</v>
      </c>
      <c r="AQ7" s="48" t="b">
        <v>0</v>
      </c>
      <c r="AR7" s="48">
        <v>0</v>
      </c>
      <c r="AS7" s="48" t="b">
        <v>0</v>
      </c>
      <c r="AT7" s="7" t="b">
        <v>0</v>
      </c>
      <c r="AU7" s="40" t="str" cm="1">
        <f t="array" ref="AU7">_xlfn.XLOOKUP(PROPERTIES[[#This Row],[VEHIDCODE]],GRAPHICS_PROPERTIES[VEHIDCODE],GRAPHICS_PROPERTIES[TEMPLATE_ID]&amp;GRAPHICS_PROPERTIES[TEMPLATE_AMENDMENT_CODE])</f>
        <v>TPL_03C</v>
      </c>
    </row>
    <row r="8" spans="1:48" x14ac:dyDescent="0.35">
      <c r="A8" s="2" t="s">
        <v>2653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0" t="str">
        <f>_xlfn.XLOOKUP(PROPERTIES[[#This Row],[VEHIDCODE]],CONTROL[VEHIDCODE],CONTROL[ENGLISH])</f>
        <v>Maffei MCCi</v>
      </c>
      <c r="F8" t="s">
        <v>584</v>
      </c>
      <c r="G8" s="40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15</v>
      </c>
      <c r="J8">
        <v>52</v>
      </c>
      <c r="K8">
        <v>8</v>
      </c>
      <c r="L8">
        <v>0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3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0">
        <v>0</v>
      </c>
      <c r="AA8" s="19">
        <f>IFERROR(PROPERTIES[[#This Row],[TE_STARTING_KN]]/(PROPERTIES[[#This Row],[WEIGHT]]*9.81),0)</f>
        <v>0</v>
      </c>
      <c r="AB8" s="19">
        <v>0.34</v>
      </c>
      <c r="AC8" s="16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6">
        <v>0</v>
      </c>
      <c r="AF8" s="6">
        <v>0</v>
      </c>
      <c r="AG8" t="s">
        <v>230</v>
      </c>
      <c r="AH8" t="s">
        <v>229</v>
      </c>
      <c r="AI8" t="s">
        <v>229</v>
      </c>
      <c r="AJ8" s="2" t="s">
        <v>229</v>
      </c>
      <c r="AK8" s="2" t="s">
        <v>244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44" t="b">
        <v>0</v>
      </c>
      <c r="AP8" s="48" t="b">
        <v>0</v>
      </c>
      <c r="AQ8" s="48" t="b">
        <v>0</v>
      </c>
      <c r="AR8" s="48">
        <v>0</v>
      </c>
      <c r="AS8" s="48" t="b">
        <v>0</v>
      </c>
      <c r="AT8" s="7" t="b">
        <v>0</v>
      </c>
      <c r="AU8" s="40" t="str" cm="1">
        <f t="array" ref="AU8">_xlfn.XLOOKUP(PROPERTIES[[#This Row],[VEHIDCODE]],GRAPHICS_PROPERTIES[VEHIDCODE],GRAPHICS_PROPERTIES[TEMPLATE_ID]&amp;GRAPHICS_PROPERTIES[TEMPLATE_AMENDMENT_CODE])</f>
        <v>TPL_01B</v>
      </c>
    </row>
    <row r="9" spans="1:48" x14ac:dyDescent="0.35">
      <c r="A9" s="2" t="s">
        <v>2654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0" t="str">
        <f>_xlfn.XLOOKUP(PROPERTIES[[#This Row],[VEHIDCODE]],CONTROL[VEHIDCODE],CONTROL[ENGLISH])</f>
        <v>Kitson &amp; Co. CSAR Railmotor</v>
      </c>
      <c r="F9" t="s">
        <v>771</v>
      </c>
      <c r="G9" s="40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15</v>
      </c>
      <c r="J9">
        <v>50</v>
      </c>
      <c r="K9">
        <v>8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3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0">
        <v>28.26</v>
      </c>
      <c r="AA9" s="19">
        <f>IFERROR(PROPERTIES[[#This Row],[TE_STARTING_KN]]/(PROPERTIES[[#This Row],[WEIGHT]]*9.81),0)</f>
        <v>6.0015290519877681E-2</v>
      </c>
      <c r="AB9" s="19">
        <v>0</v>
      </c>
      <c r="AC9" s="16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6">
        <v>0</v>
      </c>
      <c r="AF9" s="6">
        <v>2</v>
      </c>
      <c r="AG9" t="s">
        <v>233</v>
      </c>
      <c r="AH9" t="s">
        <v>229</v>
      </c>
      <c r="AI9" t="s">
        <v>229</v>
      </c>
      <c r="AJ9" s="2" t="s">
        <v>229</v>
      </c>
      <c r="AK9" s="2" t="s">
        <v>244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44" t="b">
        <v>0</v>
      </c>
      <c r="AP9" s="48" t="b">
        <v>0</v>
      </c>
      <c r="AQ9" s="48" t="b">
        <v>0</v>
      </c>
      <c r="AR9" s="48">
        <v>0</v>
      </c>
      <c r="AS9" s="48" t="b">
        <v>0</v>
      </c>
      <c r="AT9" s="7" t="b">
        <v>0</v>
      </c>
      <c r="AU9" s="40" t="str" cm="1">
        <f t="array" ref="AU9">_xlfn.XLOOKUP(PROPERTIES[[#This Row],[VEHIDCODE]],GRAPHICS_PROPERTIES[VEHIDCODE],GRAPHICS_PROPERTIES[TEMPLATE_ID]&amp;GRAPHICS_PROPERTIES[TEMPLATE_AMENDMENT_CODE])</f>
        <v>TPL_32B</v>
      </c>
    </row>
    <row r="10" spans="1:48" x14ac:dyDescent="0.35">
      <c r="A10" s="2" t="s">
        <v>2655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0" t="str">
        <f>_xlfn.XLOOKUP(PROPERTIES[[#This Row],[VEHIDCODE]],CONTROL[VEHIDCODE],CONTROL[ENGLISH])</f>
        <v>Kerr, Stuart &amp; Co. Motor Car 3</v>
      </c>
      <c r="F10" t="s">
        <v>541</v>
      </c>
      <c r="G10" s="40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15</v>
      </c>
      <c r="J10">
        <v>32</v>
      </c>
      <c r="K10">
        <v>6</v>
      </c>
      <c r="L10">
        <v>0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3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0">
        <v>0</v>
      </c>
      <c r="AA10" s="19">
        <f>IFERROR(PROPERTIES[[#This Row],[TE_STARTING_KN]]/(PROPERTIES[[#This Row],[WEIGHT]]*9.81),0)</f>
        <v>0</v>
      </c>
      <c r="AB10" s="19">
        <v>0.14000000000000001</v>
      </c>
      <c r="AC10" s="16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6">
        <v>0</v>
      </c>
      <c r="AF10" s="6">
        <v>0</v>
      </c>
      <c r="AG10" t="s">
        <v>232</v>
      </c>
      <c r="AH10" t="s">
        <v>229</v>
      </c>
      <c r="AI10" t="s">
        <v>229</v>
      </c>
      <c r="AJ10" s="2" t="s">
        <v>229</v>
      </c>
      <c r="AK10" s="2" t="s">
        <v>244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44" t="b">
        <v>0</v>
      </c>
      <c r="AP10" s="48" t="b">
        <v>0</v>
      </c>
      <c r="AQ10" s="48" t="b">
        <v>0</v>
      </c>
      <c r="AR10" s="48">
        <v>0</v>
      </c>
      <c r="AS10" s="48" t="b">
        <v>0</v>
      </c>
      <c r="AT10" s="7" t="b">
        <v>0</v>
      </c>
      <c r="AU10" s="40" t="str" cm="1">
        <f t="array" ref="AU10">_xlfn.XLOOKUP(PROPERTIES[[#This Row],[VEHIDCODE]],GRAPHICS_PROPERTIES[VEHIDCODE],GRAPHICS_PROPERTIES[TEMPLATE_ID]&amp;GRAPHICS_PROPERTIES[TEMPLATE_AMENDMENT_CODE])</f>
        <v>TPL_03C</v>
      </c>
    </row>
    <row r="11" spans="1:48" x14ac:dyDescent="0.35">
      <c r="A11" s="2" t="s">
        <v>2656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0" t="str">
        <f>_xlfn.XLOOKUP(PROPERTIES[[#This Row],[VEHIDCODE]],CONTROL[VEHIDCODE],CONTROL[ENGLISH])</f>
        <v>KkStB 4.0</v>
      </c>
      <c r="F11" t="s">
        <v>540</v>
      </c>
      <c r="G11" s="40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19</v>
      </c>
      <c r="J11">
        <v>14</v>
      </c>
      <c r="K11">
        <v>5</v>
      </c>
      <c r="L11">
        <v>0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3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0">
        <v>0</v>
      </c>
      <c r="AA11" s="19">
        <f>IFERROR(PROPERTIES[[#This Row],[TE_STARTING_KN]]/(PROPERTIES[[#This Row],[WEIGHT]]*9.81),0)</f>
        <v>0</v>
      </c>
      <c r="AB11" s="19">
        <v>7.0000000000000007E-2</v>
      </c>
      <c r="AC11" s="16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6">
        <v>0</v>
      </c>
      <c r="AF11" s="6">
        <v>0</v>
      </c>
      <c r="AG11" t="s">
        <v>230</v>
      </c>
      <c r="AH11" t="s">
        <v>229</v>
      </c>
      <c r="AI11" t="s">
        <v>229</v>
      </c>
      <c r="AJ11" s="2" t="s">
        <v>229</v>
      </c>
      <c r="AK11" s="2" t="s">
        <v>244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44" t="b">
        <v>0</v>
      </c>
      <c r="AP11" s="48" t="b">
        <v>0</v>
      </c>
      <c r="AQ11" s="48" t="b">
        <v>0</v>
      </c>
      <c r="AR11" s="48">
        <v>0</v>
      </c>
      <c r="AS11" s="48" t="b">
        <v>0</v>
      </c>
      <c r="AT11" s="7" t="b">
        <v>0</v>
      </c>
      <c r="AU11" s="40" t="str" cm="1">
        <f t="array" ref="AU11">_xlfn.XLOOKUP(PROPERTIES[[#This Row],[VEHIDCODE]],GRAPHICS_PROPERTIES[VEHIDCODE],GRAPHICS_PROPERTIES[TEMPLATE_ID]&amp;GRAPHICS_PROPERTIES[TEMPLATE_AMENDMENT_CODE])</f>
        <v>TPL_03C</v>
      </c>
    </row>
    <row r="12" spans="1:48" x14ac:dyDescent="0.35">
      <c r="A12" s="2" t="s">
        <v>2657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0" t="str">
        <f>_xlfn.XLOOKUP(PROPERTIES[[#This Row],[VEHIDCODE]],CONTROL[VEHIDCODE],CONTROL[ENGLISH])</f>
        <v>AEC Railmotor RM1</v>
      </c>
      <c r="F12" t="s">
        <v>541</v>
      </c>
      <c r="G12" s="40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15</v>
      </c>
      <c r="J12">
        <v>37</v>
      </c>
      <c r="K12">
        <v>5</v>
      </c>
      <c r="L12">
        <v>0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3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0">
        <v>0</v>
      </c>
      <c r="AA12" s="19">
        <f>IFERROR(PROPERTIES[[#This Row],[TE_STARTING_KN]]/(PROPERTIES[[#This Row],[WEIGHT]]*9.81),0)</f>
        <v>0</v>
      </c>
      <c r="AB12" s="19">
        <v>0.1</v>
      </c>
      <c r="AC12" s="16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6">
        <v>0</v>
      </c>
      <c r="AF12" s="6">
        <v>0</v>
      </c>
      <c r="AG12" t="s">
        <v>232</v>
      </c>
      <c r="AH12" t="s">
        <v>229</v>
      </c>
      <c r="AI12" t="s">
        <v>229</v>
      </c>
      <c r="AJ12" s="2" t="s">
        <v>229</v>
      </c>
      <c r="AK12" s="2" t="s">
        <v>244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44" t="b">
        <v>0</v>
      </c>
      <c r="AP12" s="48" t="b">
        <v>0</v>
      </c>
      <c r="AQ12" s="48" t="b">
        <v>0</v>
      </c>
      <c r="AR12" s="48">
        <v>0</v>
      </c>
      <c r="AS12" s="48" t="b">
        <v>0</v>
      </c>
      <c r="AT12" s="7" t="b">
        <v>0</v>
      </c>
      <c r="AU12" s="40" t="str" cm="1">
        <f t="array" ref="AU12">_xlfn.XLOOKUP(PROPERTIES[[#This Row],[VEHIDCODE]],GRAPHICS_PROPERTIES[VEHIDCODE],GRAPHICS_PROPERTIES[TEMPLATE_ID]&amp;GRAPHICS_PROPERTIES[TEMPLATE_AMENDMENT_CODE])</f>
        <v>TPL_01B</v>
      </c>
    </row>
    <row r="13" spans="1:48" x14ac:dyDescent="0.35">
      <c r="A13" s="2" t="s">
        <v>2658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0" t="str">
        <f>_xlfn.XLOOKUP(PROPERTIES[[#This Row],[VEHIDCODE]],CONTROL[VEHIDCODE],CONTROL[ENGLISH])</f>
        <v>VT133 Wismar Railcar</v>
      </c>
      <c r="F13" t="s">
        <v>584</v>
      </c>
      <c r="G13" s="40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15</v>
      </c>
      <c r="J13">
        <v>24</v>
      </c>
      <c r="K13">
        <v>6</v>
      </c>
      <c r="L13">
        <v>0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3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0">
        <v>0</v>
      </c>
      <c r="AA13" s="19">
        <f>IFERROR(PROPERTIES[[#This Row],[TE_STARTING_KN]]/(PROPERTIES[[#This Row],[WEIGHT]]*9.81),0)</f>
        <v>0</v>
      </c>
      <c r="AB13" s="19">
        <v>0.5</v>
      </c>
      <c r="AC13" s="16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6">
        <v>0</v>
      </c>
      <c r="AF13" s="6">
        <v>0</v>
      </c>
      <c r="AG13" t="s">
        <v>230</v>
      </c>
      <c r="AH13" t="s">
        <v>229</v>
      </c>
      <c r="AI13" t="s">
        <v>229</v>
      </c>
      <c r="AJ13" s="2" t="s">
        <v>229</v>
      </c>
      <c r="AK13" s="2" t="s">
        <v>244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44" t="b">
        <v>0</v>
      </c>
      <c r="AP13" s="48" t="b">
        <v>0</v>
      </c>
      <c r="AQ13" s="48" t="b">
        <v>0</v>
      </c>
      <c r="AR13" s="48">
        <v>0</v>
      </c>
      <c r="AS13" s="48" t="b">
        <v>0</v>
      </c>
      <c r="AT13" s="7" t="b">
        <v>0</v>
      </c>
      <c r="AU13" s="40" t="str" cm="1">
        <f t="array" ref="AU13">_xlfn.XLOOKUP(PROPERTIES[[#This Row],[VEHIDCODE]],GRAPHICS_PROPERTIES[VEHIDCODE],GRAPHICS_PROPERTIES[TEMPLATE_ID]&amp;GRAPHICS_PROPERTIES[TEMPLATE_AMENDMENT_CODE])</f>
        <v>TPL_01B</v>
      </c>
    </row>
    <row r="14" spans="1:48" x14ac:dyDescent="0.35">
      <c r="A14" s="2" t="s">
        <v>2659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0" t="str">
        <f>_xlfn.XLOOKUP(PROPERTIES[[#This Row],[VEHIDCODE]],CONTROL[VEHIDCODE],CONTROL[ENGLISH])</f>
        <v>AEC Railcar</v>
      </c>
      <c r="F14" t="s">
        <v>603</v>
      </c>
      <c r="G14" s="40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15</v>
      </c>
      <c r="J14">
        <v>69</v>
      </c>
      <c r="K14">
        <v>6</v>
      </c>
      <c r="L14">
        <v>0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3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0">
        <v>0</v>
      </c>
      <c r="AA14" s="19">
        <f>IFERROR(PROPERTIES[[#This Row],[TE_STARTING_KN]]/(PROPERTIES[[#This Row],[WEIGHT]]*9.81),0)</f>
        <v>0</v>
      </c>
      <c r="AB14" s="19">
        <v>0.27</v>
      </c>
      <c r="AC14" s="16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6">
        <v>0</v>
      </c>
      <c r="AF14" s="6">
        <v>0</v>
      </c>
      <c r="AG14" t="s">
        <v>234</v>
      </c>
      <c r="AH14" t="s">
        <v>229</v>
      </c>
      <c r="AI14" t="s">
        <v>229</v>
      </c>
      <c r="AJ14" s="2" t="s">
        <v>229</v>
      </c>
      <c r="AK14" s="2" t="s">
        <v>244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44" t="b">
        <v>0</v>
      </c>
      <c r="AP14" s="48" t="b">
        <v>0</v>
      </c>
      <c r="AQ14" s="48" t="b">
        <v>0</v>
      </c>
      <c r="AR14" s="48">
        <v>0</v>
      </c>
      <c r="AS14" s="48" t="b">
        <v>0</v>
      </c>
      <c r="AT14" s="7" t="b">
        <v>0</v>
      </c>
      <c r="AU14" s="40" t="str" cm="1">
        <f t="array" ref="AU14">_xlfn.XLOOKUP(PROPERTIES[[#This Row],[VEHIDCODE]],GRAPHICS_PROPERTIES[VEHIDCODE],GRAPHICS_PROPERTIES[TEMPLATE_ID]&amp;GRAPHICS_PROPERTIES[TEMPLATE_AMENDMENT_CODE])</f>
        <v>TPL_01B</v>
      </c>
    </row>
    <row r="15" spans="1:48" x14ac:dyDescent="0.35">
      <c r="A15" s="2" t="s">
        <v>2660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0" t="str">
        <f>_xlfn.XLOOKUP(PROPERTIES[[#This Row],[VEHIDCODE]],CONTROL[VEHIDCODE],CONTROL[ENGLISH])</f>
        <v>Simmering VT42</v>
      </c>
      <c r="F15" t="s">
        <v>540</v>
      </c>
      <c r="G15" s="40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15</v>
      </c>
      <c r="J15">
        <v>78</v>
      </c>
      <c r="K15">
        <v>8</v>
      </c>
      <c r="L15">
        <v>0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3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0">
        <v>50</v>
      </c>
      <c r="AA15" s="19">
        <f>IFERROR(PROPERTIES[[#This Row],[TE_STARTING_KN]]/(PROPERTIES[[#This Row],[WEIGHT]]*9.81),0)</f>
        <v>8.6387117952970841E-2</v>
      </c>
      <c r="AB15" s="19">
        <v>0</v>
      </c>
      <c r="AC15" s="16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6">
        <v>0</v>
      </c>
      <c r="AF15" s="6">
        <v>0</v>
      </c>
      <c r="AG15" t="s">
        <v>230</v>
      </c>
      <c r="AH15" t="s">
        <v>229</v>
      </c>
      <c r="AI15" t="s">
        <v>229</v>
      </c>
      <c r="AJ15" s="2" t="s">
        <v>229</v>
      </c>
      <c r="AK15" s="2" t="s">
        <v>244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44" t="b">
        <v>0</v>
      </c>
      <c r="AP15" s="48" t="b">
        <v>1</v>
      </c>
      <c r="AQ15" s="48" t="b">
        <v>0</v>
      </c>
      <c r="AR15" s="48">
        <v>0</v>
      </c>
      <c r="AS15" s="48" t="b">
        <v>0</v>
      </c>
      <c r="AT15" s="7" t="b">
        <v>0</v>
      </c>
      <c r="AU15" s="40" t="str" cm="1">
        <f t="array" ref="AU15">_xlfn.XLOOKUP(PROPERTIES[[#This Row],[VEHIDCODE]],GRAPHICS_PROPERTIES[VEHIDCODE],GRAPHICS_PROPERTIES[TEMPLATE_ID]&amp;GRAPHICS_PROPERTIES[TEMPLATE_AMENDMENT_CODE])</f>
        <v>TPL_01B</v>
      </c>
    </row>
    <row r="16" spans="1:48" x14ac:dyDescent="0.35">
      <c r="A16" s="2" t="s">
        <v>2661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0" t="str">
        <f>_xlfn.XLOOKUP(PROPERTIES[[#This Row],[VEHIDCODE]],CONTROL[VEHIDCODE],CONTROL[ENGLISH])</f>
        <v>Hutt RM31</v>
      </c>
      <c r="F16" t="s">
        <v>697</v>
      </c>
      <c r="G16" s="40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15</v>
      </c>
      <c r="J16">
        <v>50</v>
      </c>
      <c r="K16">
        <v>8</v>
      </c>
      <c r="L16">
        <v>0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3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0">
        <v>0</v>
      </c>
      <c r="AA16" s="19">
        <f>IFERROR(PROPERTIES[[#This Row],[TE_STARTING_KN]]/(PROPERTIES[[#This Row],[WEIGHT]]*9.81),0)</f>
        <v>0</v>
      </c>
      <c r="AB16" s="19">
        <v>0.2</v>
      </c>
      <c r="AC16" s="16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6">
        <v>0</v>
      </c>
      <c r="AF16" s="6">
        <v>0</v>
      </c>
      <c r="AG16" t="s">
        <v>232</v>
      </c>
      <c r="AH16" t="s">
        <v>229</v>
      </c>
      <c r="AI16" t="s">
        <v>229</v>
      </c>
      <c r="AJ16" s="2" t="s">
        <v>229</v>
      </c>
      <c r="AK16" s="2" t="s">
        <v>244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44" t="b">
        <v>0</v>
      </c>
      <c r="AP16" s="48" t="b">
        <v>1</v>
      </c>
      <c r="AQ16" s="48" t="b">
        <v>0</v>
      </c>
      <c r="AR16" s="48">
        <v>0</v>
      </c>
      <c r="AS16" s="48" t="b">
        <v>0</v>
      </c>
      <c r="AT16" s="7" t="b">
        <v>0</v>
      </c>
      <c r="AU16" s="40" t="str" cm="1">
        <f t="array" ref="AU16">_xlfn.XLOOKUP(PROPERTIES[[#This Row],[VEHIDCODE]],GRAPHICS_PROPERTIES[VEHIDCODE],GRAPHICS_PROPERTIES[TEMPLATE_ID]&amp;GRAPHICS_PROPERTIES[TEMPLATE_AMENDMENT_CODE])</f>
        <v>TPL_01B</v>
      </c>
    </row>
    <row r="17" spans="1:47" x14ac:dyDescent="0.35">
      <c r="A17" s="2" t="s">
        <v>2662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0" t="str">
        <f>_xlfn.XLOOKUP(PROPERTIES[[#This Row],[VEHIDCODE]],CONTROL[VEHIDCODE],CONTROL[ENGLISH])</f>
        <v>NOHAB CP 0100</v>
      </c>
      <c r="F17" t="s">
        <v>710</v>
      </c>
      <c r="G17" s="40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15</v>
      </c>
      <c r="J17">
        <v>70</v>
      </c>
      <c r="K17">
        <v>8</v>
      </c>
      <c r="L17">
        <v>0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3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0">
        <v>0</v>
      </c>
      <c r="AA17" s="19">
        <f>IFERROR(PROPERTIES[[#This Row],[TE_STARTING_KN]]/(PROPERTIES[[#This Row],[WEIGHT]]*9.81),0)</f>
        <v>0</v>
      </c>
      <c r="AB17" s="19">
        <v>0.12</v>
      </c>
      <c r="AC17" s="16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6">
        <v>0</v>
      </c>
      <c r="AF17" s="6">
        <v>0</v>
      </c>
      <c r="AG17" t="s">
        <v>231</v>
      </c>
      <c r="AH17" t="s">
        <v>229</v>
      </c>
      <c r="AI17" t="s">
        <v>229</v>
      </c>
      <c r="AJ17" s="2" t="s">
        <v>229</v>
      </c>
      <c r="AK17" s="2" t="s">
        <v>244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44" t="b">
        <v>0</v>
      </c>
      <c r="AP17" s="48" t="b">
        <v>1</v>
      </c>
      <c r="AQ17" s="48" t="b">
        <v>0</v>
      </c>
      <c r="AR17" s="48">
        <v>0</v>
      </c>
      <c r="AS17" s="48" t="b">
        <v>0</v>
      </c>
      <c r="AT17" s="7" t="b">
        <v>0</v>
      </c>
      <c r="AU17" s="40" t="str" cm="1">
        <f t="array" ref="AU17">_xlfn.XLOOKUP(PROPERTIES[[#This Row],[VEHIDCODE]],GRAPHICS_PROPERTIES[VEHIDCODE],GRAPHICS_PROPERTIES[TEMPLATE_ID]&amp;GRAPHICS_PROPERTIES[TEMPLATE_AMENDMENT_CODE])</f>
        <v>TPL_01B</v>
      </c>
    </row>
    <row r="18" spans="1:47" x14ac:dyDescent="0.35">
      <c r="A18" s="2" t="s">
        <v>2663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0" t="str">
        <f>_xlfn.XLOOKUP(PROPERTIES[[#This Row],[VEHIDCODE]],CONTROL[VEHIDCODE],CONTROL[ENGLISH])</f>
        <v>Budd RDC</v>
      </c>
      <c r="F18" t="s">
        <v>757</v>
      </c>
      <c r="G18" s="40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15</v>
      </c>
      <c r="J18">
        <v>90</v>
      </c>
      <c r="K18">
        <v>8</v>
      </c>
      <c r="L18">
        <v>0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3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0">
        <v>0</v>
      </c>
      <c r="AA18" s="19">
        <f>IFERROR(PROPERTIES[[#This Row],[TE_STARTING_KN]]/(PROPERTIES[[#This Row],[WEIGHT]]*9.81),0)</f>
        <v>0</v>
      </c>
      <c r="AB18" s="19">
        <v>0.1</v>
      </c>
      <c r="AC18" s="16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6">
        <v>0</v>
      </c>
      <c r="AF18" s="6">
        <v>0</v>
      </c>
      <c r="AG18" t="s">
        <v>240</v>
      </c>
      <c r="AH18" t="s">
        <v>1947</v>
      </c>
      <c r="AI18" t="s">
        <v>229</v>
      </c>
      <c r="AJ18" s="2" t="s">
        <v>229</v>
      </c>
      <c r="AK18" s="2" t="s">
        <v>244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44" t="b">
        <v>0</v>
      </c>
      <c r="AP18" s="48" t="b">
        <v>1</v>
      </c>
      <c r="AQ18" s="48" t="b">
        <v>0</v>
      </c>
      <c r="AR18" s="48">
        <v>0</v>
      </c>
      <c r="AS18" s="48" t="b">
        <v>0</v>
      </c>
      <c r="AT18" s="7" t="b">
        <v>0</v>
      </c>
      <c r="AU18" s="40" t="str" cm="1">
        <f t="array" ref="AU18">_xlfn.XLOOKUP(PROPERTIES[[#This Row],[VEHIDCODE]],GRAPHICS_PROPERTIES[VEHIDCODE],GRAPHICS_PROPERTIES[TEMPLATE_ID]&amp;GRAPHICS_PROPERTIES[TEMPLATE_AMENDMENT_CODE])</f>
        <v>TPL_01B</v>
      </c>
    </row>
    <row r="19" spans="1:47" x14ac:dyDescent="0.35">
      <c r="A19" s="2" t="s">
        <v>2664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0" t="str">
        <f>_xlfn.XLOOKUP(PROPERTIES[[#This Row],[VEHIDCODE]],CONTROL[VEHIDCODE],CONTROL[ENGLISH])</f>
        <v>Uerdingen railbus</v>
      </c>
      <c r="F19" t="s">
        <v>584</v>
      </c>
      <c r="G19" s="40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15</v>
      </c>
      <c r="J19">
        <v>56</v>
      </c>
      <c r="K19">
        <v>6</v>
      </c>
      <c r="L19">
        <v>0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3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0">
        <v>0</v>
      </c>
      <c r="AA19" s="19">
        <f>IFERROR(PROPERTIES[[#This Row],[TE_STARTING_KN]]/(PROPERTIES[[#This Row],[WEIGHT]]*9.81),0)</f>
        <v>0</v>
      </c>
      <c r="AB19" s="19">
        <v>0.2</v>
      </c>
      <c r="AC19" s="16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6">
        <v>0</v>
      </c>
      <c r="AF19" s="6">
        <v>0</v>
      </c>
      <c r="AG19" t="s">
        <v>230</v>
      </c>
      <c r="AH19" t="s">
        <v>229</v>
      </c>
      <c r="AI19" t="s">
        <v>229</v>
      </c>
      <c r="AJ19" s="2" t="s">
        <v>229</v>
      </c>
      <c r="AK19" s="2" t="s">
        <v>244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44" t="b">
        <v>0</v>
      </c>
      <c r="AP19" s="48" t="b">
        <v>1</v>
      </c>
      <c r="AQ19" s="48" t="b">
        <v>0</v>
      </c>
      <c r="AR19" s="48">
        <v>0</v>
      </c>
      <c r="AS19" s="48" t="b">
        <v>0</v>
      </c>
      <c r="AT19" s="7" t="b">
        <v>0</v>
      </c>
      <c r="AU19" s="40" t="str" cm="1">
        <f t="array" ref="AU19">_xlfn.XLOOKUP(PROPERTIES[[#This Row],[VEHIDCODE]],GRAPHICS_PROPERTIES[VEHIDCODE],GRAPHICS_PROPERTIES[TEMPLATE_ID]&amp;GRAPHICS_PROPERTIES[TEMPLATE_AMENDMENT_CODE])</f>
        <v>TPL_01B</v>
      </c>
    </row>
    <row r="20" spans="1:47" x14ac:dyDescent="0.35">
      <c r="A20" s="2" t="s">
        <v>2665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0" t="str">
        <f>_xlfn.XLOOKUP(PROPERTIES[[#This Row],[VEHIDCODE]],CONTROL[VEHIDCODE],CONTROL[ENGLISH])</f>
        <v>MaK GDT</v>
      </c>
      <c r="F20" t="s">
        <v>584</v>
      </c>
      <c r="G20" s="40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15</v>
      </c>
      <c r="J20">
        <v>108</v>
      </c>
      <c r="K20">
        <v>8</v>
      </c>
      <c r="L20">
        <v>0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3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0">
        <v>0</v>
      </c>
      <c r="AA20" s="19">
        <f>IFERROR(PROPERTIES[[#This Row],[TE_STARTING_KN]]/(PROPERTIES[[#This Row],[WEIGHT]]*9.81),0)</f>
        <v>0</v>
      </c>
      <c r="AB20" s="19">
        <v>0.25</v>
      </c>
      <c r="AC20" s="16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6">
        <v>0</v>
      </c>
      <c r="AF20" s="6">
        <v>0</v>
      </c>
      <c r="AG20" t="s">
        <v>230</v>
      </c>
      <c r="AH20" t="s">
        <v>229</v>
      </c>
      <c r="AI20" t="s">
        <v>229</v>
      </c>
      <c r="AJ20" s="2" t="s">
        <v>229</v>
      </c>
      <c r="AK20" s="2" t="s">
        <v>244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44" t="b">
        <v>0</v>
      </c>
      <c r="AP20" s="48" t="b">
        <v>1</v>
      </c>
      <c r="AQ20" s="48" t="b">
        <v>0</v>
      </c>
      <c r="AR20" s="48">
        <v>0</v>
      </c>
      <c r="AS20" s="48" t="b">
        <v>0</v>
      </c>
      <c r="AT20" s="7" t="b">
        <v>0</v>
      </c>
      <c r="AU20" s="40" t="str" cm="1">
        <f t="array" ref="AU20">_xlfn.XLOOKUP(PROPERTIES[[#This Row],[VEHIDCODE]],GRAPHICS_PROPERTIES[VEHIDCODE],GRAPHICS_PROPERTIES[TEMPLATE_ID]&amp;GRAPHICS_PROPERTIES[TEMPLATE_AMENDMENT_CODE])</f>
        <v>TPL_01B</v>
      </c>
    </row>
    <row r="21" spans="1:47" x14ac:dyDescent="0.35">
      <c r="A21" s="2" t="s">
        <v>2666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0" t="str">
        <f>_xlfn.XLOOKUP(PROPERTIES[[#This Row],[VEHIDCODE]],CONTROL[VEHIDCODE],CONTROL[ENGLISH])</f>
        <v>Allan 'Kameel'</v>
      </c>
      <c r="F21" t="s">
        <v>692</v>
      </c>
      <c r="G21" s="40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15</v>
      </c>
      <c r="J21">
        <v>28</v>
      </c>
      <c r="K21">
        <v>8</v>
      </c>
      <c r="L21">
        <v>0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3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0">
        <v>0</v>
      </c>
      <c r="AA21" s="19">
        <f>IFERROR(PROPERTIES[[#This Row],[TE_STARTING_KN]]/(PROPERTIES[[#This Row],[WEIGHT]]*9.81),0)</f>
        <v>0</v>
      </c>
      <c r="AB21" s="19">
        <v>0.12</v>
      </c>
      <c r="AC21" s="16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6">
        <v>0</v>
      </c>
      <c r="AF21" s="6">
        <v>0</v>
      </c>
      <c r="AG21" t="s">
        <v>230</v>
      </c>
      <c r="AH21" t="s">
        <v>229</v>
      </c>
      <c r="AI21" t="s">
        <v>229</v>
      </c>
      <c r="AJ21" s="2" t="s">
        <v>229</v>
      </c>
      <c r="AK21" s="2" t="s">
        <v>244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44" t="b">
        <v>0</v>
      </c>
      <c r="AP21" s="48" t="b">
        <v>1</v>
      </c>
      <c r="AQ21" s="48" t="b">
        <v>0</v>
      </c>
      <c r="AR21" s="48">
        <v>0</v>
      </c>
      <c r="AS21" s="48" t="b">
        <v>0</v>
      </c>
      <c r="AT21" s="7" t="b">
        <v>0</v>
      </c>
      <c r="AU21" s="40" t="str" cm="1">
        <f t="array" ref="AU21">_xlfn.XLOOKUP(PROPERTIES[[#This Row],[VEHIDCODE]],GRAPHICS_PROPERTIES[VEHIDCODE],GRAPHICS_PROPERTIES[TEMPLATE_ID]&amp;GRAPHICS_PROPERTIES[TEMPLATE_AMENDMENT_CODE])</f>
        <v>TPL_01B</v>
      </c>
    </row>
    <row r="22" spans="1:47" x14ac:dyDescent="0.35">
      <c r="A22" s="2" t="s">
        <v>2667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0" t="str">
        <f>_xlfn.XLOOKUP(PROPERTIES[[#This Row],[VEHIDCODE]],CONTROL[VEHIDCODE],CONTROL[ENGLISH])</f>
        <v>NS DH1</v>
      </c>
      <c r="F22" t="s">
        <v>692</v>
      </c>
      <c r="G22" s="40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15</v>
      </c>
      <c r="J22">
        <v>56</v>
      </c>
      <c r="K22">
        <v>8</v>
      </c>
      <c r="L22">
        <v>0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3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0">
        <v>0</v>
      </c>
      <c r="AA22" s="19">
        <f>IFERROR(PROPERTIES[[#This Row],[TE_STARTING_KN]]/(PROPERTIES[[#This Row],[WEIGHT]]*9.81),0)</f>
        <v>0</v>
      </c>
      <c r="AB22" s="19">
        <v>0.23</v>
      </c>
      <c r="AC22" s="16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6">
        <v>0</v>
      </c>
      <c r="AF22" s="6">
        <v>0</v>
      </c>
      <c r="AG22" t="s">
        <v>239</v>
      </c>
      <c r="AH22" t="s">
        <v>237</v>
      </c>
      <c r="AI22" t="s">
        <v>229</v>
      </c>
      <c r="AJ22" s="2" t="s">
        <v>229</v>
      </c>
      <c r="AK22" s="2" t="s">
        <v>244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44" t="b">
        <v>0</v>
      </c>
      <c r="AP22" s="48" t="b">
        <v>1</v>
      </c>
      <c r="AQ22" s="48" t="b">
        <v>0</v>
      </c>
      <c r="AR22" s="48">
        <v>0</v>
      </c>
      <c r="AS22" s="48" t="b">
        <v>0</v>
      </c>
      <c r="AT22" s="7" t="b">
        <v>0</v>
      </c>
      <c r="AU22" s="40" t="str" cm="1">
        <f t="array" ref="AU22">_xlfn.XLOOKUP(PROPERTIES[[#This Row],[VEHIDCODE]],GRAPHICS_PROPERTIES[VEHIDCODE],GRAPHICS_PROPERTIES[TEMPLATE_ID]&amp;GRAPHICS_PROPERTIES[TEMPLATE_AMENDMENT_CODE])</f>
        <v>TPL_01B</v>
      </c>
    </row>
    <row r="23" spans="1:47" x14ac:dyDescent="0.35">
      <c r="A23" s="2" t="s">
        <v>2668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0" t="str">
        <f>_xlfn.XLOOKUP(PROPERTIES[[#This Row],[VEHIDCODE]],CONTROL[VEHIDCODE],CONTROL[ENGLISH])</f>
        <v>Jenbacher Werke 5047</v>
      </c>
      <c r="F23" t="s">
        <v>540</v>
      </c>
      <c r="G23" s="40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15</v>
      </c>
      <c r="J23">
        <v>62</v>
      </c>
      <c r="K23">
        <v>8</v>
      </c>
      <c r="L23">
        <v>0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3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0">
        <v>0</v>
      </c>
      <c r="AA23" s="19">
        <f>IFERROR(PROPERTIES[[#This Row],[TE_STARTING_KN]]/(PROPERTIES[[#This Row],[WEIGHT]]*9.81),0)</f>
        <v>0</v>
      </c>
      <c r="AB23" s="19">
        <v>0.11</v>
      </c>
      <c r="AC23" s="16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6">
        <v>0</v>
      </c>
      <c r="AF23" s="6">
        <v>0</v>
      </c>
      <c r="AG23" t="s">
        <v>230</v>
      </c>
      <c r="AH23" t="s">
        <v>229</v>
      </c>
      <c r="AI23" t="s">
        <v>229</v>
      </c>
      <c r="AJ23" s="2" t="s">
        <v>229</v>
      </c>
      <c r="AK23" s="2" t="s">
        <v>244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44" t="b">
        <v>0</v>
      </c>
      <c r="AP23" s="48" t="b">
        <v>1</v>
      </c>
      <c r="AQ23" s="48" t="b">
        <v>0</v>
      </c>
      <c r="AR23" s="48">
        <v>0</v>
      </c>
      <c r="AS23" s="48" t="b">
        <v>0</v>
      </c>
      <c r="AT23" s="7" t="b">
        <v>0</v>
      </c>
      <c r="AU23" s="40" t="str" cm="1">
        <f t="array" ref="AU23">_xlfn.XLOOKUP(PROPERTIES[[#This Row],[VEHIDCODE]],GRAPHICS_PROPERTIES[VEHIDCODE],GRAPHICS_PROPERTIES[TEMPLATE_ID]&amp;GRAPHICS_PROPERTIES[TEMPLATE_AMENDMENT_CODE])</f>
        <v>TPL_01B</v>
      </c>
    </row>
    <row r="24" spans="1:47" x14ac:dyDescent="0.35">
      <c r="A24" s="2" t="s">
        <v>2669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0" t="str">
        <f>_xlfn.XLOOKUP(PROPERTIES[[#This Row],[VEHIDCODE]],CONTROL[VEHIDCODE],CONTROL[ENGLISH])</f>
        <v>Hunslet-Barclay 'Super Sprinter'</v>
      </c>
      <c r="F24" t="s">
        <v>603</v>
      </c>
      <c r="G24" s="40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15</v>
      </c>
      <c r="J24">
        <v>75</v>
      </c>
      <c r="K24">
        <v>8</v>
      </c>
      <c r="L24">
        <v>0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3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0">
        <v>0</v>
      </c>
      <c r="AA24" s="19">
        <f>IFERROR(PROPERTIES[[#This Row],[TE_STARTING_KN]]/(PROPERTIES[[#This Row],[WEIGHT]]*9.81),0)</f>
        <v>0</v>
      </c>
      <c r="AB24" s="19">
        <v>0.1</v>
      </c>
      <c r="AC24" s="16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6">
        <v>0</v>
      </c>
      <c r="AF24" s="6">
        <v>0</v>
      </c>
      <c r="AG24" t="s">
        <v>234</v>
      </c>
      <c r="AH24" t="s">
        <v>229</v>
      </c>
      <c r="AI24" t="s">
        <v>229</v>
      </c>
      <c r="AJ24" s="2" t="s">
        <v>229</v>
      </c>
      <c r="AK24" s="2" t="s">
        <v>244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44" t="b">
        <v>0</v>
      </c>
      <c r="AP24" s="48" t="b">
        <v>1</v>
      </c>
      <c r="AQ24" s="48" t="b">
        <v>0</v>
      </c>
      <c r="AR24" s="48">
        <v>0</v>
      </c>
      <c r="AS24" s="48" t="b">
        <v>0</v>
      </c>
      <c r="AT24" s="7" t="b">
        <v>0</v>
      </c>
      <c r="AU24" s="40" t="str" cm="1">
        <f t="array" ref="AU24">_xlfn.XLOOKUP(PROPERTIES[[#This Row],[VEHIDCODE]],GRAPHICS_PROPERTIES[VEHIDCODE],GRAPHICS_PROPERTIES[TEMPLATE_ID]&amp;GRAPHICS_PROPERTIES[TEMPLATE_AMENDMENT_CODE])</f>
        <v>TPL_01B</v>
      </c>
    </row>
    <row r="25" spans="1:47" x14ac:dyDescent="0.35">
      <c r="A25" s="2" t="s">
        <v>2670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0" t="str">
        <f>_xlfn.XLOOKUP(PROPERTIES[[#This Row],[VEHIDCODE]],CONTROL[VEHIDCODE],CONTROL[ENGLISH])</f>
        <v>Vagonka Studenka 809</v>
      </c>
      <c r="F25" t="s">
        <v>583</v>
      </c>
      <c r="G25" s="40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15</v>
      </c>
      <c r="J25">
        <v>95</v>
      </c>
      <c r="K25">
        <v>7</v>
      </c>
      <c r="L25">
        <v>0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3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0">
        <v>0</v>
      </c>
      <c r="AA25" s="19">
        <f>IFERROR(PROPERTIES[[#This Row],[TE_STARTING_KN]]/(PROPERTIES[[#This Row],[WEIGHT]]*9.81),0)</f>
        <v>0</v>
      </c>
      <c r="AB25" s="19">
        <v>0.15</v>
      </c>
      <c r="AC25" s="16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6">
        <v>0</v>
      </c>
      <c r="AF25" s="6">
        <v>0</v>
      </c>
      <c r="AG25" t="s">
        <v>236</v>
      </c>
      <c r="AH25" t="s">
        <v>229</v>
      </c>
      <c r="AI25" t="s">
        <v>229</v>
      </c>
      <c r="AJ25" s="2" t="s">
        <v>229</v>
      </c>
      <c r="AK25" s="2" t="s">
        <v>244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44" t="b">
        <v>0</v>
      </c>
      <c r="AP25" s="48" t="b">
        <v>1</v>
      </c>
      <c r="AQ25" s="48" t="b">
        <v>0</v>
      </c>
      <c r="AR25" s="48">
        <v>0</v>
      </c>
      <c r="AS25" s="48" t="b">
        <v>0</v>
      </c>
      <c r="AT25" s="7" t="b">
        <v>0</v>
      </c>
      <c r="AU25" s="40" t="str" cm="1">
        <f t="array" ref="AU25">_xlfn.XLOOKUP(PROPERTIES[[#This Row],[VEHIDCODE]],GRAPHICS_PROPERTIES[VEHIDCODE],GRAPHICS_PROPERTIES[TEMPLATE_ID]&amp;GRAPHICS_PROPERTIES[TEMPLATE_AMENDMENT_CODE])</f>
        <v>TPL_01B</v>
      </c>
    </row>
    <row r="26" spans="1:47" x14ac:dyDescent="0.35">
      <c r="A26" s="2" t="s">
        <v>2671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0" t="str">
        <f>_xlfn.XLOOKUP(PROPERTIES[[#This Row],[VEHIDCODE]],CONTROL[VEHIDCODE],CONTROL[ENGLISH])</f>
        <v>DWA 670</v>
      </c>
      <c r="F26" t="s">
        <v>584</v>
      </c>
      <c r="G26" s="40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15</v>
      </c>
      <c r="J26">
        <v>110</v>
      </c>
      <c r="K26">
        <v>7</v>
      </c>
      <c r="L26">
        <v>0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3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0">
        <v>0</v>
      </c>
      <c r="AA26" s="19">
        <f>IFERROR(PROPERTIES[[#This Row],[TE_STARTING_KN]]/(PROPERTIES[[#This Row],[WEIGHT]]*9.81),0)</f>
        <v>0</v>
      </c>
      <c r="AB26" s="19">
        <v>0.21</v>
      </c>
      <c r="AC26" s="16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6">
        <v>0</v>
      </c>
      <c r="AF26" s="6">
        <v>0</v>
      </c>
      <c r="AG26" t="s">
        <v>230</v>
      </c>
      <c r="AH26" t="s">
        <v>229</v>
      </c>
      <c r="AI26" t="s">
        <v>229</v>
      </c>
      <c r="AJ26" s="2" t="s">
        <v>229</v>
      </c>
      <c r="AK26" s="2" t="s">
        <v>244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44" t="b">
        <v>0</v>
      </c>
      <c r="AP26" s="48" t="b">
        <v>1</v>
      </c>
      <c r="AQ26" s="48" t="b">
        <v>0</v>
      </c>
      <c r="AR26" s="48">
        <v>0</v>
      </c>
      <c r="AS26" s="48" t="b">
        <v>0</v>
      </c>
      <c r="AT26" s="7" t="b">
        <v>0</v>
      </c>
      <c r="AU26" s="40" t="str" cm="1">
        <f t="array" ref="AU26">_xlfn.XLOOKUP(PROPERTIES[[#This Row],[VEHIDCODE]],GRAPHICS_PROPERTIES[VEHIDCODE],GRAPHICS_PROPERTIES[TEMPLATE_ID]&amp;GRAPHICS_PROPERTIES[TEMPLATE_AMENDMENT_CODE])</f>
        <v>TPL_01B</v>
      </c>
    </row>
    <row r="27" spans="1:47" x14ac:dyDescent="0.35">
      <c r="A27" s="2" t="s">
        <v>2672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0" t="str">
        <f>_xlfn.XLOOKUP(PROPERTIES[[#This Row],[VEHIDCODE]],CONTROL[VEHIDCODE],CONTROL[ENGLISH])</f>
        <v>RVR AR2</v>
      </c>
      <c r="F27" t="s">
        <v>659</v>
      </c>
      <c r="G27" s="40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15</v>
      </c>
      <c r="J27">
        <v>76</v>
      </c>
      <c r="K27">
        <v>8</v>
      </c>
      <c r="L27">
        <v>0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3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0">
        <v>0</v>
      </c>
      <c r="AA27" s="19">
        <f>IFERROR(PROPERTIES[[#This Row],[TE_STARTING_KN]]/(PROPERTIES[[#This Row],[WEIGHT]]*9.81),0)</f>
        <v>0</v>
      </c>
      <c r="AB27" s="19">
        <v>0.12</v>
      </c>
      <c r="AC27" s="16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6">
        <v>0</v>
      </c>
      <c r="AF27" s="6">
        <v>0</v>
      </c>
      <c r="AG27" t="s">
        <v>234</v>
      </c>
      <c r="AH27" t="s">
        <v>229</v>
      </c>
      <c r="AI27" t="s">
        <v>229</v>
      </c>
      <c r="AJ27" s="2" t="s">
        <v>229</v>
      </c>
      <c r="AK27" s="2" t="s">
        <v>244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44" t="b">
        <v>0</v>
      </c>
      <c r="AP27" s="48" t="b">
        <v>1</v>
      </c>
      <c r="AQ27" s="48" t="b">
        <v>0</v>
      </c>
      <c r="AR27" s="48">
        <v>0</v>
      </c>
      <c r="AS27" s="48" t="b">
        <v>0</v>
      </c>
      <c r="AT27" s="7" t="b">
        <v>0</v>
      </c>
      <c r="AU27" s="40" t="str" cm="1">
        <f t="array" ref="AU27">_xlfn.XLOOKUP(PROPERTIES[[#This Row],[VEHIDCODE]],GRAPHICS_PROPERTIES[VEHIDCODE],GRAPHICS_PROPERTIES[TEMPLATE_ID]&amp;GRAPHICS_PROPERTIES[TEMPLATE_AMENDMENT_CODE])</f>
        <v>TPL_01B</v>
      </c>
    </row>
    <row r="28" spans="1:47" x14ac:dyDescent="0.35">
      <c r="A28" s="2" t="s">
        <v>2673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0" t="str">
        <f>_xlfn.XLOOKUP(PROPERTIES[[#This Row],[VEHIDCODE]],CONTROL[VEHIDCODE],CONTROL[ENGLISH])</f>
        <v>Austro-Daimler Z1</v>
      </c>
      <c r="F28" t="s">
        <v>540</v>
      </c>
      <c r="G28" s="40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15</v>
      </c>
      <c r="J28">
        <v>16</v>
      </c>
      <c r="K28">
        <v>4</v>
      </c>
      <c r="L28">
        <v>0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3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0">
        <v>0</v>
      </c>
      <c r="AA28" s="19">
        <f>IFERROR(PROPERTIES[[#This Row],[TE_STARTING_KN]]/(PROPERTIES[[#This Row],[WEIGHT]]*9.81),0)</f>
        <v>0</v>
      </c>
      <c r="AB28" s="19">
        <v>0.34</v>
      </c>
      <c r="AC28" s="16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6">
        <v>0</v>
      </c>
      <c r="AF28" s="6">
        <v>0</v>
      </c>
      <c r="AG28" t="s">
        <v>230</v>
      </c>
      <c r="AH28" t="s">
        <v>229</v>
      </c>
      <c r="AI28" t="s">
        <v>229</v>
      </c>
      <c r="AJ28" s="2" t="s">
        <v>229</v>
      </c>
      <c r="AK28" s="2" t="s">
        <v>244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44" t="b">
        <v>0</v>
      </c>
      <c r="AP28" s="48" t="b">
        <v>0</v>
      </c>
      <c r="AQ28" s="48" t="b">
        <v>0</v>
      </c>
      <c r="AR28" s="48">
        <v>0</v>
      </c>
      <c r="AS28" s="48" t="b">
        <v>0</v>
      </c>
      <c r="AT28" s="7" t="b">
        <v>0</v>
      </c>
      <c r="AU28" s="40" t="str" cm="1">
        <f t="array" ref="AU28">_xlfn.XLOOKUP(PROPERTIES[[#This Row],[VEHIDCODE]],GRAPHICS_PROPERTIES[VEHIDCODE],GRAPHICS_PROPERTIES[TEMPLATE_ID]&amp;GRAPHICS_PROPERTIES[TEMPLATE_AMENDMENT_CODE])</f>
        <v>TPL_01B</v>
      </c>
    </row>
    <row r="29" spans="1:47" x14ac:dyDescent="0.35">
      <c r="A29" s="2" t="s">
        <v>2674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0" t="str">
        <f>_xlfn.XLOOKUP(PROPERTIES[[#This Row],[VEHIDCODE]],CONTROL[VEHIDCODE],CONTROL[ENGLISH])</f>
        <v>McKeen Motor Car 70</v>
      </c>
      <c r="F29" t="s">
        <v>757</v>
      </c>
      <c r="G29" s="40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15</v>
      </c>
      <c r="J29">
        <v>84</v>
      </c>
      <c r="K29">
        <v>8</v>
      </c>
      <c r="L29">
        <v>0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3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0">
        <v>0</v>
      </c>
      <c r="AA29" s="19">
        <f>IFERROR(PROPERTIES[[#This Row],[TE_STARTING_KN]]/(PROPERTIES[[#This Row],[WEIGHT]]*9.81),0)</f>
        <v>0</v>
      </c>
      <c r="AB29" s="19">
        <v>0.34</v>
      </c>
      <c r="AC29" s="16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6">
        <v>0</v>
      </c>
      <c r="AF29" s="6">
        <v>0</v>
      </c>
      <c r="AG29" t="s">
        <v>235</v>
      </c>
      <c r="AH29" t="s">
        <v>229</v>
      </c>
      <c r="AI29" t="s">
        <v>229</v>
      </c>
      <c r="AJ29" s="2" t="s">
        <v>229</v>
      </c>
      <c r="AK29" s="2" t="s">
        <v>244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44" t="b">
        <v>0</v>
      </c>
      <c r="AP29" s="48" t="b">
        <v>0</v>
      </c>
      <c r="AQ29" s="48" t="b">
        <v>0</v>
      </c>
      <c r="AR29" s="48">
        <v>0</v>
      </c>
      <c r="AS29" s="48" t="b">
        <v>0</v>
      </c>
      <c r="AT29" s="7" t="b">
        <v>0</v>
      </c>
      <c r="AU29" s="40" t="str" cm="1">
        <f t="array" ref="AU29">_xlfn.XLOOKUP(PROPERTIES[[#This Row],[VEHIDCODE]],GRAPHICS_PROPERTIES[VEHIDCODE],GRAPHICS_PROPERTIES[TEMPLATE_ID]&amp;GRAPHICS_PROPERTIES[TEMPLATE_AMENDMENT_CODE])</f>
        <v>TPL_01B</v>
      </c>
    </row>
    <row r="30" spans="1:47" x14ac:dyDescent="0.35">
      <c r="A30" s="2" t="s">
        <v>2675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0" t="str">
        <f>_xlfn.XLOOKUP(PROPERTIES[[#This Row],[VEHIDCODE]],CONTROL[VEHIDCODE],CONTROL[ENGLISH])</f>
        <v>BBC DET 1-2 'Sächsischer'</v>
      </c>
      <c r="F30" t="s">
        <v>584</v>
      </c>
      <c r="G30" s="40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15</v>
      </c>
      <c r="J30">
        <v>79</v>
      </c>
      <c r="K30">
        <v>8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3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0">
        <v>0</v>
      </c>
      <c r="AA30" s="19">
        <f>IFERROR(PROPERTIES[[#This Row],[TE_STARTING_KN]]/(PROPERTIES[[#This Row],[WEIGHT]]*9.81),0)</f>
        <v>0</v>
      </c>
      <c r="AB30" s="19">
        <v>0.34</v>
      </c>
      <c r="AC30" s="16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6">
        <v>0</v>
      </c>
      <c r="AF30" s="6">
        <v>2</v>
      </c>
      <c r="AG30" t="s">
        <v>230</v>
      </c>
      <c r="AH30" t="s">
        <v>229</v>
      </c>
      <c r="AI30" t="s">
        <v>229</v>
      </c>
      <c r="AJ30" s="2" t="s">
        <v>229</v>
      </c>
      <c r="AK30" s="2" t="s">
        <v>244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44" t="b">
        <v>0</v>
      </c>
      <c r="AP30" s="48" t="b">
        <v>0</v>
      </c>
      <c r="AQ30" s="48" t="b">
        <v>0</v>
      </c>
      <c r="AR30" s="48">
        <v>0</v>
      </c>
      <c r="AS30" s="48" t="b">
        <v>0</v>
      </c>
      <c r="AT30" s="7" t="b">
        <v>0</v>
      </c>
      <c r="AU30" s="40" t="str" cm="1">
        <f t="array" ref="AU30">_xlfn.XLOOKUP(PROPERTIES[[#This Row],[VEHIDCODE]],GRAPHICS_PROPERTIES[VEHIDCODE],GRAPHICS_PROPERTIES[TEMPLATE_ID]&amp;GRAPHICS_PROPERTIES[TEMPLATE_AMENDMENT_CODE])</f>
        <v>TPL_16A</v>
      </c>
    </row>
    <row r="31" spans="1:47" x14ac:dyDescent="0.35">
      <c r="A31" s="2" t="s">
        <v>2676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0" t="str">
        <f>_xlfn.XLOOKUP(PROPERTIES[[#This Row],[VEHIDCODE]],CONTROL[VEHIDCODE],CONTROL[ENGLISH])</f>
        <v>WC&amp;PR Drewry Railcar</v>
      </c>
      <c r="F31" t="s">
        <v>603</v>
      </c>
      <c r="G31" s="40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15</v>
      </c>
      <c r="J31">
        <v>42</v>
      </c>
      <c r="K31">
        <v>4</v>
      </c>
      <c r="L31">
        <v>0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3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0">
        <v>0</v>
      </c>
      <c r="AA31" s="19">
        <f>IFERROR(PROPERTIES[[#This Row],[TE_STARTING_KN]]/(PROPERTIES[[#This Row],[WEIGHT]]*9.81),0)</f>
        <v>0</v>
      </c>
      <c r="AB31" s="19">
        <v>0.21</v>
      </c>
      <c r="AC31" s="16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6">
        <v>0</v>
      </c>
      <c r="AF31" s="6">
        <v>0</v>
      </c>
      <c r="AG31" t="s">
        <v>234</v>
      </c>
      <c r="AH31" t="s">
        <v>229</v>
      </c>
      <c r="AI31" t="s">
        <v>229</v>
      </c>
      <c r="AJ31" s="2" t="s">
        <v>229</v>
      </c>
      <c r="AK31" s="2" t="s">
        <v>244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44" t="b">
        <v>0</v>
      </c>
      <c r="AP31" s="48" t="b">
        <v>0</v>
      </c>
      <c r="AQ31" s="48" t="b">
        <v>0</v>
      </c>
      <c r="AR31" s="48">
        <v>0</v>
      </c>
      <c r="AS31" s="48" t="b">
        <v>0</v>
      </c>
      <c r="AT31" s="7" t="b">
        <v>0</v>
      </c>
      <c r="AU31" s="40" t="str" cm="1">
        <f t="array" ref="AU31">_xlfn.XLOOKUP(PROPERTIES[[#This Row],[VEHIDCODE]],GRAPHICS_PROPERTIES[VEHIDCODE],GRAPHICS_PROPERTIES[TEMPLATE_ID]&amp;GRAPHICS_PROPERTIES[TEMPLATE_AMENDMENT_CODE])</f>
        <v>TPL_01B</v>
      </c>
    </row>
    <row r="32" spans="1:47" x14ac:dyDescent="0.35">
      <c r="A32" s="2" t="s">
        <v>2677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0" t="str">
        <f>_xlfn.XLOOKUP(PROPERTIES[[#This Row],[VEHIDCODE]],CONTROL[VEHIDCODE],CONTROL[ENGLISH])</f>
        <v>LHW BSt 6001</v>
      </c>
      <c r="F32" t="s">
        <v>584</v>
      </c>
      <c r="G32" s="40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15</v>
      </c>
      <c r="J32">
        <v>38</v>
      </c>
      <c r="K32">
        <v>5</v>
      </c>
      <c r="L32">
        <v>0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3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0">
        <v>0</v>
      </c>
      <c r="AA32" s="19">
        <f>IFERROR(PROPERTIES[[#This Row],[TE_STARTING_KN]]/(PROPERTIES[[#This Row],[WEIGHT]]*9.81),0)</f>
        <v>0</v>
      </c>
      <c r="AB32" s="19">
        <v>0.34</v>
      </c>
      <c r="AC32" s="16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6">
        <v>0</v>
      </c>
      <c r="AF32" s="6">
        <v>0</v>
      </c>
      <c r="AG32" t="s">
        <v>230</v>
      </c>
      <c r="AH32" t="s">
        <v>229</v>
      </c>
      <c r="AI32" t="s">
        <v>229</v>
      </c>
      <c r="AJ32" s="2" t="s">
        <v>229</v>
      </c>
      <c r="AK32" s="2" t="s">
        <v>244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44" t="b">
        <v>0</v>
      </c>
      <c r="AP32" s="48" t="b">
        <v>0</v>
      </c>
      <c r="AQ32" s="48" t="b">
        <v>0</v>
      </c>
      <c r="AR32" s="48">
        <v>0</v>
      </c>
      <c r="AS32" s="48" t="b">
        <v>0</v>
      </c>
      <c r="AT32" s="7" t="b">
        <v>0</v>
      </c>
      <c r="AU32" s="40" t="str" cm="1">
        <f t="array" ref="AU32">_xlfn.XLOOKUP(PROPERTIES[[#This Row],[VEHIDCODE]],GRAPHICS_PROPERTIES[VEHIDCODE],GRAPHICS_PROPERTIES[TEMPLATE_ID]&amp;GRAPHICS_PROPERTIES[TEMPLATE_AMENDMENT_CODE])</f>
        <v>TPL_01B</v>
      </c>
    </row>
    <row r="33" spans="1:47" x14ac:dyDescent="0.35">
      <c r="A33" s="2" t="s">
        <v>2678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0" t="str">
        <f>_xlfn.XLOOKUP(PROPERTIES[[#This Row],[VEHIDCODE]],CONTROL[VEHIDCODE],CONTROL[ENGLISH])</f>
        <v>EMC DERM</v>
      </c>
      <c r="F33" t="s">
        <v>541</v>
      </c>
      <c r="G33" s="40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15</v>
      </c>
      <c r="J33">
        <v>40</v>
      </c>
      <c r="K33">
        <v>7</v>
      </c>
      <c r="L33">
        <v>0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3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0">
        <v>0</v>
      </c>
      <c r="AA33" s="19">
        <f>IFERROR(PROPERTIES[[#This Row],[TE_STARTING_KN]]/(PROPERTIES[[#This Row],[WEIGHT]]*9.81),0)</f>
        <v>0</v>
      </c>
      <c r="AB33" s="19">
        <v>0.34</v>
      </c>
      <c r="AC33" s="16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6">
        <v>0</v>
      </c>
      <c r="AF33" s="6">
        <v>0</v>
      </c>
      <c r="AG33" t="s">
        <v>232</v>
      </c>
      <c r="AH33" t="s">
        <v>229</v>
      </c>
      <c r="AI33" t="s">
        <v>229</v>
      </c>
      <c r="AJ33" s="2" t="s">
        <v>229</v>
      </c>
      <c r="AK33" s="2" t="s">
        <v>244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44" t="b">
        <v>0</v>
      </c>
      <c r="AP33" s="48" t="b">
        <v>0</v>
      </c>
      <c r="AQ33" s="48" t="b">
        <v>0</v>
      </c>
      <c r="AR33" s="48">
        <v>0</v>
      </c>
      <c r="AS33" s="48" t="b">
        <v>0</v>
      </c>
      <c r="AT33" s="7" t="b">
        <v>0</v>
      </c>
      <c r="AU33" s="40" t="str" cm="1">
        <f t="array" ref="AU33">_xlfn.XLOOKUP(PROPERTIES[[#This Row],[VEHIDCODE]],GRAPHICS_PROPERTIES[VEHIDCODE],GRAPHICS_PROPERTIES[TEMPLATE_ID]&amp;GRAPHICS_PROPERTIES[TEMPLATE_AMENDMENT_CODE])</f>
        <v>TPL_01B</v>
      </c>
    </row>
    <row r="34" spans="1:47" x14ac:dyDescent="0.35">
      <c r="A34" s="2" t="s">
        <v>2679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0" t="str">
        <f>_xlfn.XLOOKUP(PROPERTIES[[#This Row],[VEHIDCODE]],CONTROL[VEHIDCODE],CONTROL[ENGLISH])</f>
        <v>Tatra M120.4</v>
      </c>
      <c r="F34" t="s">
        <v>583</v>
      </c>
      <c r="G34" s="40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15</v>
      </c>
      <c r="J34">
        <v>38</v>
      </c>
      <c r="K34">
        <v>5</v>
      </c>
      <c r="L34">
        <v>0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3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0">
        <v>0</v>
      </c>
      <c r="AA34" s="19">
        <f>IFERROR(PROPERTIES[[#This Row],[TE_STARTING_KN]]/(PROPERTIES[[#This Row],[WEIGHT]]*9.81),0)</f>
        <v>0</v>
      </c>
      <c r="AB34" s="19">
        <v>0.15</v>
      </c>
      <c r="AC34" s="16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6">
        <v>0</v>
      </c>
      <c r="AF34" s="6">
        <v>0</v>
      </c>
      <c r="AG34" t="s">
        <v>236</v>
      </c>
      <c r="AH34" t="s">
        <v>229</v>
      </c>
      <c r="AI34" t="s">
        <v>229</v>
      </c>
      <c r="AJ34" s="2" t="s">
        <v>229</v>
      </c>
      <c r="AK34" s="2" t="s">
        <v>244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44" t="b">
        <v>0</v>
      </c>
      <c r="AP34" s="48" t="b">
        <v>1</v>
      </c>
      <c r="AQ34" s="48" t="b">
        <v>0</v>
      </c>
      <c r="AR34" s="48">
        <v>0</v>
      </c>
      <c r="AS34" s="48" t="b">
        <v>0</v>
      </c>
      <c r="AT34" s="7" t="b">
        <v>0</v>
      </c>
      <c r="AU34" s="40" t="str" cm="1">
        <f t="array" ref="AU34">_xlfn.XLOOKUP(PROPERTIES[[#This Row],[VEHIDCODE]],GRAPHICS_PROPERTIES[VEHIDCODE],GRAPHICS_PROPERTIES[TEMPLATE_ID]&amp;GRAPHICS_PROPERTIES[TEMPLATE_AMENDMENT_CODE])</f>
        <v>TPL_01B</v>
      </c>
    </row>
    <row r="35" spans="1:47" x14ac:dyDescent="0.35">
      <c r="A35" s="2" t="s">
        <v>2680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0" t="str">
        <f>_xlfn.XLOOKUP(PROPERTIES[[#This Row],[VEHIDCODE]],CONTROL[VEHIDCODE],CONTROL[ENGLISH])</f>
        <v>Franz Kruckenberg Schienenzeppelin</v>
      </c>
      <c r="F35" t="s">
        <v>584</v>
      </c>
      <c r="G35" s="40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15</v>
      </c>
      <c r="J35">
        <v>40</v>
      </c>
      <c r="K35">
        <v>8</v>
      </c>
      <c r="L35">
        <v>0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3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0">
        <v>0</v>
      </c>
      <c r="AA35" s="19">
        <f>IFERROR(PROPERTIES[[#This Row],[TE_STARTING_KN]]/(PROPERTIES[[#This Row],[WEIGHT]]*9.81),0)</f>
        <v>0</v>
      </c>
      <c r="AB35" s="19">
        <v>0.39</v>
      </c>
      <c r="AC35" s="16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6">
        <v>0</v>
      </c>
      <c r="AF35" s="6">
        <v>0</v>
      </c>
      <c r="AG35" t="s">
        <v>230</v>
      </c>
      <c r="AH35" t="s">
        <v>229</v>
      </c>
      <c r="AI35" t="s">
        <v>229</v>
      </c>
      <c r="AJ35" s="2" t="s">
        <v>229</v>
      </c>
      <c r="AK35" s="2" t="s">
        <v>244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44" t="b">
        <v>0</v>
      </c>
      <c r="AP35" s="48" t="b">
        <v>0</v>
      </c>
      <c r="AQ35" s="48" t="b">
        <v>0</v>
      </c>
      <c r="AR35" s="48">
        <v>0</v>
      </c>
      <c r="AS35" s="48" t="b">
        <v>0</v>
      </c>
      <c r="AT35" s="7" t="b">
        <v>0</v>
      </c>
      <c r="AU35" s="40" t="str" cm="1">
        <f t="array" ref="AU35">_xlfn.XLOOKUP(PROPERTIES[[#This Row],[VEHIDCODE]],GRAPHICS_PROPERTIES[VEHIDCODE],GRAPHICS_PROPERTIES[TEMPLATE_ID]&amp;GRAPHICS_PROPERTIES[TEMPLATE_AMENDMENT_CODE])</f>
        <v>TPL_03C</v>
      </c>
    </row>
    <row r="36" spans="1:47" x14ac:dyDescent="0.35">
      <c r="A36" s="2" t="s">
        <v>2681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0" t="str">
        <f>_xlfn.XLOOKUP(PROPERTIES[[#This Row],[VEHIDCODE]],CONTROL[VEHIDCODE],CONTROL[ENGLISH])</f>
        <v>DSB MO Serie 1</v>
      </c>
      <c r="F36" t="s">
        <v>586</v>
      </c>
      <c r="G36" s="40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15</v>
      </c>
      <c r="J36">
        <v>52</v>
      </c>
      <c r="K36">
        <v>8</v>
      </c>
      <c r="L36">
        <v>0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3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0">
        <v>0</v>
      </c>
      <c r="AA36" s="19">
        <f>IFERROR(PROPERTIES[[#This Row],[TE_STARTING_KN]]/(PROPERTIES[[#This Row],[WEIGHT]]*9.81),0)</f>
        <v>0</v>
      </c>
      <c r="AB36" s="19">
        <v>0.31</v>
      </c>
      <c r="AC36" s="16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6">
        <v>0</v>
      </c>
      <c r="AF36" s="6">
        <v>0</v>
      </c>
      <c r="AG36" t="s">
        <v>234</v>
      </c>
      <c r="AH36" t="s">
        <v>229</v>
      </c>
      <c r="AI36" t="s">
        <v>229</v>
      </c>
      <c r="AJ36" s="2" t="s">
        <v>229</v>
      </c>
      <c r="AK36" s="2" t="s">
        <v>244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44" t="b">
        <v>0</v>
      </c>
      <c r="AP36" s="48" t="b">
        <v>1</v>
      </c>
      <c r="AQ36" s="48" t="b">
        <v>0</v>
      </c>
      <c r="AR36" s="48">
        <v>0</v>
      </c>
      <c r="AS36" s="48" t="b">
        <v>0</v>
      </c>
      <c r="AT36" s="7" t="b">
        <v>0</v>
      </c>
      <c r="AU36" s="40" t="str" cm="1">
        <f t="array" ref="AU36">_xlfn.XLOOKUP(PROPERTIES[[#This Row],[VEHIDCODE]],GRAPHICS_PROPERTIES[VEHIDCODE],GRAPHICS_PROPERTIES[TEMPLATE_ID]&amp;GRAPHICS_PROPERTIES[TEMPLATE_AMENDMENT_CODE])</f>
        <v>TPL_01B</v>
      </c>
    </row>
    <row r="37" spans="1:47" x14ac:dyDescent="0.35">
      <c r="A37" s="2" t="s">
        <v>2682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0" t="str">
        <f>_xlfn.XLOOKUP(PROPERTIES[[#This Row],[VEHIDCODE]],CONTROL[VEHIDCODE],CONTROL[ENGLISH])</f>
        <v>Strommens Kristine Valdresdatter</v>
      </c>
      <c r="F37" t="s">
        <v>693</v>
      </c>
      <c r="G37" s="40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15</v>
      </c>
      <c r="J37">
        <v>40</v>
      </c>
      <c r="K37">
        <v>6</v>
      </c>
      <c r="L37">
        <v>0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3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0">
        <v>0</v>
      </c>
      <c r="AA37" s="19">
        <f>IFERROR(PROPERTIES[[#This Row],[TE_STARTING_KN]]/(PROPERTIES[[#This Row],[WEIGHT]]*9.81),0)</f>
        <v>0</v>
      </c>
      <c r="AB37" s="19">
        <v>0.41</v>
      </c>
      <c r="AC37" s="16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6">
        <v>0</v>
      </c>
      <c r="AF37" s="6">
        <v>0</v>
      </c>
      <c r="AG37" t="s">
        <v>234</v>
      </c>
      <c r="AH37" t="s">
        <v>229</v>
      </c>
      <c r="AI37" t="s">
        <v>229</v>
      </c>
      <c r="AJ37" s="2" t="s">
        <v>229</v>
      </c>
      <c r="AK37" s="2" t="s">
        <v>244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44" t="b">
        <v>0</v>
      </c>
      <c r="AP37" s="48" t="b">
        <v>1</v>
      </c>
      <c r="AQ37" s="48" t="b">
        <v>0</v>
      </c>
      <c r="AR37" s="48">
        <v>0</v>
      </c>
      <c r="AS37" s="48" t="b">
        <v>0</v>
      </c>
      <c r="AT37" s="7" t="b">
        <v>0</v>
      </c>
      <c r="AU37" s="40" t="str" cm="1">
        <f t="array" ref="AU37">_xlfn.XLOOKUP(PROPERTIES[[#This Row],[VEHIDCODE]],GRAPHICS_PROPERTIES[VEHIDCODE],GRAPHICS_PROPERTIES[TEMPLATE_ID]&amp;GRAPHICS_PROPERTIES[TEMPLATE_AMENDMENT_CODE])</f>
        <v>TPL_01B</v>
      </c>
    </row>
    <row r="38" spans="1:47" x14ac:dyDescent="0.35">
      <c r="A38" s="2" t="s">
        <v>2683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0" t="str">
        <f>_xlfn.XLOOKUP(PROPERTIES[[#This Row],[VEHIDCODE]],CONTROL[VEHIDCODE],CONTROL[ENGLISH])</f>
        <v>Tatra M290</v>
      </c>
      <c r="F38" t="s">
        <v>583</v>
      </c>
      <c r="G38" s="40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15</v>
      </c>
      <c r="J38">
        <v>72</v>
      </c>
      <c r="K38">
        <v>7</v>
      </c>
      <c r="L38">
        <v>0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3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0">
        <v>0</v>
      </c>
      <c r="AA38" s="19">
        <f>IFERROR(PROPERTIES[[#This Row],[TE_STARTING_KN]]/(PROPERTIES[[#This Row],[WEIGHT]]*9.81),0)</f>
        <v>0</v>
      </c>
      <c r="AB38" s="19">
        <v>0.33</v>
      </c>
      <c r="AC38" s="16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6">
        <v>0</v>
      </c>
      <c r="AF38" s="6">
        <v>0</v>
      </c>
      <c r="AG38" t="s">
        <v>236</v>
      </c>
      <c r="AH38" t="s">
        <v>229</v>
      </c>
      <c r="AI38" t="s">
        <v>229</v>
      </c>
      <c r="AJ38" s="2" t="s">
        <v>229</v>
      </c>
      <c r="AK38" s="2" t="s">
        <v>244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44" t="b">
        <v>0</v>
      </c>
      <c r="AP38" s="48" t="b">
        <v>0</v>
      </c>
      <c r="AQ38" s="48" t="b">
        <v>0</v>
      </c>
      <c r="AR38" s="48">
        <v>0</v>
      </c>
      <c r="AS38" s="48" t="b">
        <v>0</v>
      </c>
      <c r="AT38" s="7" t="b">
        <v>0</v>
      </c>
      <c r="AU38" s="40" t="str" cm="1">
        <f t="array" ref="AU38">_xlfn.XLOOKUP(PROPERTIES[[#This Row],[VEHIDCODE]],GRAPHICS_PROPERTIES[VEHIDCODE],GRAPHICS_PROPERTIES[TEMPLATE_ID]&amp;GRAPHICS_PROPERTIES[TEMPLATE_AMENDMENT_CODE])</f>
        <v>TPL_01B</v>
      </c>
    </row>
    <row r="39" spans="1:47" x14ac:dyDescent="0.35">
      <c r="A39" s="2" t="s">
        <v>2684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0" t="str">
        <f>_xlfn.XLOOKUP(PROPERTIES[[#This Row],[VEHIDCODE]],CONTROL[VEHIDCODE],CONTROL[ENGLISH])</f>
        <v>Werkspoor DM37</v>
      </c>
      <c r="F39" t="s">
        <v>692</v>
      </c>
      <c r="G39" s="40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15</v>
      </c>
      <c r="J39">
        <f>15+56+8+8</f>
        <v>87</v>
      </c>
      <c r="K39">
        <v>8</v>
      </c>
      <c r="L39">
        <v>0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3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0">
        <v>0</v>
      </c>
      <c r="AA39" s="19">
        <f>IFERROR(PROPERTIES[[#This Row],[TE_STARTING_KN]]/(PROPERTIES[[#This Row],[WEIGHT]]*9.81),0)</f>
        <v>0</v>
      </c>
      <c r="AB39" s="19">
        <v>0.34</v>
      </c>
      <c r="AC39" s="16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6">
        <v>0</v>
      </c>
      <c r="AF39" s="6">
        <v>0</v>
      </c>
      <c r="AG39" t="s">
        <v>230</v>
      </c>
      <c r="AH39" t="s">
        <v>229</v>
      </c>
      <c r="AI39" t="s">
        <v>229</v>
      </c>
      <c r="AJ39" s="2" t="s">
        <v>229</v>
      </c>
      <c r="AK39" s="2" t="s">
        <v>244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44" t="b">
        <v>0</v>
      </c>
      <c r="AP39" s="48" t="b">
        <v>1</v>
      </c>
      <c r="AQ39" s="48" t="b">
        <v>0</v>
      </c>
      <c r="AR39" s="48">
        <v>0</v>
      </c>
      <c r="AS39" s="48" t="b">
        <v>0</v>
      </c>
      <c r="AT39" s="7" t="b">
        <v>0</v>
      </c>
      <c r="AU39" s="40" t="str" cm="1">
        <f t="array" ref="AU39">_xlfn.XLOOKUP(PROPERTIES[[#This Row],[VEHIDCODE]],GRAPHICS_PROPERTIES[VEHIDCODE],GRAPHICS_PROPERTIES[TEMPLATE_ID]&amp;GRAPHICS_PROPERTIES[TEMPLATE_AMENDMENT_CODE])</f>
        <v>TPL_01B</v>
      </c>
    </row>
    <row r="40" spans="1:47" x14ac:dyDescent="0.35">
      <c r="A40" s="2" t="s">
        <v>2685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0" t="str">
        <f>_xlfn.XLOOKUP(PROPERTIES[[#This Row],[VEHIDCODE]],CONTROL[VEHIDCODE],CONTROL[ENGLISH])</f>
        <v>Eveleigh 400 Class</v>
      </c>
      <c r="F40" t="s">
        <v>541</v>
      </c>
      <c r="G40" s="40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15</v>
      </c>
      <c r="J40">
        <v>56</v>
      </c>
      <c r="K40">
        <v>7</v>
      </c>
      <c r="L40">
        <v>0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3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0">
        <v>0</v>
      </c>
      <c r="AA40" s="19">
        <f>IFERROR(PROPERTIES[[#This Row],[TE_STARTING_KN]]/(PROPERTIES[[#This Row],[WEIGHT]]*9.81),0)</f>
        <v>0</v>
      </c>
      <c r="AB40" s="19">
        <v>0.34</v>
      </c>
      <c r="AC40" s="16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6">
        <v>0</v>
      </c>
      <c r="AF40" s="6">
        <v>0</v>
      </c>
      <c r="AG40" t="s">
        <v>232</v>
      </c>
      <c r="AH40" t="s">
        <v>229</v>
      </c>
      <c r="AI40" t="s">
        <v>229</v>
      </c>
      <c r="AJ40" s="2" t="s">
        <v>229</v>
      </c>
      <c r="AK40" s="2" t="s">
        <v>244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44" t="b">
        <v>0</v>
      </c>
      <c r="AP40" s="48" t="b">
        <v>0</v>
      </c>
      <c r="AQ40" s="48" t="b">
        <v>0</v>
      </c>
      <c r="AR40" s="48">
        <v>0</v>
      </c>
      <c r="AS40" s="48" t="b">
        <v>0</v>
      </c>
      <c r="AT40" s="7" t="b">
        <v>0</v>
      </c>
      <c r="AU40" s="40" t="str" cm="1">
        <f t="array" ref="AU40">_xlfn.XLOOKUP(PROPERTIES[[#This Row],[VEHIDCODE]],GRAPHICS_PROPERTIES[VEHIDCODE],GRAPHICS_PROPERTIES[TEMPLATE_ID]&amp;GRAPHICS_PROPERTIES[TEMPLATE_AMENDMENT_CODE])</f>
        <v>TPL_01B</v>
      </c>
    </row>
    <row r="41" spans="1:47" x14ac:dyDescent="0.35">
      <c r="A41" s="2" t="s">
        <v>2686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0" t="str">
        <f>_xlfn.XLOOKUP(PROPERTIES[[#This Row],[VEHIDCODE]],CONTROL[VEHIDCODE],CONTROL[ENGLISH])</f>
        <v>Vale do Vouga ME51-55</v>
      </c>
      <c r="F41" t="s">
        <v>710</v>
      </c>
      <c r="G41" s="40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15</v>
      </c>
      <c r="J41">
        <v>25</v>
      </c>
      <c r="K41">
        <v>5</v>
      </c>
      <c r="L41">
        <v>0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3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0">
        <v>0</v>
      </c>
      <c r="AA41" s="19">
        <f>IFERROR(PROPERTIES[[#This Row],[TE_STARTING_KN]]/(PROPERTIES[[#This Row],[WEIGHT]]*9.81),0)</f>
        <v>0</v>
      </c>
      <c r="AB41" s="19">
        <v>0.2</v>
      </c>
      <c r="AC41" s="16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6">
        <v>0</v>
      </c>
      <c r="AF41" s="6">
        <v>0</v>
      </c>
      <c r="AG41" t="s">
        <v>231</v>
      </c>
      <c r="AH41" t="s">
        <v>229</v>
      </c>
      <c r="AI41" t="s">
        <v>229</v>
      </c>
      <c r="AJ41" s="2" t="s">
        <v>229</v>
      </c>
      <c r="AK41" s="2" t="s">
        <v>244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44" t="b">
        <v>0</v>
      </c>
      <c r="AP41" s="48" t="b">
        <v>0</v>
      </c>
      <c r="AQ41" s="48" t="b">
        <v>0</v>
      </c>
      <c r="AR41" s="48">
        <v>0</v>
      </c>
      <c r="AS41" s="48" t="b">
        <v>0</v>
      </c>
      <c r="AT41" s="7" t="b">
        <v>0</v>
      </c>
      <c r="AU41" s="40" t="str" cm="1">
        <f t="array" ref="AU41">_xlfn.XLOOKUP(PROPERTIES[[#This Row],[VEHIDCODE]],GRAPHICS_PROPERTIES[VEHIDCODE],GRAPHICS_PROPERTIES[TEMPLATE_ID]&amp;GRAPHICS_PROPERTIES[TEMPLATE_AMENDMENT_CODE])</f>
        <v>TPL_01B</v>
      </c>
    </row>
    <row r="42" spans="1:47" x14ac:dyDescent="0.35">
      <c r="A42" s="2" t="s">
        <v>2687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0" t="str">
        <f>_xlfn.XLOOKUP(PROPERTIES[[#This Row],[VEHIDCODE]],CONTROL[VEHIDCODE],CONTROL[ENGLISH])</f>
        <v>Ateliers Germain 42/43</v>
      </c>
      <c r="F42" t="s">
        <v>548</v>
      </c>
      <c r="G42" s="40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15</v>
      </c>
      <c r="J42">
        <v>99</v>
      </c>
      <c r="K42">
        <v>7</v>
      </c>
      <c r="L42">
        <v>0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3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0">
        <v>0</v>
      </c>
      <c r="AA42" s="19">
        <f>IFERROR(PROPERTIES[[#This Row],[TE_STARTING_KN]]/(PROPERTIES[[#This Row],[WEIGHT]]*9.81),0)</f>
        <v>0</v>
      </c>
      <c r="AB42" s="19">
        <v>0.34</v>
      </c>
      <c r="AC42" s="16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6">
        <v>0</v>
      </c>
      <c r="AF42" s="6">
        <v>0</v>
      </c>
      <c r="AG42" t="s">
        <v>230</v>
      </c>
      <c r="AH42" t="s">
        <v>229</v>
      </c>
      <c r="AI42" t="s">
        <v>229</v>
      </c>
      <c r="AJ42" s="2" t="s">
        <v>229</v>
      </c>
      <c r="AK42" s="2" t="s">
        <v>244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44" t="b">
        <v>0</v>
      </c>
      <c r="AP42" s="48" t="b">
        <v>1</v>
      </c>
      <c r="AQ42" s="48" t="b">
        <v>0</v>
      </c>
      <c r="AR42" s="48">
        <v>0</v>
      </c>
      <c r="AS42" s="48" t="b">
        <v>0</v>
      </c>
      <c r="AT42" s="7" t="b">
        <v>0</v>
      </c>
      <c r="AU42" s="40" t="str" cm="1">
        <f t="array" ref="AU42">_xlfn.XLOOKUP(PROPERTIES[[#This Row],[VEHIDCODE]],GRAPHICS_PROPERTIES[VEHIDCODE],GRAPHICS_PROPERTIES[TEMPLATE_ID]&amp;GRAPHICS_PROPERTIES[TEMPLATE_AMENDMENT_CODE])</f>
        <v>TPL_01B</v>
      </c>
    </row>
    <row r="43" spans="1:47" x14ac:dyDescent="0.35">
      <c r="A43" s="2" t="s">
        <v>2688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0" t="str">
        <f>_xlfn.XLOOKUP(PROPERTIES[[#This Row],[VEHIDCODE]],CONTROL[VEHIDCODE],CONTROL[ENGLISH])</f>
        <v>SGP 77783/1960</v>
      </c>
      <c r="F43" t="s">
        <v>550</v>
      </c>
      <c r="G43" s="40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15</v>
      </c>
      <c r="J43">
        <v>37</v>
      </c>
      <c r="K43">
        <v>8</v>
      </c>
      <c r="L43">
        <v>0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3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0">
        <v>0</v>
      </c>
      <c r="AA43" s="19">
        <f>IFERROR(PROPERTIES[[#This Row],[TE_STARTING_KN]]/(PROPERTIES[[#This Row],[WEIGHT]]*9.81),0)</f>
        <v>0</v>
      </c>
      <c r="AB43" s="19">
        <v>0.2</v>
      </c>
      <c r="AC43" s="16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6">
        <v>0</v>
      </c>
      <c r="AF43" s="6">
        <v>0</v>
      </c>
      <c r="AG43" t="s">
        <v>236</v>
      </c>
      <c r="AH43" t="s">
        <v>229</v>
      </c>
      <c r="AI43" t="s">
        <v>229</v>
      </c>
      <c r="AJ43" s="2" t="s">
        <v>229</v>
      </c>
      <c r="AK43" s="2" t="s">
        <v>244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44" t="b">
        <v>0</v>
      </c>
      <c r="AP43" s="48" t="b">
        <v>1</v>
      </c>
      <c r="AQ43" s="48" t="b">
        <v>0</v>
      </c>
      <c r="AR43" s="48">
        <v>0</v>
      </c>
      <c r="AS43" s="48" t="b">
        <v>0</v>
      </c>
      <c r="AT43" s="7" t="b">
        <v>0</v>
      </c>
      <c r="AU43" s="40" t="str" cm="1">
        <f t="array" ref="AU43">_xlfn.XLOOKUP(PROPERTIES[[#This Row],[VEHIDCODE]],GRAPHICS_PROPERTIES[VEHIDCODE],GRAPHICS_PROPERTIES[TEMPLATE_ID]&amp;GRAPHICS_PROPERTIES[TEMPLATE_AMENDMENT_CODE])</f>
        <v>TPL_01B</v>
      </c>
    </row>
    <row r="44" spans="1:47" x14ac:dyDescent="0.35">
      <c r="A44" s="2" t="s">
        <v>2689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0" t="str">
        <f>_xlfn.XLOOKUP(PROPERTIES[[#This Row],[VEHIDCODE]],CONTROL[VEHIDCODE],CONTROL[ENGLISH])</f>
        <v>Ferrostaal-Esslingen AA.71</v>
      </c>
      <c r="F44" t="s">
        <v>615</v>
      </c>
      <c r="G44" s="40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15</v>
      </c>
      <c r="J44">
        <v>68</v>
      </c>
      <c r="K44">
        <v>8</v>
      </c>
      <c r="L44">
        <v>0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3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0">
        <v>0</v>
      </c>
      <c r="AA44" s="19">
        <f>IFERROR(PROPERTIES[[#This Row],[TE_STARTING_KN]]/(PROPERTIES[[#This Row],[WEIGHT]]*9.81),0)</f>
        <v>0</v>
      </c>
      <c r="AB44" s="19">
        <v>0.19</v>
      </c>
      <c r="AC44" s="16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6">
        <v>0</v>
      </c>
      <c r="AF44" s="6">
        <v>0</v>
      </c>
      <c r="AG44" t="s">
        <v>231</v>
      </c>
      <c r="AH44" t="s">
        <v>229</v>
      </c>
      <c r="AI44" t="s">
        <v>229</v>
      </c>
      <c r="AJ44" s="2" t="s">
        <v>229</v>
      </c>
      <c r="AK44" s="2" t="s">
        <v>244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44" t="b">
        <v>0</v>
      </c>
      <c r="AP44" s="48" t="b">
        <v>1</v>
      </c>
      <c r="AQ44" s="48" t="b">
        <v>0</v>
      </c>
      <c r="AR44" s="48">
        <v>0</v>
      </c>
      <c r="AS44" s="48" t="b">
        <v>0</v>
      </c>
      <c r="AT44" s="7" t="b">
        <v>0</v>
      </c>
      <c r="AU44" s="40" t="str" cm="1">
        <f t="array" ref="AU44">_xlfn.XLOOKUP(PROPERTIES[[#This Row],[VEHIDCODE]],GRAPHICS_PROPERTIES[VEHIDCODE],GRAPHICS_PROPERTIES[TEMPLATE_ID]&amp;GRAPHICS_PROPERTIES[TEMPLATE_AMENDMENT_CODE])</f>
        <v>TPL_01B</v>
      </c>
    </row>
    <row r="45" spans="1:47" x14ac:dyDescent="0.35">
      <c r="A45" s="2" t="s">
        <v>2690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0" t="str">
        <f>_xlfn.XLOOKUP(PROPERTIES[[#This Row],[VEHIDCODE]],CONTROL[VEHIDCODE],CONTROL[ENGLISH])</f>
        <v>Alsthom Z-431</v>
      </c>
      <c r="F45" t="s">
        <v>748</v>
      </c>
      <c r="G45" s="40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15</v>
      </c>
      <c r="J45">
        <v>54</v>
      </c>
      <c r="K45">
        <v>8</v>
      </c>
      <c r="L45">
        <v>0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3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0">
        <v>0</v>
      </c>
      <c r="AA45" s="19">
        <f>IFERROR(PROPERTIES[[#This Row],[TE_STARTING_KN]]/(PROPERTIES[[#This Row],[WEIGHT]]*9.81),0)</f>
        <v>0</v>
      </c>
      <c r="AB45" s="19">
        <v>0.38</v>
      </c>
      <c r="AC45" s="16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6">
        <v>0</v>
      </c>
      <c r="AF45" s="6">
        <v>0</v>
      </c>
      <c r="AG45" t="s">
        <v>233</v>
      </c>
      <c r="AH45" t="s">
        <v>229</v>
      </c>
      <c r="AI45" t="s">
        <v>229</v>
      </c>
      <c r="AJ45" s="2" t="s">
        <v>229</v>
      </c>
      <c r="AK45" s="2" t="s">
        <v>244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44" t="b">
        <v>0</v>
      </c>
      <c r="AP45" s="48" t="b">
        <v>1</v>
      </c>
      <c r="AQ45" s="48" t="b">
        <v>0</v>
      </c>
      <c r="AR45" s="48">
        <v>0</v>
      </c>
      <c r="AS45" s="48" t="b">
        <v>0</v>
      </c>
      <c r="AT45" s="7" t="b">
        <v>0</v>
      </c>
      <c r="AU45" s="40" t="str" cm="1">
        <f t="array" ref="AU45">_xlfn.XLOOKUP(PROPERTIES[[#This Row],[VEHIDCODE]],GRAPHICS_PROPERTIES[VEHIDCODE],GRAPHICS_PROPERTIES[TEMPLATE_ID]&amp;GRAPHICS_PROPERTIES[TEMPLATE_AMENDMENT_CODE])</f>
        <v>TPL_01B</v>
      </c>
    </row>
    <row r="46" spans="1:47" x14ac:dyDescent="0.35">
      <c r="A46" s="2" t="s">
        <v>2691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0" t="str">
        <f>_xlfn.XLOOKUP(PROPERTIES[[#This Row],[VEHIDCODE]],CONTROL[VEHIDCODE],CONTROL[ENGLISH])</f>
        <v>Budd SPV-2000</v>
      </c>
      <c r="F46" t="s">
        <v>757</v>
      </c>
      <c r="G46" s="40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15</v>
      </c>
      <c r="J46">
        <v>86</v>
      </c>
      <c r="K46">
        <v>8</v>
      </c>
      <c r="L46">
        <v>0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3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0">
        <v>0</v>
      </c>
      <c r="AA46" s="19">
        <f>IFERROR(PROPERTIES[[#This Row],[TE_STARTING_KN]]/(PROPERTIES[[#This Row],[WEIGHT]]*9.81),0)</f>
        <v>0</v>
      </c>
      <c r="AB46" s="19">
        <v>0.26</v>
      </c>
      <c r="AC46" s="16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6">
        <v>0</v>
      </c>
      <c r="AF46" s="6">
        <v>0</v>
      </c>
      <c r="AG46" t="s">
        <v>235</v>
      </c>
      <c r="AH46" t="s">
        <v>233</v>
      </c>
      <c r="AI46" t="s">
        <v>229</v>
      </c>
      <c r="AJ46" s="2" t="s">
        <v>229</v>
      </c>
      <c r="AK46" s="2" t="s">
        <v>244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44" t="b">
        <v>0</v>
      </c>
      <c r="AP46" s="48" t="b">
        <v>1</v>
      </c>
      <c r="AQ46" s="48" t="b">
        <v>0</v>
      </c>
      <c r="AR46" s="48">
        <v>0</v>
      </c>
      <c r="AS46" s="48" t="b">
        <v>0</v>
      </c>
      <c r="AT46" s="7" t="b">
        <v>0</v>
      </c>
      <c r="AU46" s="40" t="str" cm="1">
        <f t="array" ref="AU46">_xlfn.XLOOKUP(PROPERTIES[[#This Row],[VEHIDCODE]],GRAPHICS_PROPERTIES[VEHIDCODE],GRAPHICS_PROPERTIES[TEMPLATE_ID]&amp;GRAPHICS_PROPERTIES[TEMPLATE_AMENDMENT_CODE])</f>
        <v>TPL_01B</v>
      </c>
    </row>
    <row r="47" spans="1:47" x14ac:dyDescent="0.35">
      <c r="A47" s="2" t="s">
        <v>2692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0" t="str">
        <f>_xlfn.XLOOKUP(PROPERTIES[[#This Row],[VEHIDCODE]],CONTROL[VEHIDCODE],CONTROL[ENGLISH])</f>
        <v>CKD Vagonka Dm12</v>
      </c>
      <c r="F47" t="s">
        <v>597</v>
      </c>
      <c r="G47" s="40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15</v>
      </c>
      <c r="J47">
        <v>63</v>
      </c>
      <c r="K47">
        <v>8</v>
      </c>
      <c r="L47">
        <v>0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3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0">
        <v>0</v>
      </c>
      <c r="AA47" s="19">
        <f>IFERROR(PROPERTIES[[#This Row],[TE_STARTING_KN]]/(PROPERTIES[[#This Row],[WEIGHT]]*9.81),0)</f>
        <v>0</v>
      </c>
      <c r="AB47" s="19">
        <v>0.35</v>
      </c>
      <c r="AC47" s="16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6">
        <v>0</v>
      </c>
      <c r="AF47" s="6">
        <v>0</v>
      </c>
      <c r="AG47" t="s">
        <v>234</v>
      </c>
      <c r="AH47" t="s">
        <v>229</v>
      </c>
      <c r="AI47" t="s">
        <v>229</v>
      </c>
      <c r="AJ47" s="2" t="s">
        <v>229</v>
      </c>
      <c r="AK47" s="2" t="s">
        <v>244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44" t="b">
        <v>0</v>
      </c>
      <c r="AP47" s="48" t="b">
        <v>1</v>
      </c>
      <c r="AQ47" s="48" t="b">
        <v>0</v>
      </c>
      <c r="AR47" s="48">
        <v>0</v>
      </c>
      <c r="AS47" s="48" t="b">
        <v>0</v>
      </c>
      <c r="AT47" s="7" t="b">
        <v>0</v>
      </c>
      <c r="AU47" s="40" t="str" cm="1">
        <f t="array" ref="AU47">_xlfn.XLOOKUP(PROPERTIES[[#This Row],[VEHIDCODE]],GRAPHICS_PROPERTIES[VEHIDCODE],GRAPHICS_PROPERTIES[TEMPLATE_ID]&amp;GRAPHICS_PROPERTIES[TEMPLATE_AMENDMENT_CODE])</f>
        <v>TPL_01B</v>
      </c>
    </row>
    <row r="48" spans="1:47" x14ac:dyDescent="0.35">
      <c r="A48" s="2" t="s">
        <v>3454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0" t="str">
        <f>_xlfn.XLOOKUP(PROPERTIES[[#This Row],[VEHIDCODE]],CONTROL[VEHIDCODE],CONTROL[ENGLISH])</f>
        <v>Stadler Regio-Shuttle RS1</v>
      </c>
      <c r="F48" t="s">
        <v>583</v>
      </c>
      <c r="G48" s="40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15</v>
      </c>
      <c r="J48">
        <v>140</v>
      </c>
      <c r="K48">
        <v>8</v>
      </c>
      <c r="L48">
        <v>0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3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0">
        <v>100</v>
      </c>
      <c r="AA48" s="19">
        <f>IFERROR(PROPERTIES[[#This Row],[TE_STARTING_KN]]/(PROPERTIES[[#This Row],[WEIGHT]]*9.81),0)</f>
        <v>0.254841997961264</v>
      </c>
      <c r="AB48" s="19">
        <v>0</v>
      </c>
      <c r="AC48" s="16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6">
        <v>0</v>
      </c>
      <c r="AF48" s="6">
        <v>0</v>
      </c>
      <c r="AG48" t="s">
        <v>236</v>
      </c>
      <c r="AH48" t="s">
        <v>229</v>
      </c>
      <c r="AI48" t="s">
        <v>229</v>
      </c>
      <c r="AJ48" s="2" t="s">
        <v>229</v>
      </c>
      <c r="AK48" s="2" t="s">
        <v>244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44" t="b">
        <v>0</v>
      </c>
      <c r="AP48" s="48" t="b">
        <v>1</v>
      </c>
      <c r="AQ48" s="48" t="b">
        <v>0</v>
      </c>
      <c r="AR48" s="48">
        <v>0</v>
      </c>
      <c r="AS48" s="48" t="b">
        <v>0</v>
      </c>
      <c r="AT48" s="7" t="b">
        <v>0</v>
      </c>
      <c r="AU48" s="40" t="str" cm="1">
        <f t="array" ref="AU48">_xlfn.XLOOKUP(PROPERTIES[[#This Row],[VEHIDCODE]],GRAPHICS_PROPERTIES[VEHIDCODE],GRAPHICS_PROPERTIES[TEMPLATE_ID]&amp;GRAPHICS_PROPERTIES[TEMPLATE_AMENDMENT_CODE])</f>
        <v>TPL_01B</v>
      </c>
    </row>
    <row r="49" spans="1:47" x14ac:dyDescent="0.35">
      <c r="A49" s="2" t="s">
        <v>2693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0" t="str">
        <f>_xlfn.XLOOKUP(PROPERTIES[[#This Row],[VEHIDCODE]],CONTROL[VEHIDCODE],CONTROL[ENGLISH])</f>
        <v>Fiat Ferroviaria ALn 668.1400</v>
      </c>
      <c r="F49" t="s">
        <v>636</v>
      </c>
      <c r="G49" s="40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15</v>
      </c>
      <c r="J49">
        <v>68</v>
      </c>
      <c r="K49">
        <v>8</v>
      </c>
      <c r="L49">
        <v>0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3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0">
        <v>0</v>
      </c>
      <c r="AA49" s="19">
        <f>IFERROR(PROPERTIES[[#This Row],[TE_STARTING_KN]]/(PROPERTIES[[#This Row],[WEIGHT]]*9.81),0)</f>
        <v>0</v>
      </c>
      <c r="AB49" s="19">
        <v>0.23</v>
      </c>
      <c r="AC49" s="16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6">
        <v>0</v>
      </c>
      <c r="AF49" s="6">
        <v>0</v>
      </c>
      <c r="AG49" t="s">
        <v>231</v>
      </c>
      <c r="AH49" t="s">
        <v>229</v>
      </c>
      <c r="AI49" t="s">
        <v>229</v>
      </c>
      <c r="AJ49" s="2" t="s">
        <v>229</v>
      </c>
      <c r="AK49" s="2" t="s">
        <v>244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44" t="b">
        <v>0</v>
      </c>
      <c r="AP49" s="48" t="b">
        <v>1</v>
      </c>
      <c r="AQ49" s="48" t="b">
        <v>0</v>
      </c>
      <c r="AR49" s="48">
        <v>0</v>
      </c>
      <c r="AS49" s="48" t="b">
        <v>0</v>
      </c>
      <c r="AT49" s="7" t="b">
        <v>0</v>
      </c>
      <c r="AU49" s="40" t="str" cm="1">
        <f t="array" ref="AU49">_xlfn.XLOOKUP(PROPERTIES[[#This Row],[VEHIDCODE]],GRAPHICS_PROPERTIES[VEHIDCODE],GRAPHICS_PROPERTIES[TEMPLATE_ID]&amp;GRAPHICS_PROPERTIES[TEMPLATE_AMENDMENT_CODE])</f>
        <v>TPL_01B</v>
      </c>
    </row>
    <row r="50" spans="1:47" x14ac:dyDescent="0.35">
      <c r="A50" s="2" t="s">
        <v>2694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0" t="str">
        <f>_xlfn.XLOOKUP(PROPERTIES[[#This Row],[VEHIDCODE]],CONTROL[VEHIDCODE],CONTROL[ENGLISH])</f>
        <v>Ringhoffer 40.001</v>
      </c>
      <c r="F50" t="s">
        <v>583</v>
      </c>
      <c r="G50" s="40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15</v>
      </c>
      <c r="J50">
        <v>40</v>
      </c>
      <c r="K50">
        <v>7</v>
      </c>
      <c r="L50">
        <v>0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3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0">
        <v>0</v>
      </c>
      <c r="AA50" s="19">
        <f>IFERROR(PROPERTIES[[#This Row],[TE_STARTING_KN]]/(PROPERTIES[[#This Row],[WEIGHT]]*9.81),0)</f>
        <v>0</v>
      </c>
      <c r="AB50" s="19">
        <v>0.33</v>
      </c>
      <c r="AC50" s="16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6">
        <v>0</v>
      </c>
      <c r="AF50" s="6">
        <v>0</v>
      </c>
      <c r="AG50" t="s">
        <v>236</v>
      </c>
      <c r="AH50" t="s">
        <v>229</v>
      </c>
      <c r="AI50" t="s">
        <v>229</v>
      </c>
      <c r="AJ50" s="2" t="s">
        <v>229</v>
      </c>
      <c r="AK50" s="2" t="s">
        <v>244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44" t="b">
        <v>0</v>
      </c>
      <c r="AP50" s="48" t="b">
        <v>0</v>
      </c>
      <c r="AQ50" s="48" t="b">
        <v>0</v>
      </c>
      <c r="AR50" s="48">
        <v>0</v>
      </c>
      <c r="AS50" s="48" t="b">
        <v>0</v>
      </c>
      <c r="AT50" s="7" t="b">
        <v>0</v>
      </c>
      <c r="AU50" s="40" t="str" cm="1">
        <f t="array" ref="AU50">_xlfn.XLOOKUP(PROPERTIES[[#This Row],[VEHIDCODE]],GRAPHICS_PROPERTIES[VEHIDCODE],GRAPHICS_PROPERTIES[TEMPLATE_ID]&amp;GRAPHICS_PROPERTIES[TEMPLATE_AMENDMENT_CODE])</f>
        <v>TPL_01B</v>
      </c>
    </row>
    <row r="51" spans="1:47" x14ac:dyDescent="0.35">
      <c r="A51" s="2" t="s">
        <v>2695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0" t="str">
        <f>_xlfn.XLOOKUP(PROPERTIES[[#This Row],[VEHIDCODE]],CONTROL[VEHIDCODE],CONTROL[ENGLISH])</f>
        <v>Decauville Z 7100</v>
      </c>
      <c r="F51" t="s">
        <v>602</v>
      </c>
      <c r="G51" s="40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15</v>
      </c>
      <c r="J51">
        <v>70</v>
      </c>
      <c r="K51">
        <v>8</v>
      </c>
      <c r="L51">
        <v>0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3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0">
        <v>0</v>
      </c>
      <c r="AA51" s="19">
        <f>IFERROR(PROPERTIES[[#This Row],[TE_STARTING_KN]]/(PROPERTIES[[#This Row],[WEIGHT]]*9.81),0)</f>
        <v>0</v>
      </c>
      <c r="AB51" s="19">
        <v>0.21</v>
      </c>
      <c r="AC51" s="16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6">
        <v>0</v>
      </c>
      <c r="AF51" s="6">
        <v>0</v>
      </c>
      <c r="AG51" t="s">
        <v>230</v>
      </c>
      <c r="AH51" t="s">
        <v>229</v>
      </c>
      <c r="AI51" t="s">
        <v>229</v>
      </c>
      <c r="AJ51" s="2" t="s">
        <v>229</v>
      </c>
      <c r="AK51" s="2" t="s">
        <v>244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44" t="b">
        <v>0</v>
      </c>
      <c r="AP51" s="48" t="b">
        <v>1</v>
      </c>
      <c r="AQ51" s="48" t="b">
        <v>0</v>
      </c>
      <c r="AR51" s="48">
        <v>0</v>
      </c>
      <c r="AS51" s="48" t="b">
        <v>0</v>
      </c>
      <c r="AT51" s="7" t="b">
        <v>0</v>
      </c>
      <c r="AU51" s="40" t="str" cm="1">
        <f t="array" ref="AU51">_xlfn.XLOOKUP(PROPERTIES[[#This Row],[VEHIDCODE]],GRAPHICS_PROPERTIES[VEHIDCODE],GRAPHICS_PROPERTIES[TEMPLATE_ID]&amp;GRAPHICS_PROPERTIES[TEMPLATE_AMENDMENT_CODE])</f>
        <v>TPL_01B</v>
      </c>
    </row>
    <row r="52" spans="1:47" x14ac:dyDescent="0.35">
      <c r="A52" s="2" t="s">
        <v>2696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0" t="str">
        <f>_xlfn.XLOOKUP(PROPERTIES[[#This Row],[VEHIDCODE]],CONTROL[VEHIDCODE],CONTROL[ENGLISH])</f>
        <v>HAWA/AEG Kleinbahn Nr. 1-3</v>
      </c>
      <c r="F52" t="s">
        <v>584</v>
      </c>
      <c r="G52" s="40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15</v>
      </c>
      <c r="J52">
        <v>50</v>
      </c>
      <c r="K52">
        <v>4</v>
      </c>
      <c r="L52">
        <v>0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3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0">
        <v>0</v>
      </c>
      <c r="AA52" s="19">
        <f>IFERROR(PROPERTIES[[#This Row],[TE_STARTING_KN]]/(PROPERTIES[[#This Row],[WEIGHT]]*9.81),0)</f>
        <v>0</v>
      </c>
      <c r="AB52" s="19">
        <v>0.08</v>
      </c>
      <c r="AC52" s="16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6">
        <v>0</v>
      </c>
      <c r="AF52" s="6">
        <v>0</v>
      </c>
      <c r="AG52" t="s">
        <v>230</v>
      </c>
      <c r="AH52" t="s">
        <v>229</v>
      </c>
      <c r="AI52" t="s">
        <v>229</v>
      </c>
      <c r="AJ52" s="2" t="s">
        <v>229</v>
      </c>
      <c r="AK52" s="2" t="s">
        <v>244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44" t="b">
        <v>0</v>
      </c>
      <c r="AP52" s="48" t="b">
        <v>0</v>
      </c>
      <c r="AQ52" s="48" t="b">
        <v>0</v>
      </c>
      <c r="AR52" s="48">
        <v>0</v>
      </c>
      <c r="AS52" s="48" t="b">
        <v>0</v>
      </c>
      <c r="AT52" s="7" t="b">
        <v>0</v>
      </c>
      <c r="AU52" s="40" t="str" cm="1">
        <f t="array" ref="AU52">_xlfn.XLOOKUP(PROPERTIES[[#This Row],[VEHIDCODE]],GRAPHICS_PROPERTIES[VEHIDCODE],GRAPHICS_PROPERTIES[TEMPLATE_ID]&amp;GRAPHICS_PROPERTIES[TEMPLATE_AMENDMENT_CODE])</f>
        <v>TPL_01B</v>
      </c>
    </row>
    <row r="53" spans="1:47" x14ac:dyDescent="0.35">
      <c r="A53" s="2" t="s">
        <v>3471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0" t="str">
        <f>_xlfn.XLOOKUP(PROPERTIES[[#This Row],[VEHIDCODE]],CONTROL[VEHIDCODE],CONTROL[ENGLISH])</f>
        <v>RAW Schoneweide 479.201</v>
      </c>
      <c r="F53" t="s">
        <v>584</v>
      </c>
      <c r="G53" s="40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15</v>
      </c>
      <c r="J53">
        <f>(24+84)/2</f>
        <v>54</v>
      </c>
      <c r="K53">
        <v>5</v>
      </c>
      <c r="L53">
        <v>0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3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0">
        <v>60</v>
      </c>
      <c r="AA53" s="19">
        <f>IFERROR(PROPERTIES[[#This Row],[TE_STARTING_KN]]/(PROPERTIES[[#This Row],[WEIGHT]]*9.81),0)</f>
        <v>0.218435998252512</v>
      </c>
      <c r="AB53" s="19">
        <v>0</v>
      </c>
      <c r="AC53" s="16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6">
        <v>0</v>
      </c>
      <c r="AF53" s="6">
        <v>0</v>
      </c>
      <c r="AG53" t="s">
        <v>230</v>
      </c>
      <c r="AH53" t="s">
        <v>229</v>
      </c>
      <c r="AI53" t="s">
        <v>229</v>
      </c>
      <c r="AJ53" s="2" t="s">
        <v>229</v>
      </c>
      <c r="AK53" s="2" t="s">
        <v>244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44" t="b">
        <v>0</v>
      </c>
      <c r="AP53" s="48" t="b">
        <v>0</v>
      </c>
      <c r="AQ53" s="48" t="b">
        <v>0</v>
      </c>
      <c r="AR53" s="48">
        <v>0</v>
      </c>
      <c r="AS53" s="48" t="b">
        <v>0</v>
      </c>
      <c r="AT53" s="7" t="b">
        <v>0</v>
      </c>
      <c r="AU53" s="40" t="str" cm="1">
        <f t="array" ref="AU53">_xlfn.XLOOKUP(PROPERTIES[[#This Row],[VEHIDCODE]],GRAPHICS_PROPERTIES[VEHIDCODE],GRAPHICS_PROPERTIES[TEMPLATE_ID]&amp;GRAPHICS_PROPERTIES[TEMPLATE_AMENDMENT_CODE])</f>
        <v>TPL_01B</v>
      </c>
    </row>
    <row r="54" spans="1:47" x14ac:dyDescent="0.35">
      <c r="A54" s="2" t="s">
        <v>2697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0" t="str">
        <f>_xlfn.XLOOKUP(PROPERTIES[[#This Row],[VEHIDCODE]],CONTROL[VEHIDCODE],CONTROL[ENGLISH])</f>
        <v>Studenka 425.95</v>
      </c>
      <c r="F54" t="s">
        <v>727</v>
      </c>
      <c r="G54" s="40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15</v>
      </c>
      <c r="J54">
        <v>48</v>
      </c>
      <c r="K54">
        <v>7</v>
      </c>
      <c r="L54">
        <v>0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3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0">
        <v>0</v>
      </c>
      <c r="AA54" s="19">
        <f>IFERROR(PROPERTIES[[#This Row],[TE_STARTING_KN]]/(PROPERTIES[[#This Row],[WEIGHT]]*9.81),0)</f>
        <v>0</v>
      </c>
      <c r="AB54" s="19">
        <v>0.2</v>
      </c>
      <c r="AC54" s="16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6">
        <v>0</v>
      </c>
      <c r="AF54" s="6">
        <v>0</v>
      </c>
      <c r="AG54" t="s">
        <v>236</v>
      </c>
      <c r="AH54" t="s">
        <v>229</v>
      </c>
      <c r="AI54" t="s">
        <v>229</v>
      </c>
      <c r="AJ54" s="2" t="s">
        <v>229</v>
      </c>
      <c r="AK54" s="2" t="s">
        <v>244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44" t="b">
        <v>0</v>
      </c>
      <c r="AP54" s="48" t="b">
        <v>1</v>
      </c>
      <c r="AQ54" s="48" t="b">
        <v>0</v>
      </c>
      <c r="AR54" s="48">
        <v>0</v>
      </c>
      <c r="AS54" s="48" t="b">
        <v>0</v>
      </c>
      <c r="AT54" s="7" t="b">
        <v>0</v>
      </c>
      <c r="AU54" s="40" t="str" cm="1">
        <f t="array" ref="AU54">_xlfn.XLOOKUP(PROPERTIES[[#This Row],[VEHIDCODE]],GRAPHICS_PROPERTIES[VEHIDCODE],GRAPHICS_PROPERTIES[TEMPLATE_ID]&amp;GRAPHICS_PROPERTIES[TEMPLATE_AMENDMENT_CODE])</f>
        <v>TPL_01B</v>
      </c>
    </row>
    <row r="55" spans="1:47" x14ac:dyDescent="0.35">
      <c r="A55" s="2" t="s">
        <v>2698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0" t="str">
        <f>_xlfn.XLOOKUP(PROPERTIES[[#This Row],[VEHIDCODE]],CONTROL[VEHIDCODE],CONTROL[ENGLISH])</f>
        <v>Pozzuoli - OCREN OM ALe 840</v>
      </c>
      <c r="F55" t="s">
        <v>636</v>
      </c>
      <c r="G55" s="40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15</v>
      </c>
      <c r="J55">
        <v>84</v>
      </c>
      <c r="K55">
        <v>8</v>
      </c>
      <c r="L55">
        <v>0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3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0">
        <v>0</v>
      </c>
      <c r="AA55" s="19">
        <f>IFERROR(PROPERTIES[[#This Row],[TE_STARTING_KN]]/(PROPERTIES[[#This Row],[WEIGHT]]*9.81),0)</f>
        <v>0</v>
      </c>
      <c r="AB55" s="19">
        <v>0.21</v>
      </c>
      <c r="AC55" s="16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6">
        <v>0</v>
      </c>
      <c r="AF55" s="6">
        <v>0</v>
      </c>
      <c r="AG55" t="s">
        <v>231</v>
      </c>
      <c r="AH55" t="s">
        <v>229</v>
      </c>
      <c r="AI55" t="s">
        <v>229</v>
      </c>
      <c r="AJ55" s="2" t="s">
        <v>229</v>
      </c>
      <c r="AK55" s="2" t="s">
        <v>244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44" t="b">
        <v>0</v>
      </c>
      <c r="AP55" s="48" t="b">
        <v>1</v>
      </c>
      <c r="AQ55" s="48" t="b">
        <v>0</v>
      </c>
      <c r="AR55" s="48">
        <v>0</v>
      </c>
      <c r="AS55" s="48" t="b">
        <v>0</v>
      </c>
      <c r="AT55" s="7" t="b">
        <v>0</v>
      </c>
      <c r="AU55" s="40" t="str" cm="1">
        <f t="array" ref="AU55">_xlfn.XLOOKUP(PROPERTIES[[#This Row],[VEHIDCODE]],GRAPHICS_PROPERTIES[VEHIDCODE],GRAPHICS_PROPERTIES[TEMPLATE_ID]&amp;GRAPHICS_PROPERTIES[TEMPLATE_AMENDMENT_CODE])</f>
        <v>TPL_01B</v>
      </c>
    </row>
    <row r="56" spans="1:47" x14ac:dyDescent="0.35">
      <c r="A56" s="2" t="s">
        <v>2699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0" t="str">
        <f>_xlfn.XLOOKUP(PROPERTIES[[#This Row],[VEHIDCODE]],CONTROL[VEHIDCODE],CONTROL[ENGLISH])</f>
        <v>Stanga ALe 80</v>
      </c>
      <c r="F56" t="s">
        <v>636</v>
      </c>
      <c r="G56" s="40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15</v>
      </c>
      <c r="J56">
        <v>80</v>
      </c>
      <c r="K56">
        <v>7</v>
      </c>
      <c r="L56">
        <v>0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3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0">
        <v>0</v>
      </c>
      <c r="AA56" s="19">
        <f>IFERROR(PROPERTIES[[#This Row],[TE_STARTING_KN]]/(PROPERTIES[[#This Row],[WEIGHT]]*9.81),0)</f>
        <v>0</v>
      </c>
      <c r="AB56" s="19">
        <v>0.17</v>
      </c>
      <c r="AC56" s="16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6">
        <v>0</v>
      </c>
      <c r="AF56" s="6">
        <v>0</v>
      </c>
      <c r="AG56" t="s">
        <v>231</v>
      </c>
      <c r="AH56" t="s">
        <v>229</v>
      </c>
      <c r="AI56" t="s">
        <v>229</v>
      </c>
      <c r="AJ56" s="2" t="s">
        <v>229</v>
      </c>
      <c r="AK56" s="2" t="s">
        <v>244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44" t="b">
        <v>0</v>
      </c>
      <c r="AP56" s="48" t="b">
        <v>1</v>
      </c>
      <c r="AQ56" s="48" t="b">
        <v>0</v>
      </c>
      <c r="AR56" s="48">
        <v>0</v>
      </c>
      <c r="AS56" s="48" t="b">
        <v>0</v>
      </c>
      <c r="AT56" s="7" t="b">
        <v>0</v>
      </c>
      <c r="AU56" s="40" t="str" cm="1">
        <f t="array" ref="AU56">_xlfn.XLOOKUP(PROPERTIES[[#This Row],[VEHIDCODE]],GRAPHICS_PROPERTIES[VEHIDCODE],GRAPHICS_PROPERTIES[TEMPLATE_ID]&amp;GRAPHICS_PROPERTIES[TEMPLATE_AMENDMENT_CODE])</f>
        <v>TPL_01B</v>
      </c>
    </row>
    <row r="57" spans="1:47" x14ac:dyDescent="0.35">
      <c r="A57" s="2" t="s">
        <v>2700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0" t="str">
        <f>_xlfn.XLOOKUP(PROPERTIES[[#This Row],[VEHIDCODE]],CONTROL[VEHIDCODE],CONTROL[ENGLISH])</f>
        <v>FS E.623</v>
      </c>
      <c r="F57" t="s">
        <v>636</v>
      </c>
      <c r="G57" s="40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15</v>
      </c>
      <c r="J57">
        <v>54</v>
      </c>
      <c r="K57">
        <v>8</v>
      </c>
      <c r="L57">
        <v>0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3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0">
        <v>0</v>
      </c>
      <c r="AA57" s="19">
        <f>IFERROR(PROPERTIES[[#This Row],[TE_STARTING_KN]]/(PROPERTIES[[#This Row],[WEIGHT]]*9.81),0)</f>
        <v>0</v>
      </c>
      <c r="AB57" s="19">
        <v>0.08</v>
      </c>
      <c r="AC57" s="16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6">
        <v>0</v>
      </c>
      <c r="AF57" s="6">
        <v>0</v>
      </c>
      <c r="AG57" t="s">
        <v>231</v>
      </c>
      <c r="AH57" t="s">
        <v>229</v>
      </c>
      <c r="AI57" t="s">
        <v>229</v>
      </c>
      <c r="AJ57" s="2" t="s">
        <v>229</v>
      </c>
      <c r="AK57" s="2" t="s">
        <v>244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44" t="b">
        <v>0</v>
      </c>
      <c r="AP57" s="48" t="b">
        <v>0</v>
      </c>
      <c r="AQ57" s="48" t="b">
        <v>0</v>
      </c>
      <c r="AR57" s="48">
        <v>0</v>
      </c>
      <c r="AS57" s="48" t="b">
        <v>0</v>
      </c>
      <c r="AT57" s="7" t="b">
        <v>0</v>
      </c>
      <c r="AU57" s="40" t="str" cm="1">
        <f t="array" ref="AU57">_xlfn.XLOOKUP(PROPERTIES[[#This Row],[VEHIDCODE]],GRAPHICS_PROPERTIES[VEHIDCODE],GRAPHICS_PROPERTIES[TEMPLATE_ID]&amp;GRAPHICS_PROPERTIES[TEMPLATE_AMENDMENT_CODE])</f>
        <v>TPL_01B</v>
      </c>
    </row>
    <row r="58" spans="1:47" x14ac:dyDescent="0.35">
      <c r="A58" s="2" t="s">
        <v>2701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0" t="str">
        <f>_xlfn.XLOOKUP(PROPERTIES[[#This Row],[VEHIDCODE]],CONTROL[VEHIDCODE],CONTROL[ENGLISH])</f>
        <v>ONCF ZAB1000</v>
      </c>
      <c r="F58" t="s">
        <v>663</v>
      </c>
      <c r="G58" s="40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15</v>
      </c>
      <c r="J58">
        <v>44</v>
      </c>
      <c r="K58">
        <v>8</v>
      </c>
      <c r="L58">
        <v>0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3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0">
        <v>0</v>
      </c>
      <c r="AA58" s="19">
        <f>IFERROR(PROPERTIES[[#This Row],[TE_STARTING_KN]]/(PROPERTIES[[#This Row],[WEIGHT]]*9.81),0)</f>
        <v>0</v>
      </c>
      <c r="AB58" s="19">
        <v>0.13</v>
      </c>
      <c r="AC58" s="16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6">
        <v>0</v>
      </c>
      <c r="AF58" s="6">
        <v>0</v>
      </c>
      <c r="AG58" t="s">
        <v>233</v>
      </c>
      <c r="AH58" t="s">
        <v>229</v>
      </c>
      <c r="AI58" t="s">
        <v>229</v>
      </c>
      <c r="AJ58" s="2" t="s">
        <v>229</v>
      </c>
      <c r="AK58" s="2" t="s">
        <v>244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44" t="b">
        <v>0</v>
      </c>
      <c r="AP58" s="48" t="b">
        <v>0</v>
      </c>
      <c r="AQ58" s="48" t="b">
        <v>0</v>
      </c>
      <c r="AR58" s="48">
        <v>0</v>
      </c>
      <c r="AS58" s="48" t="b">
        <v>0</v>
      </c>
      <c r="AT58" s="7" t="b">
        <v>0</v>
      </c>
      <c r="AU58" s="40" t="str" cm="1">
        <f t="array" ref="AU58">_xlfn.XLOOKUP(PROPERTIES[[#This Row],[VEHIDCODE]],GRAPHICS_PROPERTIES[VEHIDCODE],GRAPHICS_PROPERTIES[TEMPLATE_ID]&amp;GRAPHICS_PROPERTIES[TEMPLATE_AMENDMENT_CODE])</f>
        <v>TPL_01B</v>
      </c>
    </row>
    <row r="59" spans="1:47" x14ac:dyDescent="0.35">
      <c r="A59" s="2" t="s">
        <v>2702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0" t="str">
        <f>_xlfn.XLOOKUP(PROPERTIES[[#This Row],[VEHIDCODE]],CONTROL[VEHIDCODE],CONTROL[ENGLISH])</f>
        <v>Pesa 308B</v>
      </c>
      <c r="F59" t="s">
        <v>705</v>
      </c>
      <c r="G59" s="40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15</v>
      </c>
      <c r="J59">
        <v>140</v>
      </c>
      <c r="K59">
        <v>8</v>
      </c>
      <c r="L59">
        <v>0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3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0">
        <v>0</v>
      </c>
      <c r="AA59" s="19">
        <f>IFERROR(PROPERTIES[[#This Row],[TE_STARTING_KN]]/(PROPERTIES[[#This Row],[WEIGHT]]*9.81),0)</f>
        <v>0</v>
      </c>
      <c r="AB59" s="19">
        <v>0.08</v>
      </c>
      <c r="AC59" s="16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6">
        <v>0</v>
      </c>
      <c r="AF59" s="6">
        <v>0</v>
      </c>
      <c r="AG59" t="s">
        <v>236</v>
      </c>
      <c r="AH59" t="s">
        <v>229</v>
      </c>
      <c r="AI59" t="s">
        <v>229</v>
      </c>
      <c r="AJ59" s="2" t="s">
        <v>229</v>
      </c>
      <c r="AK59" s="2" t="s">
        <v>244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44" t="b">
        <v>0</v>
      </c>
      <c r="AP59" s="48" t="b">
        <v>1</v>
      </c>
      <c r="AQ59" s="48" t="b">
        <v>0</v>
      </c>
      <c r="AR59" s="48">
        <v>0</v>
      </c>
      <c r="AS59" s="48" t="b">
        <v>0</v>
      </c>
      <c r="AT59" s="7" t="b">
        <v>0</v>
      </c>
      <c r="AU59" s="40" t="str" cm="1">
        <f t="array" ref="AU59">_xlfn.XLOOKUP(PROPERTIES[[#This Row],[VEHIDCODE]],GRAPHICS_PROPERTIES[VEHIDCODE],GRAPHICS_PROPERTIES[TEMPLATE_ID]&amp;GRAPHICS_PROPERTIES[TEMPLATE_AMENDMENT_CODE])</f>
        <v>TPL_01B</v>
      </c>
    </row>
    <row r="60" spans="1:47" x14ac:dyDescent="0.35">
      <c r="A60" s="2" t="s">
        <v>2703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0" t="str">
        <f>_xlfn.XLOOKUP(PROPERTIES[[#This Row],[VEHIDCODE]],CONTROL[VEHIDCODE],CONTROL[ENGLISH])</f>
        <v>Franz Knotz 4855</v>
      </c>
      <c r="F60" t="s">
        <v>540</v>
      </c>
      <c r="G60" s="40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15</v>
      </c>
      <c r="J60">
        <f>64+62</f>
        <v>126</v>
      </c>
      <c r="K60">
        <v>8</v>
      </c>
      <c r="L60">
        <v>0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3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0">
        <v>0</v>
      </c>
      <c r="AA60" s="19">
        <f>IFERROR(PROPERTIES[[#This Row],[TE_STARTING_KN]]/(PROPERTIES[[#This Row],[WEIGHT]]*9.81),0)</f>
        <v>0</v>
      </c>
      <c r="AB60" s="19">
        <v>0.21</v>
      </c>
      <c r="AC60" s="16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6">
        <v>0</v>
      </c>
      <c r="AF60" s="6">
        <v>0</v>
      </c>
      <c r="AG60" t="s">
        <v>230</v>
      </c>
      <c r="AH60" t="s">
        <v>229</v>
      </c>
      <c r="AI60" t="s">
        <v>229</v>
      </c>
      <c r="AJ60" s="2" t="s">
        <v>229</v>
      </c>
      <c r="AK60" s="2" t="s">
        <v>244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44" t="b">
        <v>0</v>
      </c>
      <c r="AP60" s="48" t="b">
        <v>1</v>
      </c>
      <c r="AQ60" s="48" t="b">
        <v>0</v>
      </c>
      <c r="AR60" s="48">
        <v>0</v>
      </c>
      <c r="AS60" s="48" t="b">
        <v>0</v>
      </c>
      <c r="AT60" s="7" t="b">
        <v>0</v>
      </c>
      <c r="AU60" s="40" t="str" cm="1">
        <f t="array" ref="AU60">_xlfn.XLOOKUP(PROPERTIES[[#This Row],[VEHIDCODE]],GRAPHICS_PROPERTIES[VEHIDCODE],GRAPHICS_PROPERTIES[TEMPLATE_ID]&amp;GRAPHICS_PROPERTIES[TEMPLATE_AMENDMENT_CODE])</f>
        <v>TPL_01B</v>
      </c>
    </row>
    <row r="61" spans="1:47" x14ac:dyDescent="0.35">
      <c r="A61" s="2" t="s">
        <v>2704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0" t="str">
        <f>_xlfn.XLOOKUP(PROPERTIES[[#This Row],[VEHIDCODE]],CONTROL[VEHIDCODE],CONTROL[ENGLISH])</f>
        <v>Lindner/Talbot ET 10.109</v>
      </c>
      <c r="F61" t="s">
        <v>540</v>
      </c>
      <c r="G61" s="40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15</v>
      </c>
      <c r="J61">
        <v>150</v>
      </c>
      <c r="K61">
        <v>8</v>
      </c>
      <c r="L61">
        <v>0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3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0">
        <v>0</v>
      </c>
      <c r="AA61" s="19">
        <f>IFERROR(PROPERTIES[[#This Row],[TE_STARTING_KN]]/(PROPERTIES[[#This Row],[WEIGHT]]*9.81),0)</f>
        <v>0</v>
      </c>
      <c r="AB61" s="19">
        <v>0.28999999999999998</v>
      </c>
      <c r="AC61" s="16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6">
        <v>0</v>
      </c>
      <c r="AF61" s="6">
        <v>0</v>
      </c>
      <c r="AG61" t="s">
        <v>230</v>
      </c>
      <c r="AH61" t="s">
        <v>229</v>
      </c>
      <c r="AI61" t="s">
        <v>229</v>
      </c>
      <c r="AJ61" s="2" t="s">
        <v>229</v>
      </c>
      <c r="AK61" s="2" t="s">
        <v>244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44" t="b">
        <v>0</v>
      </c>
      <c r="AP61" s="48" t="b">
        <v>1</v>
      </c>
      <c r="AQ61" s="48" t="b">
        <v>0</v>
      </c>
      <c r="AR61" s="48">
        <v>0</v>
      </c>
      <c r="AS61" s="48" t="b">
        <v>0</v>
      </c>
      <c r="AT61" s="7" t="b">
        <v>0</v>
      </c>
      <c r="AU61" s="40" t="str" cm="1">
        <f t="array" ref="AU61">_xlfn.XLOOKUP(PROPERTIES[[#This Row],[VEHIDCODE]],GRAPHICS_PROPERTIES[VEHIDCODE],GRAPHICS_PROPERTIES[TEMPLATE_ID]&amp;GRAPHICS_PROPERTIES[TEMPLATE_AMENDMENT_CODE])</f>
        <v>TPL_01B</v>
      </c>
    </row>
    <row r="62" spans="1:47" x14ac:dyDescent="0.35">
      <c r="A62" s="2" t="s">
        <v>2705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0" t="str">
        <f>_xlfn.XLOOKUP(PROPERTIES[[#This Row],[VEHIDCODE]],CONTROL[VEHIDCODE],CONTROL[ENGLISH])</f>
        <v>Waggonfabrik Fuchs ET 85</v>
      </c>
      <c r="F62" t="s">
        <v>584</v>
      </c>
      <c r="G62" s="40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15</v>
      </c>
      <c r="J62">
        <v>75</v>
      </c>
      <c r="K62">
        <v>8</v>
      </c>
      <c r="L62">
        <v>0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3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0">
        <v>0</v>
      </c>
      <c r="AA62" s="19">
        <f>IFERROR(PROPERTIES[[#This Row],[TE_STARTING_KN]]/(PROPERTIES[[#This Row],[WEIGHT]]*9.81),0)</f>
        <v>0</v>
      </c>
      <c r="AB62" s="19">
        <v>0.16</v>
      </c>
      <c r="AC62" s="16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6">
        <v>0</v>
      </c>
      <c r="AF62" s="6">
        <v>0</v>
      </c>
      <c r="AG62" t="s">
        <v>230</v>
      </c>
      <c r="AH62" t="s">
        <v>229</v>
      </c>
      <c r="AI62" t="s">
        <v>229</v>
      </c>
      <c r="AJ62" s="2" t="s">
        <v>229</v>
      </c>
      <c r="AK62" s="2" t="s">
        <v>244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44" t="b">
        <v>0</v>
      </c>
      <c r="AP62" s="48" t="b">
        <v>0</v>
      </c>
      <c r="AQ62" s="48" t="b">
        <v>0</v>
      </c>
      <c r="AR62" s="48">
        <v>0</v>
      </c>
      <c r="AS62" s="48" t="b">
        <v>0</v>
      </c>
      <c r="AT62" s="7" t="b">
        <v>0</v>
      </c>
      <c r="AU62" s="40" t="str" cm="1">
        <f t="array" ref="AU62">_xlfn.XLOOKUP(PROPERTIES[[#This Row],[VEHIDCODE]],GRAPHICS_PROPERTIES[VEHIDCODE],GRAPHICS_PROPERTIES[TEMPLATE_ID]&amp;GRAPHICS_PROPERTIES[TEMPLATE_AMENDMENT_CODE])</f>
        <v>TPL_01B</v>
      </c>
    </row>
    <row r="63" spans="1:47" x14ac:dyDescent="0.35">
      <c r="A63" s="2" t="s">
        <v>2706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0" t="str">
        <f>_xlfn.XLOOKUP(PROPERTIES[[#This Row],[VEHIDCODE]],CONTROL[VEHIDCODE],CONTROL[ENGLISH])</f>
        <v>ASJ Y6</v>
      </c>
      <c r="F63" t="s">
        <v>722</v>
      </c>
      <c r="G63" s="40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15</v>
      </c>
      <c r="J63">
        <v>90</v>
      </c>
      <c r="K63">
        <v>6</v>
      </c>
      <c r="L63">
        <v>0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3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0">
        <v>15</v>
      </c>
      <c r="AA63" s="19">
        <f>IFERROR(PROPERTIES[[#This Row],[TE_STARTING_KN]]/(PROPERTIES[[#This Row],[WEIGHT]]*9.81),0)</f>
        <v>7.2811999417503992E-2</v>
      </c>
      <c r="AB63" s="19">
        <v>0</v>
      </c>
      <c r="AC63" s="16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6">
        <v>0</v>
      </c>
      <c r="AF63" s="6">
        <v>0</v>
      </c>
      <c r="AG63" t="s">
        <v>234</v>
      </c>
      <c r="AH63" t="s">
        <v>229</v>
      </c>
      <c r="AI63" t="s">
        <v>229</v>
      </c>
      <c r="AJ63" s="2" t="s">
        <v>229</v>
      </c>
      <c r="AK63" s="2" t="s">
        <v>244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44" t="b">
        <v>0</v>
      </c>
      <c r="AP63" s="48" t="b">
        <v>1</v>
      </c>
      <c r="AQ63" s="48" t="b">
        <v>0</v>
      </c>
      <c r="AR63" s="48">
        <v>0</v>
      </c>
      <c r="AS63" s="48" t="b">
        <v>0</v>
      </c>
      <c r="AT63" s="7" t="b">
        <v>0</v>
      </c>
      <c r="AU63" s="40" t="str" cm="1">
        <f t="array" ref="AU63">_xlfn.XLOOKUP(PROPERTIES[[#This Row],[VEHIDCODE]],GRAPHICS_PROPERTIES[VEHIDCODE],GRAPHICS_PROPERTIES[TEMPLATE_ID]&amp;GRAPHICS_PROPERTIES[TEMPLATE_AMENDMENT_CODE])</f>
        <v>TPL_01B</v>
      </c>
    </row>
    <row r="64" spans="1:47" x14ac:dyDescent="0.35">
      <c r="A64" s="2" t="s">
        <v>2707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0" t="str">
        <f>_xlfn.XLOOKUP(PROPERTIES[[#This Row],[VEHIDCODE]],CONTROL[VEHIDCODE],CONTROL[ENGLISH])</f>
        <v>Budd Silverliner II</v>
      </c>
      <c r="F64" t="s">
        <v>757</v>
      </c>
      <c r="G64" s="40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15</v>
      </c>
      <c r="J64">
        <v>124</v>
      </c>
      <c r="K64">
        <v>8</v>
      </c>
      <c r="L64">
        <v>0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3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0">
        <v>0</v>
      </c>
      <c r="AA64" s="19">
        <f>IFERROR(PROPERTIES[[#This Row],[TE_STARTING_KN]]/(PROPERTIES[[#This Row],[WEIGHT]]*9.81),0)</f>
        <v>0</v>
      </c>
      <c r="AB64" s="19">
        <v>0.18</v>
      </c>
      <c r="AC64" s="16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6">
        <v>0</v>
      </c>
      <c r="AF64" s="6">
        <v>0</v>
      </c>
      <c r="AG64" t="s">
        <v>235</v>
      </c>
      <c r="AH64" t="s">
        <v>229</v>
      </c>
      <c r="AI64" t="s">
        <v>229</v>
      </c>
      <c r="AJ64" s="2" t="s">
        <v>229</v>
      </c>
      <c r="AK64" s="2" t="s">
        <v>244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44" t="b">
        <v>0</v>
      </c>
      <c r="AP64" s="48" t="b">
        <v>1</v>
      </c>
      <c r="AQ64" s="48" t="b">
        <v>0</v>
      </c>
      <c r="AR64" s="48">
        <v>0</v>
      </c>
      <c r="AS64" s="48" t="b">
        <v>0</v>
      </c>
      <c r="AT64" s="7" t="b">
        <v>0</v>
      </c>
      <c r="AU64" s="40" t="str" cm="1">
        <f t="array" ref="AU64">_xlfn.XLOOKUP(PROPERTIES[[#This Row],[VEHIDCODE]],GRAPHICS_PROPERTIES[VEHIDCODE],GRAPHICS_PROPERTIES[TEMPLATE_ID]&amp;GRAPHICS_PROPERTIES[TEMPLATE_AMENDMENT_CODE])</f>
        <v>TPL_01B</v>
      </c>
    </row>
    <row r="65" spans="1:47" x14ac:dyDescent="0.35">
      <c r="A65" s="2" t="s">
        <v>2708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0" t="str">
        <f>_xlfn.XLOOKUP(PROPERTIES[[#This Row],[VEHIDCODE]],CONTROL[VEHIDCODE],CONTROL[ENGLISH])</f>
        <v>Hyundai Rotem Silverliner V</v>
      </c>
      <c r="F65" t="s">
        <v>757</v>
      </c>
      <c r="G65" s="40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15</v>
      </c>
      <c r="J65">
        <v>110</v>
      </c>
      <c r="K65">
        <v>8</v>
      </c>
      <c r="L65">
        <v>0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3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0">
        <v>0</v>
      </c>
      <c r="AA65" s="19">
        <f>IFERROR(PROPERTIES[[#This Row],[TE_STARTING_KN]]/(PROPERTIES[[#This Row],[WEIGHT]]*9.81),0)</f>
        <v>0</v>
      </c>
      <c r="AB65" s="19">
        <v>0.17</v>
      </c>
      <c r="AC65" s="16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6">
        <v>0</v>
      </c>
      <c r="AF65" s="6">
        <v>0</v>
      </c>
      <c r="AG65" t="s">
        <v>235</v>
      </c>
      <c r="AH65" t="s">
        <v>229</v>
      </c>
      <c r="AI65" t="s">
        <v>229</v>
      </c>
      <c r="AJ65" s="2" t="s">
        <v>229</v>
      </c>
      <c r="AK65" s="2" t="s">
        <v>244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44" t="b">
        <v>0</v>
      </c>
      <c r="AP65" s="48" t="b">
        <v>1</v>
      </c>
      <c r="AQ65" s="48" t="b">
        <v>0</v>
      </c>
      <c r="AR65" s="48">
        <v>0</v>
      </c>
      <c r="AS65" s="48" t="b">
        <v>0</v>
      </c>
      <c r="AT65" s="7" t="b">
        <v>0</v>
      </c>
      <c r="AU65" s="40" t="str" cm="1">
        <f t="array" ref="AU65">_xlfn.XLOOKUP(PROPERTIES[[#This Row],[VEHIDCODE]],GRAPHICS_PROPERTIES[VEHIDCODE],GRAPHICS_PROPERTIES[TEMPLATE_ID]&amp;GRAPHICS_PROPERTIES[TEMPLATE_AMENDMENT_CODE])</f>
        <v>TPL_01B</v>
      </c>
    </row>
    <row r="66" spans="1:47" x14ac:dyDescent="0.35">
      <c r="A66" s="2" t="s">
        <v>2709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0" t="str">
        <f>_xlfn.XLOOKUP(PROPERTIES[[#This Row],[VEHIDCODE]],CONTROL[VEHIDCODE],CONTROL[ENGLISH])</f>
        <v>John Cockerill &amp; Cie. Le Belge</v>
      </c>
      <c r="F66" t="s">
        <v>548</v>
      </c>
      <c r="G66" s="40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17</v>
      </c>
      <c r="J66">
        <v>0</v>
      </c>
      <c r="K66">
        <v>7</v>
      </c>
      <c r="L66">
        <v>0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3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0">
        <v>12.65</v>
      </c>
      <c r="AA66" s="19">
        <f>IFERROR(PROPERTIES[[#This Row],[TE_STARTING_KN]]/(PROPERTIES[[#This Row],[WEIGHT]]*9.81),0)</f>
        <v>2.1491675161399933E-2</v>
      </c>
      <c r="AB66" s="19">
        <v>0</v>
      </c>
      <c r="AC66" s="16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6">
        <v>0</v>
      </c>
      <c r="AF66" s="6">
        <v>0</v>
      </c>
      <c r="AG66" t="s">
        <v>230</v>
      </c>
      <c r="AH66" t="s">
        <v>229</v>
      </c>
      <c r="AI66" t="s">
        <v>229</v>
      </c>
      <c r="AJ66" s="2" t="s">
        <v>229</v>
      </c>
      <c r="AK66" s="2" t="s">
        <v>244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44" t="b">
        <v>0</v>
      </c>
      <c r="AP66" s="48" t="b">
        <v>0</v>
      </c>
      <c r="AQ66" s="48" t="b">
        <v>0</v>
      </c>
      <c r="AR66" s="48">
        <v>0</v>
      </c>
      <c r="AS66" s="48" t="b">
        <v>0</v>
      </c>
      <c r="AT66" s="7" t="b">
        <v>0</v>
      </c>
      <c r="AU66" s="40" t="str" cm="1">
        <f t="array" ref="AU66">_xlfn.XLOOKUP(PROPERTIES[[#This Row],[VEHIDCODE]],GRAPHICS_PROPERTIES[VEHIDCODE],GRAPHICS_PROPERTIES[TEMPLATE_ID]&amp;GRAPHICS_PROPERTIES[TEMPLATE_AMENDMENT_CODE])</f>
        <v>TPL_03C</v>
      </c>
    </row>
    <row r="67" spans="1:47" x14ac:dyDescent="0.35">
      <c r="A67" s="2" t="s">
        <v>2710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0" t="str">
        <f>_xlfn.XLOOKUP(PROPERTIES[[#This Row],[VEHIDCODE]],CONTROL[VEHIDCODE],CONTROL[ENGLISH])</f>
        <v>Breese, Kneeland &amp; Co. 4-4-0 'No 1'</v>
      </c>
      <c r="F67" t="s">
        <v>757</v>
      </c>
      <c r="G67" s="40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17</v>
      </c>
      <c r="J67">
        <v>0</v>
      </c>
      <c r="K67">
        <v>6</v>
      </c>
      <c r="L67">
        <v>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3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0">
        <v>32.1</v>
      </c>
      <c r="AA67" s="19">
        <f>IFERROR(PROPERTIES[[#This Row],[TE_STARTING_KN]]/(PROPERTIES[[#This Row],[WEIGHT]]*9.81),0)</f>
        <v>0.14226831538359261</v>
      </c>
      <c r="AB67" s="19">
        <v>0</v>
      </c>
      <c r="AC67" s="16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6">
        <v>0</v>
      </c>
      <c r="AF67" s="6">
        <v>4</v>
      </c>
      <c r="AG67" t="s">
        <v>235</v>
      </c>
      <c r="AH67" t="s">
        <v>229</v>
      </c>
      <c r="AI67" t="s">
        <v>229</v>
      </c>
      <c r="AJ67" s="2" t="s">
        <v>229</v>
      </c>
      <c r="AK67" s="2" t="s">
        <v>244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44" t="b">
        <v>0</v>
      </c>
      <c r="AP67" s="48" t="b">
        <v>0</v>
      </c>
      <c r="AQ67" s="48" t="b">
        <v>0</v>
      </c>
      <c r="AR67" s="48">
        <v>0</v>
      </c>
      <c r="AS67" s="48" t="b">
        <v>0</v>
      </c>
      <c r="AT67" s="7" t="b">
        <v>0</v>
      </c>
      <c r="AU67" s="40" t="str" cm="1">
        <f t="array" ref="AU67">_xlfn.XLOOKUP(PROPERTIES[[#This Row],[VEHIDCODE]],GRAPHICS_PROPERTIES[VEHIDCODE],GRAPHICS_PROPERTIES[TEMPLATE_ID]&amp;GRAPHICS_PROPERTIES[TEMPLATE_AMENDMENT_CODE])</f>
        <v>TPL_03A</v>
      </c>
    </row>
    <row r="68" spans="1:47" x14ac:dyDescent="0.35">
      <c r="A68" s="2" t="s">
        <v>2711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0" t="str">
        <f>_xlfn.XLOOKUP(PROPERTIES[[#This Row],[VEHIDCODE]],CONTROL[VEHIDCODE],CONTROL[ENGLISH])</f>
        <v>Esslingen Ec 2/5</v>
      </c>
      <c r="F68" t="s">
        <v>570</v>
      </c>
      <c r="G68" s="40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17</v>
      </c>
      <c r="J68">
        <v>0</v>
      </c>
      <c r="K68">
        <v>5</v>
      </c>
      <c r="L68">
        <v>0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3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0">
        <v>0</v>
      </c>
      <c r="AA68" s="19">
        <f>IFERROR(PROPERTIES[[#This Row],[TE_STARTING_KN]]/(PROPERTIES[[#This Row],[WEIGHT]]*9.81),0)</f>
        <v>0</v>
      </c>
      <c r="AB68" s="19">
        <v>0.2</v>
      </c>
      <c r="AC68" s="16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6">
        <v>0</v>
      </c>
      <c r="AF68" s="6">
        <v>0</v>
      </c>
      <c r="AG68" t="s">
        <v>230</v>
      </c>
      <c r="AH68" t="s">
        <v>229</v>
      </c>
      <c r="AI68" t="s">
        <v>229</v>
      </c>
      <c r="AJ68" s="2" t="s">
        <v>229</v>
      </c>
      <c r="AK68" s="2" t="s">
        <v>244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44" t="b">
        <v>0</v>
      </c>
      <c r="AP68" s="48" t="b">
        <v>0</v>
      </c>
      <c r="AQ68" s="48" t="b">
        <v>0</v>
      </c>
      <c r="AR68" s="48">
        <v>0</v>
      </c>
      <c r="AS68" s="48" t="b">
        <v>0</v>
      </c>
      <c r="AT68" s="7" t="b">
        <v>0</v>
      </c>
      <c r="AU68" s="40" t="str" cm="1">
        <f t="array" ref="AU68">_xlfn.XLOOKUP(PROPERTIES[[#This Row],[VEHIDCODE]],GRAPHICS_PROPERTIES[VEHIDCODE],GRAPHICS_PROPERTIES[TEMPLATE_ID]&amp;GRAPHICS_PROPERTIES[TEMPLATE_AMENDMENT_CODE])</f>
        <v>TPL_03C</v>
      </c>
    </row>
    <row r="69" spans="1:47" x14ac:dyDescent="0.35">
      <c r="A69" s="2" t="s">
        <v>2712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0" t="str">
        <f>_xlfn.XLOOKUP(PROPERTIES[[#This Row],[VEHIDCODE]],CONTROL[VEHIDCODE],CONTROL[ENGLISH])</f>
        <v>Baldwin Class D 4-6-0 'Ten-wheeler'</v>
      </c>
      <c r="F69" t="s">
        <v>757</v>
      </c>
      <c r="G69" s="40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17</v>
      </c>
      <c r="J69">
        <v>0</v>
      </c>
      <c r="K69">
        <v>7</v>
      </c>
      <c r="L69">
        <v>0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3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0">
        <f>13524*0.00445</f>
        <v>60.181800000000003</v>
      </c>
      <c r="AA69" s="19">
        <f>IFERROR(PROPERTIES[[#This Row],[TE_STARTING_KN]]/(PROPERTIES[[#This Row],[WEIGHT]]*9.81),0)</f>
        <v>0.10762701861687858</v>
      </c>
      <c r="AB69" s="19">
        <v>0</v>
      </c>
      <c r="AC69" s="16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6">
        <v>0</v>
      </c>
      <c r="AF69" s="6">
        <v>4</v>
      </c>
      <c r="AG69" t="s">
        <v>235</v>
      </c>
      <c r="AH69" t="s">
        <v>229</v>
      </c>
      <c r="AI69" t="s">
        <v>229</v>
      </c>
      <c r="AJ69" s="2" t="s">
        <v>229</v>
      </c>
      <c r="AK69" s="2" t="s">
        <v>244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44" t="b">
        <v>0</v>
      </c>
      <c r="AP69" s="48" t="b">
        <v>0</v>
      </c>
      <c r="AQ69" s="48" t="b">
        <v>0</v>
      </c>
      <c r="AR69" s="48">
        <v>0</v>
      </c>
      <c r="AS69" s="48" t="b">
        <v>0</v>
      </c>
      <c r="AT69" s="7" t="b">
        <v>0</v>
      </c>
      <c r="AU69" s="40" t="str" cm="1">
        <f t="array" ref="AU69">_xlfn.XLOOKUP(PROPERTIES[[#This Row],[VEHIDCODE]],GRAPHICS_PROPERTIES[VEHIDCODE],GRAPHICS_PROPERTIES[TEMPLATE_ID]&amp;GRAPHICS_PROPERTIES[TEMPLATE_AMENDMENT_CODE])</f>
        <v>TPL_03A</v>
      </c>
    </row>
    <row r="70" spans="1:47" x14ac:dyDescent="0.35">
      <c r="A70" s="2" t="s">
        <v>2713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0" t="str">
        <f>_xlfn.XLOOKUP(PROPERTIES[[#This Row],[VEHIDCODE]],CONTROL[VEHIDCODE],CONTROL[ENGLISH])</f>
        <v>Baldwin 2-8-0 'Consolidation'</v>
      </c>
      <c r="F70" t="s">
        <v>757</v>
      </c>
      <c r="G70" s="40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17</v>
      </c>
      <c r="J70">
        <v>0</v>
      </c>
      <c r="K70">
        <v>8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3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0">
        <f>20400*0.00445</f>
        <v>90.78</v>
      </c>
      <c r="AA70" s="19">
        <f>IFERROR(PROPERTIES[[#This Row],[TE_STARTING_KN]]/(PROPERTIES[[#This Row],[WEIGHT]]*9.81),0)</f>
        <v>0.13033552999956929</v>
      </c>
      <c r="AB70" s="19">
        <v>0</v>
      </c>
      <c r="AC70" s="16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6">
        <v>0</v>
      </c>
      <c r="AF70" s="6">
        <v>5</v>
      </c>
      <c r="AG70" t="s">
        <v>235</v>
      </c>
      <c r="AH70" t="s">
        <v>229</v>
      </c>
      <c r="AI70" t="s">
        <v>229</v>
      </c>
      <c r="AJ70" s="2" t="s">
        <v>229</v>
      </c>
      <c r="AK70" s="2" t="s">
        <v>244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44" t="b">
        <v>0</v>
      </c>
      <c r="AP70" s="48" t="b">
        <v>0</v>
      </c>
      <c r="AQ70" s="48" t="b">
        <v>0</v>
      </c>
      <c r="AR70" s="48">
        <v>0</v>
      </c>
      <c r="AS70" s="48" t="b">
        <v>0</v>
      </c>
      <c r="AT70" s="7" t="b">
        <v>0</v>
      </c>
      <c r="AU70" s="40" t="str" cm="1">
        <f t="array" ref="AU70">_xlfn.XLOOKUP(PROPERTIES[[#This Row],[VEHIDCODE]],GRAPHICS_PROPERTIES[VEHIDCODE],GRAPHICS_PROPERTIES[TEMPLATE_ID]&amp;GRAPHICS_PROPERTIES[TEMPLATE_AMENDMENT_CODE])</f>
        <v>TPL_03A</v>
      </c>
    </row>
    <row r="71" spans="1:47" x14ac:dyDescent="0.35">
      <c r="A71" s="2" t="s">
        <v>2714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0" t="str">
        <f>_xlfn.XLOOKUP(PROPERTIES[[#This Row],[VEHIDCODE]],CONTROL[VEHIDCODE],CONTROL[ENGLISH])</f>
        <v>MAV 377</v>
      </c>
      <c r="F71" t="s">
        <v>626</v>
      </c>
      <c r="G71" s="40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17</v>
      </c>
      <c r="J71">
        <v>0</v>
      </c>
      <c r="K71">
        <v>6</v>
      </c>
      <c r="L71">
        <v>0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3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0">
        <v>31.2</v>
      </c>
      <c r="AA71" s="19">
        <f>IFERROR(PROPERTIES[[#This Row],[TE_STARTING_KN]]/(PROPERTIES[[#This Row],[WEIGHT]]*9.81),0)</f>
        <v>0.11779363461320648</v>
      </c>
      <c r="AB71" s="19">
        <v>0</v>
      </c>
      <c r="AC71" s="16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6">
        <v>0</v>
      </c>
      <c r="AF71" s="6">
        <v>0</v>
      </c>
      <c r="AG71" t="s">
        <v>236</v>
      </c>
      <c r="AH71" t="s">
        <v>229</v>
      </c>
      <c r="AI71" t="s">
        <v>229</v>
      </c>
      <c r="AJ71" s="2" t="s">
        <v>229</v>
      </c>
      <c r="AK71" s="2" t="s">
        <v>244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44" t="b">
        <v>0</v>
      </c>
      <c r="AP71" s="48" t="b">
        <v>0</v>
      </c>
      <c r="AQ71" s="48" t="b">
        <v>0</v>
      </c>
      <c r="AR71" s="48">
        <v>0</v>
      </c>
      <c r="AS71" s="48" t="b">
        <v>0</v>
      </c>
      <c r="AT71" s="7" t="b">
        <v>0</v>
      </c>
      <c r="AU71" s="40" t="str" cm="1">
        <f t="array" ref="AU71">_xlfn.XLOOKUP(PROPERTIES[[#This Row],[VEHIDCODE]],GRAPHICS_PROPERTIES[VEHIDCODE],GRAPHICS_PROPERTIES[TEMPLATE_ID]&amp;GRAPHICS_PROPERTIES[TEMPLATE_AMENDMENT_CODE])</f>
        <v>TPL_03C</v>
      </c>
    </row>
    <row r="72" spans="1:47" x14ac:dyDescent="0.35">
      <c r="A72" s="2" t="s">
        <v>2715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0" t="str">
        <f>_xlfn.XLOOKUP(PROPERTIES[[#This Row],[VEHIDCODE]],CONTROL[VEHIDCODE],CONTROL[ENGLISH])</f>
        <v>Krauss KkStB 99</v>
      </c>
      <c r="F72" t="s">
        <v>540</v>
      </c>
      <c r="G72" s="40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17</v>
      </c>
      <c r="J72">
        <v>0</v>
      </c>
      <c r="K72">
        <v>6</v>
      </c>
      <c r="L72">
        <v>0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3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0">
        <v>0</v>
      </c>
      <c r="AA72" s="19">
        <f>IFERROR(PROPERTIES[[#This Row],[TE_STARTING_KN]]/(PROPERTIES[[#This Row],[WEIGHT]]*9.81),0)</f>
        <v>0</v>
      </c>
      <c r="AB72" s="19">
        <v>0.23</v>
      </c>
      <c r="AC72" s="16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6">
        <v>0</v>
      </c>
      <c r="AF72" s="6">
        <v>0</v>
      </c>
      <c r="AG72" t="s">
        <v>230</v>
      </c>
      <c r="AH72" t="s">
        <v>229</v>
      </c>
      <c r="AI72" t="s">
        <v>229</v>
      </c>
      <c r="AJ72" s="2" t="s">
        <v>229</v>
      </c>
      <c r="AK72" s="2" t="s">
        <v>244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44" t="b">
        <v>0</v>
      </c>
      <c r="AP72" s="48" t="b">
        <v>0</v>
      </c>
      <c r="AQ72" s="48" t="b">
        <v>0</v>
      </c>
      <c r="AR72" s="48">
        <v>0</v>
      </c>
      <c r="AS72" s="48" t="b">
        <v>0</v>
      </c>
      <c r="AT72" s="7" t="b">
        <v>0</v>
      </c>
      <c r="AU72" s="40" t="str" cm="1">
        <f t="array" ref="AU72">_xlfn.XLOOKUP(PROPERTIES[[#This Row],[VEHIDCODE]],GRAPHICS_PROPERTIES[VEHIDCODE],GRAPHICS_PROPERTIES[TEMPLATE_ID]&amp;GRAPHICS_PROPERTIES[TEMPLATE_AMENDMENT_CODE])</f>
        <v>TPL_03C</v>
      </c>
    </row>
    <row r="73" spans="1:47" x14ac:dyDescent="0.35">
      <c r="A73" s="2" t="s">
        <v>2716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0" t="str">
        <f>_xlfn.XLOOKUP(PROPERTIES[[#This Row],[VEHIDCODE]],CONTROL[VEHIDCODE],CONTROL[ENGLISH])</f>
        <v>McIntosh [Caledonian Railway] 439</v>
      </c>
      <c r="F73" t="s">
        <v>603</v>
      </c>
      <c r="G73" s="40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17</v>
      </c>
      <c r="J73">
        <v>0</v>
      </c>
      <c r="K73">
        <v>7</v>
      </c>
      <c r="L73">
        <v>0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3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0">
        <v>83.1</v>
      </c>
      <c r="AA73" s="19">
        <f>IFERROR(PROPERTIES[[#This Row],[TE_STARTING_KN]]/(PROPERTIES[[#This Row],[WEIGHT]]*9.81),0)</f>
        <v>0.15982920777797008</v>
      </c>
      <c r="AB73" s="19">
        <v>0</v>
      </c>
      <c r="AC73" s="16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6">
        <v>0</v>
      </c>
      <c r="AF73" s="6">
        <v>0</v>
      </c>
      <c r="AG73" t="s">
        <v>234</v>
      </c>
      <c r="AH73" t="s">
        <v>229</v>
      </c>
      <c r="AI73" t="s">
        <v>229</v>
      </c>
      <c r="AJ73" s="2" t="s">
        <v>229</v>
      </c>
      <c r="AK73" s="2" t="s">
        <v>244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44" t="b">
        <v>0</v>
      </c>
      <c r="AP73" s="48" t="b">
        <v>0</v>
      </c>
      <c r="AQ73" s="48" t="b">
        <v>0</v>
      </c>
      <c r="AR73" s="48">
        <v>0</v>
      </c>
      <c r="AS73" s="48" t="b">
        <v>0</v>
      </c>
      <c r="AT73" s="7" t="b">
        <v>0</v>
      </c>
      <c r="AU73" s="40" t="str" cm="1">
        <f t="array" ref="AU73">_xlfn.XLOOKUP(PROPERTIES[[#This Row],[VEHIDCODE]],GRAPHICS_PROPERTIES[VEHIDCODE],GRAPHICS_PROPERTIES[TEMPLATE_ID]&amp;GRAPHICS_PROPERTIES[TEMPLATE_AMENDMENT_CODE])</f>
        <v>TPL_03C</v>
      </c>
    </row>
    <row r="74" spans="1:47" x14ac:dyDescent="0.35">
      <c r="A74" s="2" t="s">
        <v>2717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0" t="str">
        <f>_xlfn.XLOOKUP(PROPERTIES[[#This Row],[VEHIDCODE]],CONTROL[VEHIDCODE],CONTROL[ENGLISH])</f>
        <v>SLM Winterthur A 3/5</v>
      </c>
      <c r="F74" t="s">
        <v>570</v>
      </c>
      <c r="G74" s="40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17</v>
      </c>
      <c r="J74">
        <v>0</v>
      </c>
      <c r="K74">
        <v>8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3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0">
        <v>0</v>
      </c>
      <c r="AA74" s="19">
        <f>IFERROR(PROPERTIES[[#This Row],[TE_STARTING_KN]]/(PROPERTIES[[#This Row],[WEIGHT]]*9.81),0)</f>
        <v>0</v>
      </c>
      <c r="AB74" s="19">
        <v>0.16</v>
      </c>
      <c r="AC74" s="16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6">
        <v>0</v>
      </c>
      <c r="AF74" s="6">
        <v>4</v>
      </c>
      <c r="AG74" t="s">
        <v>230</v>
      </c>
      <c r="AH74" t="s">
        <v>229</v>
      </c>
      <c r="AI74" t="s">
        <v>229</v>
      </c>
      <c r="AJ74" s="2" t="s">
        <v>229</v>
      </c>
      <c r="AK74" s="2" t="s">
        <v>244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44" t="b">
        <v>0</v>
      </c>
      <c r="AP74" s="48" t="b">
        <v>0</v>
      </c>
      <c r="AQ74" s="48" t="b">
        <v>0</v>
      </c>
      <c r="AR74" s="48">
        <v>0</v>
      </c>
      <c r="AS74" s="48" t="b">
        <v>0</v>
      </c>
      <c r="AT74" s="7" t="b">
        <v>0</v>
      </c>
      <c r="AU74" s="40" t="str" cm="1">
        <f t="array" ref="AU74">_xlfn.XLOOKUP(PROPERTIES[[#This Row],[VEHIDCODE]],GRAPHICS_PROPERTIES[VEHIDCODE],GRAPHICS_PROPERTIES[TEMPLATE_ID]&amp;GRAPHICS_PROPERTIES[TEMPLATE_AMENDMENT_CODE])</f>
        <v>TPL_03A</v>
      </c>
    </row>
    <row r="75" spans="1:47" x14ac:dyDescent="0.35">
      <c r="A75" s="2" t="s">
        <v>2718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0" t="str">
        <f>_xlfn.XLOOKUP(PROPERTIES[[#This Row],[VEHIDCODE]],CONTROL[VEHIDCODE],CONTROL[ENGLISH])</f>
        <v>SLM Winterthur E 3/3</v>
      </c>
      <c r="F75" t="s">
        <v>570</v>
      </c>
      <c r="G75" s="40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17</v>
      </c>
      <c r="J75">
        <v>0</v>
      </c>
      <c r="K75">
        <v>6</v>
      </c>
      <c r="L75">
        <v>0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3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0">
        <v>0</v>
      </c>
      <c r="AA75" s="19">
        <f>IFERROR(PROPERTIES[[#This Row],[TE_STARTING_KN]]/(PROPERTIES[[#This Row],[WEIGHT]]*9.81),0)</f>
        <v>0</v>
      </c>
      <c r="AB75" s="19">
        <v>0.25</v>
      </c>
      <c r="AC75" s="16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6">
        <v>0</v>
      </c>
      <c r="AF75" s="6">
        <v>0</v>
      </c>
      <c r="AG75" t="s">
        <v>230</v>
      </c>
      <c r="AH75" t="s">
        <v>229</v>
      </c>
      <c r="AI75" t="s">
        <v>229</v>
      </c>
      <c r="AJ75" s="2" t="s">
        <v>229</v>
      </c>
      <c r="AK75" s="2" t="s">
        <v>244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44" t="b">
        <v>0</v>
      </c>
      <c r="AP75" s="48" t="b">
        <v>0</v>
      </c>
      <c r="AQ75" s="48" t="b">
        <v>0</v>
      </c>
      <c r="AR75" s="48">
        <v>0</v>
      </c>
      <c r="AS75" s="48" t="b">
        <v>0</v>
      </c>
      <c r="AT75" s="7" t="b">
        <v>0</v>
      </c>
      <c r="AU75" s="40" t="str" cm="1">
        <f t="array" ref="AU75">_xlfn.XLOOKUP(PROPERTIES[[#This Row],[VEHIDCODE]],GRAPHICS_PROPERTIES[VEHIDCODE],GRAPHICS_PROPERTIES[TEMPLATE_ID]&amp;GRAPHICS_PROPERTIES[TEMPLATE_AMENDMENT_CODE])</f>
        <v>TPL_03C</v>
      </c>
    </row>
    <row r="76" spans="1:47" x14ac:dyDescent="0.35">
      <c r="A76" s="2" t="s">
        <v>2719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0" t="str">
        <f>_xlfn.XLOOKUP(PROPERTIES[[#This Row],[VEHIDCODE]],CONTROL[VEHIDCODE],CONTROL[ENGLISH])</f>
        <v>Krauss 299</v>
      </c>
      <c r="F76" t="s">
        <v>540</v>
      </c>
      <c r="G76" s="40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17</v>
      </c>
      <c r="J76">
        <v>0</v>
      </c>
      <c r="K76">
        <v>7</v>
      </c>
      <c r="L76">
        <v>0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3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0">
        <v>0</v>
      </c>
      <c r="AA76" s="19">
        <f>IFERROR(PROPERTIES[[#This Row],[TE_STARTING_KN]]/(PROPERTIES[[#This Row],[WEIGHT]]*9.81),0)</f>
        <v>0</v>
      </c>
      <c r="AB76" s="19">
        <v>0.26</v>
      </c>
      <c r="AC76" s="16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6">
        <v>0</v>
      </c>
      <c r="AF76" s="6">
        <v>0</v>
      </c>
      <c r="AG76" t="s">
        <v>230</v>
      </c>
      <c r="AH76" t="s">
        <v>229</v>
      </c>
      <c r="AI76" t="s">
        <v>229</v>
      </c>
      <c r="AJ76" s="2" t="s">
        <v>229</v>
      </c>
      <c r="AK76" s="2" t="s">
        <v>244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44" t="b">
        <v>0</v>
      </c>
      <c r="AP76" s="48" t="b">
        <v>0</v>
      </c>
      <c r="AQ76" s="48" t="b">
        <v>0</v>
      </c>
      <c r="AR76" s="48">
        <v>0</v>
      </c>
      <c r="AS76" s="48" t="b">
        <v>0</v>
      </c>
      <c r="AT76" s="7" t="b">
        <v>0</v>
      </c>
      <c r="AU76" s="40" t="str" cm="1">
        <f t="array" ref="AU76">_xlfn.XLOOKUP(PROPERTIES[[#This Row],[VEHIDCODE]],GRAPHICS_PROPERTIES[VEHIDCODE],GRAPHICS_PROPERTIES[TEMPLATE_ID]&amp;GRAPHICS_PROPERTIES[TEMPLATE_AMENDMENT_CODE])</f>
        <v>TPL_03C</v>
      </c>
    </row>
    <row r="77" spans="1:47" x14ac:dyDescent="0.35">
      <c r="A77" s="2" t="s">
        <v>2720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0" t="str">
        <f>_xlfn.XLOOKUP(PROPERTIES[[#This Row],[VEHIDCODE]],CONTROL[VEHIDCODE],CONTROL[ENGLISH])</f>
        <v>NZR X</v>
      </c>
      <c r="F77" t="s">
        <v>697</v>
      </c>
      <c r="G77" s="40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17</v>
      </c>
      <c r="J77">
        <v>0</v>
      </c>
      <c r="K77">
        <v>8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3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0">
        <v>0</v>
      </c>
      <c r="AA77" s="19">
        <f>IFERROR(PROPERTIES[[#This Row],[TE_STARTING_KN]]/(PROPERTIES[[#This Row],[WEIGHT]]*9.81),0)</f>
        <v>0</v>
      </c>
      <c r="AB77" s="19">
        <v>0.22</v>
      </c>
      <c r="AC77" s="16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6">
        <v>0</v>
      </c>
      <c r="AF77" s="6">
        <v>6</v>
      </c>
      <c r="AG77" t="s">
        <v>232</v>
      </c>
      <c r="AH77" t="s">
        <v>229</v>
      </c>
      <c r="AI77" t="s">
        <v>229</v>
      </c>
      <c r="AJ77" s="2" t="s">
        <v>229</v>
      </c>
      <c r="AK77" s="2" t="s">
        <v>244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44" t="b">
        <v>0</v>
      </c>
      <c r="AP77" s="48" t="b">
        <v>0</v>
      </c>
      <c r="AQ77" s="48" t="b">
        <v>0</v>
      </c>
      <c r="AR77" s="48">
        <v>0</v>
      </c>
      <c r="AS77" s="48" t="b">
        <v>0</v>
      </c>
      <c r="AT77" s="7" t="b">
        <v>0</v>
      </c>
      <c r="AU77" s="40" t="str" cm="1">
        <f t="array" ref="AU77">_xlfn.XLOOKUP(PROPERTIES[[#This Row],[VEHIDCODE]],GRAPHICS_PROPERTIES[VEHIDCODE],GRAPHICS_PROPERTIES[TEMPLATE_ID]&amp;GRAPHICS_PROPERTIES[TEMPLATE_AMENDMENT_CODE])</f>
        <v>TPL_03A</v>
      </c>
    </row>
    <row r="78" spans="1:47" x14ac:dyDescent="0.35">
      <c r="A78" s="2" t="s">
        <v>3450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0" t="str">
        <f>_xlfn.XLOOKUP(PROPERTIES[[#This Row],[VEHIDCODE]],CONTROL[VEHIDCODE],CONTROL[ENGLISH])</f>
        <v>MAVAG 375</v>
      </c>
      <c r="F78" t="s">
        <v>624</v>
      </c>
      <c r="G78" s="40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17</v>
      </c>
      <c r="J78">
        <v>0</v>
      </c>
      <c r="K78">
        <v>6</v>
      </c>
      <c r="L78">
        <v>0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3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0">
        <v>0</v>
      </c>
      <c r="AA78" s="19">
        <f>IFERROR(PROPERTIES[[#This Row],[TE_STARTING_KN]]/(PROPERTIES[[#This Row],[WEIGHT]]*9.81),0)</f>
        <v>0</v>
      </c>
      <c r="AB78" s="19">
        <v>0.19</v>
      </c>
      <c r="AC78" s="16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6">
        <v>0</v>
      </c>
      <c r="AF78" s="6">
        <v>0</v>
      </c>
      <c r="AG78" t="s">
        <v>236</v>
      </c>
      <c r="AH78" t="s">
        <v>229</v>
      </c>
      <c r="AI78" t="s">
        <v>229</v>
      </c>
      <c r="AJ78" s="2" t="s">
        <v>229</v>
      </c>
      <c r="AK78" s="2" t="s">
        <v>244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44" t="b">
        <v>0</v>
      </c>
      <c r="AP78" s="48" t="b">
        <v>0</v>
      </c>
      <c r="AQ78" s="48" t="b">
        <v>0</v>
      </c>
      <c r="AR78" s="48">
        <v>0</v>
      </c>
      <c r="AS78" s="48" t="b">
        <v>0</v>
      </c>
      <c r="AT78" s="7" t="b">
        <v>0</v>
      </c>
      <c r="AU78" s="40" t="str" cm="1">
        <f t="array" ref="AU78">_xlfn.XLOOKUP(PROPERTIES[[#This Row],[VEHIDCODE]],GRAPHICS_PROPERTIES[VEHIDCODE],GRAPHICS_PROPERTIES[TEMPLATE_ID]&amp;GRAPHICS_PROPERTIES[TEMPLATE_AMENDMENT_CODE])</f>
        <v>TPL_03C</v>
      </c>
    </row>
    <row r="79" spans="1:47" x14ac:dyDescent="0.35">
      <c r="A79" s="2" t="s">
        <v>2721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0" t="str">
        <f>_xlfn.XLOOKUP(PROPERTIES[[#This Row],[VEHIDCODE]],CONTROL[VEHIDCODE],CONTROL[ENGLISH])</f>
        <v>FS 880</v>
      </c>
      <c r="F79" t="s">
        <v>636</v>
      </c>
      <c r="G79" s="40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17</v>
      </c>
      <c r="J79">
        <v>0</v>
      </c>
      <c r="K79">
        <v>6</v>
      </c>
      <c r="L79">
        <v>0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3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0">
        <v>0</v>
      </c>
      <c r="AA79" s="19">
        <f>IFERROR(PROPERTIES[[#This Row],[TE_STARTING_KN]]/(PROPERTIES[[#This Row],[WEIGHT]]*9.81),0)</f>
        <v>0</v>
      </c>
      <c r="AB79" s="19">
        <v>0.2</v>
      </c>
      <c r="AC79" s="16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6">
        <v>0</v>
      </c>
      <c r="AF79" s="6">
        <v>0</v>
      </c>
      <c r="AG79" t="s">
        <v>231</v>
      </c>
      <c r="AH79" t="s">
        <v>229</v>
      </c>
      <c r="AI79" t="s">
        <v>229</v>
      </c>
      <c r="AJ79" s="2" t="s">
        <v>229</v>
      </c>
      <c r="AK79" s="2" t="s">
        <v>244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44" t="b">
        <v>0</v>
      </c>
      <c r="AP79" s="48" t="b">
        <v>0</v>
      </c>
      <c r="AQ79" s="48" t="b">
        <v>0</v>
      </c>
      <c r="AR79" s="48">
        <v>0</v>
      </c>
      <c r="AS79" s="48" t="b">
        <v>0</v>
      </c>
      <c r="AT79" s="7" t="b">
        <v>0</v>
      </c>
      <c r="AU79" s="40" t="str" cm="1">
        <f t="array" ref="AU79">_xlfn.XLOOKUP(PROPERTIES[[#This Row],[VEHIDCODE]],GRAPHICS_PROPERTIES[VEHIDCODE],GRAPHICS_PROPERTIES[TEMPLATE_ID]&amp;GRAPHICS_PROPERTIES[TEMPLATE_AMENDMENT_CODE])</f>
        <v>TPL_03C</v>
      </c>
    </row>
    <row r="80" spans="1:47" x14ac:dyDescent="0.35">
      <c r="A80" s="2" t="s">
        <v>2722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0" t="str">
        <f>_xlfn.XLOOKUP(PROPERTIES[[#This Row],[VEHIDCODE]],CONTROL[VEHIDCODE],CONTROL[ENGLISH])</f>
        <v>FCNEA 11B 2-8-0</v>
      </c>
      <c r="F80" t="s">
        <v>538</v>
      </c>
      <c r="G80" s="40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17</v>
      </c>
      <c r="J80">
        <v>0</v>
      </c>
      <c r="K80">
        <v>7</v>
      </c>
      <c r="L80">
        <v>0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3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0">
        <v>0</v>
      </c>
      <c r="AA80" s="19">
        <f>IFERROR(PROPERTIES[[#This Row],[TE_STARTING_KN]]/(PROPERTIES[[#This Row],[WEIGHT]]*9.81),0)</f>
        <v>0</v>
      </c>
      <c r="AB80" s="19">
        <v>0.22</v>
      </c>
      <c r="AC80" s="16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6">
        <v>0</v>
      </c>
      <c r="AF80" s="6">
        <v>4</v>
      </c>
      <c r="AG80" t="s">
        <v>237</v>
      </c>
      <c r="AH80" t="s">
        <v>229</v>
      </c>
      <c r="AI80" t="s">
        <v>229</v>
      </c>
      <c r="AJ80" s="2" t="s">
        <v>229</v>
      </c>
      <c r="AK80" s="2" t="s">
        <v>244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44" t="b">
        <v>0</v>
      </c>
      <c r="AP80" s="48" t="b">
        <v>0</v>
      </c>
      <c r="AQ80" s="48" t="b">
        <v>0</v>
      </c>
      <c r="AR80" s="48">
        <v>0</v>
      </c>
      <c r="AS80" s="48" t="b">
        <v>0</v>
      </c>
      <c r="AT80" s="7" t="b">
        <v>0</v>
      </c>
      <c r="AU80" s="40" t="str" cm="1">
        <f t="array" ref="AU80">_xlfn.XLOOKUP(PROPERTIES[[#This Row],[VEHIDCODE]],GRAPHICS_PROPERTIES[VEHIDCODE],GRAPHICS_PROPERTIES[TEMPLATE_ID]&amp;GRAPHICS_PROPERTIES[TEMPLATE_AMENDMENT_CODE])</f>
        <v>TPL_03A</v>
      </c>
    </row>
    <row r="81" spans="1:47" x14ac:dyDescent="0.35">
      <c r="A81" s="2" t="s">
        <v>2723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0" t="str">
        <f>_xlfn.XLOOKUP(PROPERTIES[[#This Row],[VEHIDCODE]],CONTROL[VEHIDCODE],CONTROL[ENGLISH])</f>
        <v>Schneider et Cie 140C</v>
      </c>
      <c r="F81" t="s">
        <v>602</v>
      </c>
      <c r="G81" s="40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17</v>
      </c>
      <c r="J81">
        <v>0</v>
      </c>
      <c r="K81">
        <v>7</v>
      </c>
      <c r="L81">
        <v>0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3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0">
        <v>0</v>
      </c>
      <c r="AA81" s="19">
        <f>IFERROR(PROPERTIES[[#This Row],[TE_STARTING_KN]]/(PROPERTIES[[#This Row],[WEIGHT]]*9.81),0)</f>
        <v>0</v>
      </c>
      <c r="AB81" s="19">
        <v>0.16</v>
      </c>
      <c r="AC81" s="16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6">
        <v>0</v>
      </c>
      <c r="AF81" s="6">
        <v>4</v>
      </c>
      <c r="AG81" t="s">
        <v>230</v>
      </c>
      <c r="AH81" t="s">
        <v>229</v>
      </c>
      <c r="AI81" t="s">
        <v>229</v>
      </c>
      <c r="AJ81" s="2" t="s">
        <v>229</v>
      </c>
      <c r="AK81" s="2" t="s">
        <v>244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44" t="b">
        <v>0</v>
      </c>
      <c r="AP81" s="48" t="b">
        <v>0</v>
      </c>
      <c r="AQ81" s="48" t="b">
        <v>0</v>
      </c>
      <c r="AR81" s="48">
        <v>0</v>
      </c>
      <c r="AS81" s="48" t="b">
        <v>0</v>
      </c>
      <c r="AT81" s="7" t="b">
        <v>0</v>
      </c>
      <c r="AU81" s="40" t="str" cm="1">
        <f t="array" ref="AU81">_xlfn.XLOOKUP(PROPERTIES[[#This Row],[VEHIDCODE]],GRAPHICS_PROPERTIES[VEHIDCODE],GRAPHICS_PROPERTIES[TEMPLATE_ID]&amp;GRAPHICS_PROPERTIES[TEMPLATE_AMENDMENT_CODE])</f>
        <v>TPL_03A</v>
      </c>
    </row>
    <row r="82" spans="1:47" x14ac:dyDescent="0.35">
      <c r="A82" s="2" t="s">
        <v>3472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0" t="str">
        <f>_xlfn.XLOOKUP(PROPERTIES[[#This Row],[VEHIDCODE]],CONTROL[VEHIDCODE],CONTROL[ENGLISH])</f>
        <v>Union Giesserei 2-8-2T</v>
      </c>
      <c r="F82" t="s">
        <v>602</v>
      </c>
      <c r="G82" s="40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17</v>
      </c>
      <c r="J82">
        <v>0</v>
      </c>
      <c r="K82">
        <v>7</v>
      </c>
      <c r="L82">
        <v>0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3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0">
        <v>0</v>
      </c>
      <c r="AA82" s="19">
        <f>IFERROR(PROPERTIES[[#This Row],[TE_STARTING_KN]]/(PROPERTIES[[#This Row],[WEIGHT]]*9.81),0)</f>
        <v>0</v>
      </c>
      <c r="AB82" s="19">
        <v>0.18</v>
      </c>
      <c r="AC82" s="16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6">
        <v>0</v>
      </c>
      <c r="AF82" s="6">
        <v>0</v>
      </c>
      <c r="AG82" t="s">
        <v>230</v>
      </c>
      <c r="AH82" t="s">
        <v>229</v>
      </c>
      <c r="AI82" t="s">
        <v>229</v>
      </c>
      <c r="AJ82" s="2" t="s">
        <v>229</v>
      </c>
      <c r="AK82" s="2" t="s">
        <v>244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44" t="b">
        <v>0</v>
      </c>
      <c r="AP82" s="48" t="b">
        <v>0</v>
      </c>
      <c r="AQ82" s="48" t="b">
        <v>0</v>
      </c>
      <c r="AR82" s="48">
        <v>0</v>
      </c>
      <c r="AS82" s="48" t="b">
        <v>0</v>
      </c>
      <c r="AT82" s="7" t="b">
        <v>0</v>
      </c>
      <c r="AU82" s="40" t="str" cm="1">
        <f t="array" ref="AU82">_xlfn.XLOOKUP(PROPERTIES[[#This Row],[VEHIDCODE]],GRAPHICS_PROPERTIES[VEHIDCODE],GRAPHICS_PROPERTIES[TEMPLATE_ID]&amp;GRAPHICS_PROPERTIES[TEMPLATE_AMENDMENT_CODE])</f>
        <v>TPL_03C</v>
      </c>
    </row>
    <row r="83" spans="1:47" x14ac:dyDescent="0.35">
      <c r="A83" s="2" t="s">
        <v>2724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0" t="str">
        <f>_xlfn.XLOOKUP(PROPERTIES[[#This Row],[VEHIDCODE]],CONTROL[VEHIDCODE],CONTROL[ENGLISH])</f>
        <v>GWR 4900 'Hall'</v>
      </c>
      <c r="F83" t="s">
        <v>603</v>
      </c>
      <c r="G83" s="40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17</v>
      </c>
      <c r="J83">
        <v>0</v>
      </c>
      <c r="K83">
        <v>8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3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0">
        <v>0</v>
      </c>
      <c r="AA83" s="19">
        <f>IFERROR(PROPERTIES[[#This Row],[TE_STARTING_KN]]/(PROPERTIES[[#This Row],[WEIGHT]]*9.81),0)</f>
        <v>0</v>
      </c>
      <c r="AB83" s="19">
        <v>0.11</v>
      </c>
      <c r="AC83" s="16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6">
        <v>0</v>
      </c>
      <c r="AF83" s="6">
        <v>6</v>
      </c>
      <c r="AG83" t="s">
        <v>234</v>
      </c>
      <c r="AH83" t="s">
        <v>229</v>
      </c>
      <c r="AI83" t="s">
        <v>229</v>
      </c>
      <c r="AJ83" s="2" t="s">
        <v>229</v>
      </c>
      <c r="AK83" s="2" t="s">
        <v>244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44" t="b">
        <v>0</v>
      </c>
      <c r="AP83" s="48" t="b">
        <v>0</v>
      </c>
      <c r="AQ83" s="48" t="b">
        <v>0</v>
      </c>
      <c r="AR83" s="48">
        <v>0</v>
      </c>
      <c r="AS83" s="48" t="b">
        <v>0</v>
      </c>
      <c r="AT83" s="7" t="b">
        <v>0</v>
      </c>
      <c r="AU83" s="40" t="str" cm="1">
        <f t="array" ref="AU83">_xlfn.XLOOKUP(PROPERTIES[[#This Row],[VEHIDCODE]],GRAPHICS_PROPERTIES[VEHIDCODE],GRAPHICS_PROPERTIES[TEMPLATE_ID]&amp;GRAPHICS_PROPERTIES[TEMPLATE_AMENDMENT_CODE])</f>
        <v>TPL_03A</v>
      </c>
    </row>
    <row r="84" spans="1:47" x14ac:dyDescent="0.35">
      <c r="A84" s="2" t="s">
        <v>2725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0" t="str">
        <f>_xlfn.XLOOKUP(PROPERTIES[[#This Row],[VEHIDCODE]],CONTROL[VEHIDCODE],CONTROL[ENGLISH])</f>
        <v>GWR 5700 'Pannier'</v>
      </c>
      <c r="F84" t="s">
        <v>603</v>
      </c>
      <c r="G84" s="40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17</v>
      </c>
      <c r="J84">
        <v>0</v>
      </c>
      <c r="K84">
        <v>6</v>
      </c>
      <c r="L84">
        <v>0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3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0">
        <v>0</v>
      </c>
      <c r="AA84" s="19">
        <f>IFERROR(PROPERTIES[[#This Row],[TE_STARTING_KN]]/(PROPERTIES[[#This Row],[WEIGHT]]*9.81),0)</f>
        <v>0</v>
      </c>
      <c r="AB84" s="19">
        <v>0.21</v>
      </c>
      <c r="AC84" s="16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6">
        <v>0</v>
      </c>
      <c r="AF84" s="6">
        <v>0</v>
      </c>
      <c r="AG84" t="s">
        <v>234</v>
      </c>
      <c r="AH84" t="s">
        <v>229</v>
      </c>
      <c r="AI84" t="s">
        <v>229</v>
      </c>
      <c r="AJ84" s="2" t="s">
        <v>229</v>
      </c>
      <c r="AK84" s="2" t="s">
        <v>244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44" t="b">
        <v>0</v>
      </c>
      <c r="AP84" s="48" t="b">
        <v>0</v>
      </c>
      <c r="AQ84" s="48" t="b">
        <v>0</v>
      </c>
      <c r="AR84" s="48">
        <v>0</v>
      </c>
      <c r="AS84" s="48" t="b">
        <v>0</v>
      </c>
      <c r="AT84" s="7" t="b">
        <v>0</v>
      </c>
      <c r="AU84" s="40" t="str" cm="1">
        <f t="array" ref="AU84">_xlfn.XLOOKUP(PROPERTIES[[#This Row],[VEHIDCODE]],GRAPHICS_PROPERTIES[VEHIDCODE],GRAPHICS_PROPERTIES[TEMPLATE_ID]&amp;GRAPHICS_PROPERTIES[TEMPLATE_AMENDMENT_CODE])</f>
        <v>TPL_03C</v>
      </c>
    </row>
    <row r="85" spans="1:47" x14ac:dyDescent="0.35">
      <c r="A85" s="2" t="s">
        <v>2726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0" t="str">
        <f>_xlfn.XLOOKUP(PROPERTIES[[#This Row],[VEHIDCODE]],CONTROL[VEHIDCODE],CONTROL[ENGLISH])</f>
        <v>Henschel &amp; Sohn series 6300</v>
      </c>
      <c r="F85" t="s">
        <v>692</v>
      </c>
      <c r="G85" s="40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17</v>
      </c>
      <c r="J85">
        <v>0</v>
      </c>
      <c r="K85">
        <v>8</v>
      </c>
      <c r="L85">
        <v>0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3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0">
        <v>0</v>
      </c>
      <c r="AA85" s="19">
        <f>IFERROR(PROPERTIES[[#This Row],[TE_STARTING_KN]]/(PROPERTIES[[#This Row],[WEIGHT]]*9.81),0)</f>
        <v>0</v>
      </c>
      <c r="AB85" s="19">
        <v>0.12</v>
      </c>
      <c r="AC85" s="16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6">
        <v>0</v>
      </c>
      <c r="AF85" s="6">
        <v>0</v>
      </c>
      <c r="AG85" t="s">
        <v>230</v>
      </c>
      <c r="AH85" t="s">
        <v>229</v>
      </c>
      <c r="AI85" t="s">
        <v>229</v>
      </c>
      <c r="AJ85" s="2" t="s">
        <v>229</v>
      </c>
      <c r="AK85" s="2" t="s">
        <v>244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44" t="b">
        <v>0</v>
      </c>
      <c r="AP85" s="48" t="b">
        <v>0</v>
      </c>
      <c r="AQ85" s="48" t="b">
        <v>0</v>
      </c>
      <c r="AR85" s="48">
        <v>0</v>
      </c>
      <c r="AS85" s="48" t="b">
        <v>0</v>
      </c>
      <c r="AT85" s="7" t="b">
        <v>0</v>
      </c>
      <c r="AU85" s="40" t="str" cm="1">
        <f t="array" ref="AU85">_xlfn.XLOOKUP(PROPERTIES[[#This Row],[VEHIDCODE]],GRAPHICS_PROPERTIES[VEHIDCODE],GRAPHICS_PROPERTIES[TEMPLATE_ID]&amp;GRAPHICS_PROPERTIES[TEMPLATE_AMENDMENT_CODE])</f>
        <v>TPL_03C</v>
      </c>
    </row>
    <row r="86" spans="1:47" x14ac:dyDescent="0.35">
      <c r="A86" s="2" t="s">
        <v>2727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0" t="str">
        <f>_xlfn.XLOOKUP(PROPERTIES[[#This Row],[VEHIDCODE]],CONTROL[VEHIDCODE],CONTROL[ENGLISH])</f>
        <v>Baldwin 5000 'Madame Queen'</v>
      </c>
      <c r="F86" t="s">
        <v>757</v>
      </c>
      <c r="G86" s="40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17</v>
      </c>
      <c r="J86">
        <v>0</v>
      </c>
      <c r="K86">
        <v>8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3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0">
        <v>0</v>
      </c>
      <c r="AA86" s="19">
        <f>IFERROR(PROPERTIES[[#This Row],[TE_STARTING_KN]]/(PROPERTIES[[#This Row],[WEIGHT]]*9.81),0)</f>
        <v>0</v>
      </c>
      <c r="AB86" s="19">
        <v>0.11</v>
      </c>
      <c r="AC86" s="16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6">
        <v>0</v>
      </c>
      <c r="AF86" s="6">
        <v>6</v>
      </c>
      <c r="AG86" t="s">
        <v>235</v>
      </c>
      <c r="AH86" t="s">
        <v>229</v>
      </c>
      <c r="AI86" t="s">
        <v>229</v>
      </c>
      <c r="AJ86" s="2" t="s">
        <v>229</v>
      </c>
      <c r="AK86" s="2" t="s">
        <v>244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44" t="b">
        <v>0</v>
      </c>
      <c r="AP86" s="48" t="b">
        <v>0</v>
      </c>
      <c r="AQ86" s="48" t="b">
        <v>0</v>
      </c>
      <c r="AR86" s="48">
        <v>0</v>
      </c>
      <c r="AS86" s="48" t="b">
        <v>0</v>
      </c>
      <c r="AT86" s="7" t="b">
        <v>0</v>
      </c>
      <c r="AU86" s="40" t="str" cm="1">
        <f t="array" ref="AU86">_xlfn.XLOOKUP(PROPERTIES[[#This Row],[VEHIDCODE]],GRAPHICS_PROPERTIES[VEHIDCODE],GRAPHICS_PROPERTIES[TEMPLATE_ID]&amp;GRAPHICS_PROPERTIES[TEMPLATE_AMENDMENT_CODE])</f>
        <v>TPL_03A</v>
      </c>
    </row>
    <row r="87" spans="1:47" x14ac:dyDescent="0.35">
      <c r="A87" s="2" t="s">
        <v>2728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0" t="str">
        <f>_xlfn.XLOOKUP(PROPERTIES[[#This Row],[VEHIDCODE]],CONTROL[VEHIDCODE],CONTROL[ENGLISH])</f>
        <v>Schwartzkopff S 10 'Prussian'</v>
      </c>
      <c r="F87" t="s">
        <v>584</v>
      </c>
      <c r="G87" s="40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17</v>
      </c>
      <c r="J87">
        <v>0</v>
      </c>
      <c r="K87">
        <v>8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3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0">
        <v>0</v>
      </c>
      <c r="AA87" s="19">
        <f>IFERROR(PROPERTIES[[#This Row],[TE_STARTING_KN]]/(PROPERTIES[[#This Row],[WEIGHT]]*9.81),0)</f>
        <v>0</v>
      </c>
      <c r="AB87" s="19">
        <v>0.1</v>
      </c>
      <c r="AC87" s="16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6">
        <v>0</v>
      </c>
      <c r="AF87" s="6">
        <v>4</v>
      </c>
      <c r="AG87" t="s">
        <v>236</v>
      </c>
      <c r="AH87" t="s">
        <v>229</v>
      </c>
      <c r="AI87" t="s">
        <v>229</v>
      </c>
      <c r="AJ87" s="2" t="s">
        <v>229</v>
      </c>
      <c r="AK87" s="2" t="s">
        <v>244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44" t="b">
        <v>0</v>
      </c>
      <c r="AP87" s="48" t="b">
        <v>0</v>
      </c>
      <c r="AQ87" s="48" t="b">
        <v>0</v>
      </c>
      <c r="AR87" s="48">
        <v>0</v>
      </c>
      <c r="AS87" s="48" t="b">
        <v>0</v>
      </c>
      <c r="AT87" s="7" t="b">
        <v>0</v>
      </c>
      <c r="AU87" s="40" t="str" cm="1">
        <f t="array" ref="AU87">_xlfn.XLOOKUP(PROPERTIES[[#This Row],[VEHIDCODE]],GRAPHICS_PROPERTIES[VEHIDCODE],GRAPHICS_PROPERTIES[TEMPLATE_ID]&amp;GRAPHICS_PROPERTIES[TEMPLATE_AMENDMENT_CODE])</f>
        <v>TPL_03A</v>
      </c>
    </row>
    <row r="88" spans="1:47" x14ac:dyDescent="0.35">
      <c r="A88" s="2" t="s">
        <v>2729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0" t="str">
        <f>_xlfn.XLOOKUP(PROPERTIES[[#This Row],[VEHIDCODE]],CONTROL[VEHIDCODE],CONTROL[ENGLISH])</f>
        <v>LMS 5MT 'Black Five'</v>
      </c>
      <c r="F88" t="s">
        <v>603</v>
      </c>
      <c r="G88" s="40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17</v>
      </c>
      <c r="J88">
        <v>0</v>
      </c>
      <c r="K88">
        <v>8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3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0">
        <v>0</v>
      </c>
      <c r="AA88" s="19">
        <f>IFERROR(PROPERTIES[[#This Row],[TE_STARTING_KN]]/(PROPERTIES[[#This Row],[WEIGHT]]*9.81),0)</f>
        <v>0</v>
      </c>
      <c r="AB88" s="19">
        <v>0.11</v>
      </c>
      <c r="AC88" s="16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6">
        <v>0</v>
      </c>
      <c r="AF88" s="6">
        <v>5</v>
      </c>
      <c r="AG88" t="s">
        <v>234</v>
      </c>
      <c r="AH88" t="s">
        <v>229</v>
      </c>
      <c r="AI88" t="s">
        <v>229</v>
      </c>
      <c r="AJ88" s="2" t="s">
        <v>229</v>
      </c>
      <c r="AK88" s="2" t="s">
        <v>244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44" t="b">
        <v>0</v>
      </c>
      <c r="AP88" s="48" t="b">
        <v>0</v>
      </c>
      <c r="AQ88" s="48" t="b">
        <v>0</v>
      </c>
      <c r="AR88" s="48">
        <v>0</v>
      </c>
      <c r="AS88" s="48" t="b">
        <v>0</v>
      </c>
      <c r="AT88" s="7" t="b">
        <v>0</v>
      </c>
      <c r="AU88" s="40" t="str" cm="1">
        <f t="array" ref="AU88">_xlfn.XLOOKUP(PROPERTIES[[#This Row],[VEHIDCODE]],GRAPHICS_PROPERTIES[VEHIDCODE],GRAPHICS_PROPERTIES[TEMPLATE_ID]&amp;GRAPHICS_PROPERTIES[TEMPLATE_AMENDMENT_CODE])</f>
        <v>TPL_03A</v>
      </c>
    </row>
    <row r="89" spans="1:47" x14ac:dyDescent="0.35">
      <c r="A89" s="2" t="s">
        <v>2730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0" t="str">
        <f>_xlfn.XLOOKUP(PROPERTIES[[#This Row],[VEHIDCODE]],CONTROL[VEHIDCODE],CONTROL[ENGLISH])</f>
        <v>Kolomna 9P</v>
      </c>
      <c r="F89" t="s">
        <v>716</v>
      </c>
      <c r="G89" s="40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17</v>
      </c>
      <c r="J89">
        <v>0</v>
      </c>
      <c r="K89">
        <v>6</v>
      </c>
      <c r="L89">
        <v>0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3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0">
        <v>0</v>
      </c>
      <c r="AA89" s="19">
        <f>IFERROR(PROPERTIES[[#This Row],[TE_STARTING_KN]]/(PROPERTIES[[#This Row],[WEIGHT]]*9.81),0)</f>
        <v>0</v>
      </c>
      <c r="AB89" s="19">
        <v>0.18</v>
      </c>
      <c r="AC89" s="16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6">
        <v>0</v>
      </c>
      <c r="AF89" s="6">
        <v>0</v>
      </c>
      <c r="AG89" t="s">
        <v>1951</v>
      </c>
      <c r="AH89" t="s">
        <v>229</v>
      </c>
      <c r="AI89" t="s">
        <v>229</v>
      </c>
      <c r="AJ89" s="2" t="s">
        <v>229</v>
      </c>
      <c r="AK89" s="2" t="s">
        <v>244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44" t="b">
        <v>0</v>
      </c>
      <c r="AP89" s="48" t="b">
        <v>0</v>
      </c>
      <c r="AQ89" s="48" t="b">
        <v>0</v>
      </c>
      <c r="AR89" s="48">
        <v>0</v>
      </c>
      <c r="AS89" s="48" t="b">
        <v>0</v>
      </c>
      <c r="AT89" s="7" t="b">
        <v>0</v>
      </c>
      <c r="AU89" s="40" t="str" cm="1">
        <f t="array" ref="AU89">_xlfn.XLOOKUP(PROPERTIES[[#This Row],[VEHIDCODE]],GRAPHICS_PROPERTIES[VEHIDCODE],GRAPHICS_PROPERTIES[TEMPLATE_ID]&amp;GRAPHICS_PROPERTIES[TEMPLATE_AMENDMENT_CODE])</f>
        <v>TPL_03C</v>
      </c>
    </row>
    <row r="90" spans="1:47" x14ac:dyDescent="0.35">
      <c r="A90" s="2" t="s">
        <v>2731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0" t="str">
        <f>_xlfn.XLOOKUP(PROPERTIES[[#This Row],[VEHIDCODE]],CONTROL[VEHIDCODE],CONTROL[ENGLISH])</f>
        <v>LNER A4 'Gresley'</v>
      </c>
      <c r="F90" t="s">
        <v>603</v>
      </c>
      <c r="G90" s="40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17</v>
      </c>
      <c r="J90">
        <v>0</v>
      </c>
      <c r="K90">
        <v>8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3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0">
        <v>0</v>
      </c>
      <c r="AA90" s="19">
        <f>IFERROR(PROPERTIES[[#This Row],[TE_STARTING_KN]]/(PROPERTIES[[#This Row],[WEIGHT]]*9.81),0)</f>
        <v>0</v>
      </c>
      <c r="AB90" s="19">
        <v>0.09</v>
      </c>
      <c r="AC90" s="16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6">
        <v>0</v>
      </c>
      <c r="AF90" s="6">
        <v>6</v>
      </c>
      <c r="AG90" t="s">
        <v>234</v>
      </c>
      <c r="AH90" t="s">
        <v>229</v>
      </c>
      <c r="AI90" t="s">
        <v>229</v>
      </c>
      <c r="AJ90" s="2" t="s">
        <v>229</v>
      </c>
      <c r="AK90" s="2" t="s">
        <v>244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44" t="b">
        <v>0</v>
      </c>
      <c r="AP90" s="48" t="b">
        <v>0</v>
      </c>
      <c r="AQ90" s="48" t="b">
        <v>0</v>
      </c>
      <c r="AR90" s="48">
        <v>0</v>
      </c>
      <c r="AS90" s="48" t="b">
        <v>0</v>
      </c>
      <c r="AT90" s="7" t="b">
        <v>0</v>
      </c>
      <c r="AU90" s="40" t="str" cm="1">
        <f t="array" ref="AU90">_xlfn.XLOOKUP(PROPERTIES[[#This Row],[VEHIDCODE]],GRAPHICS_PROPERTIES[VEHIDCODE],GRAPHICS_PROPERTIES[TEMPLATE_ID]&amp;GRAPHICS_PROPERTIES[TEMPLATE_AMENDMENT_CODE])</f>
        <v>TPL_03A</v>
      </c>
    </row>
    <row r="91" spans="1:47" x14ac:dyDescent="0.35">
      <c r="A91" s="2" t="s">
        <v>2732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0" t="str">
        <f>_xlfn.XLOOKUP(PROPERTIES[[#This Row],[VEHIDCODE]],CONTROL[VEHIDCODE],CONTROL[ENGLISH])</f>
        <v>MLW 'Royal Hudson'</v>
      </c>
      <c r="F91" t="s">
        <v>565</v>
      </c>
      <c r="G91" s="40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17</v>
      </c>
      <c r="J91">
        <v>0</v>
      </c>
      <c r="K91">
        <v>8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3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0">
        <v>0</v>
      </c>
      <c r="AA91" s="19">
        <f>IFERROR(PROPERTIES[[#This Row],[TE_STARTING_KN]]/(PROPERTIES[[#This Row],[WEIGHT]]*9.81),0)</f>
        <v>0</v>
      </c>
      <c r="AB91" s="19">
        <v>7.0000000000000007E-2</v>
      </c>
      <c r="AC91" s="16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6">
        <v>0</v>
      </c>
      <c r="AF91" s="6">
        <v>6</v>
      </c>
      <c r="AG91" t="s">
        <v>235</v>
      </c>
      <c r="AH91" t="s">
        <v>229</v>
      </c>
      <c r="AI91" t="s">
        <v>229</v>
      </c>
      <c r="AJ91" s="2" t="s">
        <v>229</v>
      </c>
      <c r="AK91" s="2" t="s">
        <v>244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44" t="b">
        <v>0</v>
      </c>
      <c r="AP91" s="48" t="b">
        <v>0</v>
      </c>
      <c r="AQ91" s="48" t="b">
        <v>0</v>
      </c>
      <c r="AR91" s="48">
        <v>0</v>
      </c>
      <c r="AS91" s="48" t="b">
        <v>0</v>
      </c>
      <c r="AT91" s="7" t="b">
        <v>0</v>
      </c>
      <c r="AU91" s="40" t="str" cm="1">
        <f t="array" ref="AU91">_xlfn.XLOOKUP(PROPERTIES[[#This Row],[VEHIDCODE]],GRAPHICS_PROPERTIES[VEHIDCODE],GRAPHICS_PROPERTIES[TEMPLATE_ID]&amp;GRAPHICS_PROPERTIES[TEMPLATE_AMENDMENT_CODE])</f>
        <v>TPL_03A</v>
      </c>
    </row>
    <row r="92" spans="1:47" x14ac:dyDescent="0.35">
      <c r="A92" s="2" t="s">
        <v>2733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0" t="str">
        <f>_xlfn.XLOOKUP(PROPERTIES[[#This Row],[VEHIDCODE]],CONTROL[VEHIDCODE],CONTROL[ENGLISH])</f>
        <v>NOHAB 4-6-2 'F'</v>
      </c>
      <c r="F92" t="s">
        <v>586</v>
      </c>
      <c r="G92" s="40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17</v>
      </c>
      <c r="J92">
        <v>0</v>
      </c>
      <c r="K92">
        <v>8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3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0">
        <v>0</v>
      </c>
      <c r="AA92" s="19">
        <f>IFERROR(PROPERTIES[[#This Row],[TE_STARTING_KN]]/(PROPERTIES[[#This Row],[WEIGHT]]*9.81),0)</f>
        <v>0</v>
      </c>
      <c r="AB92" s="19">
        <v>0.09</v>
      </c>
      <c r="AC92" s="16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6">
        <v>0</v>
      </c>
      <c r="AF92" s="6">
        <v>4</v>
      </c>
      <c r="AG92" t="s">
        <v>234</v>
      </c>
      <c r="AH92" t="s">
        <v>229</v>
      </c>
      <c r="AI92" t="s">
        <v>229</v>
      </c>
      <c r="AJ92" s="2" t="s">
        <v>229</v>
      </c>
      <c r="AK92" s="2" t="s">
        <v>244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44" t="b">
        <v>0</v>
      </c>
      <c r="AP92" s="48" t="b">
        <v>0</v>
      </c>
      <c r="AQ92" s="48" t="b">
        <v>0</v>
      </c>
      <c r="AR92" s="48">
        <v>0</v>
      </c>
      <c r="AS92" s="48" t="b">
        <v>0</v>
      </c>
      <c r="AT92" s="7" t="b">
        <v>0</v>
      </c>
      <c r="AU92" s="40" t="str" cm="1">
        <f t="array" ref="AU92">_xlfn.XLOOKUP(PROPERTIES[[#This Row],[VEHIDCODE]],GRAPHICS_PROPERTIES[VEHIDCODE],GRAPHICS_PROPERTIES[TEMPLATE_ID]&amp;GRAPHICS_PROPERTIES[TEMPLATE_AMENDMENT_CODE])</f>
        <v>TPL_03A</v>
      </c>
    </row>
    <row r="93" spans="1:47" x14ac:dyDescent="0.35">
      <c r="A93" s="2" t="s">
        <v>2734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0" t="str">
        <f>_xlfn.XLOOKUP(PROPERTIES[[#This Row],[VEHIDCODE]],CONTROL[VEHIDCODE],CONTROL[ENGLISH])</f>
        <v>GGL/HAS 52</v>
      </c>
      <c r="F93" t="s">
        <v>584</v>
      </c>
      <c r="G93" s="40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17</v>
      </c>
      <c r="J93">
        <v>0</v>
      </c>
      <c r="K93">
        <v>8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3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0">
        <v>0</v>
      </c>
      <c r="AA93" s="19">
        <f>IFERROR(PROPERTIES[[#This Row],[TE_STARTING_KN]]/(PROPERTIES[[#This Row],[WEIGHT]]*9.81),0)</f>
        <v>0</v>
      </c>
      <c r="AB93" s="19">
        <v>0.12</v>
      </c>
      <c r="AC93" s="16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6">
        <v>0</v>
      </c>
      <c r="AF93" s="6">
        <v>6</v>
      </c>
      <c r="AG93" t="s">
        <v>239</v>
      </c>
      <c r="AH93" t="s">
        <v>238</v>
      </c>
      <c r="AI93" t="s">
        <v>229</v>
      </c>
      <c r="AJ93" s="2" t="s">
        <v>229</v>
      </c>
      <c r="AK93" s="2" t="s">
        <v>244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44" t="b">
        <v>0</v>
      </c>
      <c r="AP93" s="48" t="b">
        <v>0</v>
      </c>
      <c r="AQ93" s="48" t="b">
        <v>0</v>
      </c>
      <c r="AR93" s="48">
        <v>0</v>
      </c>
      <c r="AS93" s="48" t="b">
        <v>0</v>
      </c>
      <c r="AT93" s="7" t="b">
        <v>0</v>
      </c>
      <c r="AU93" s="40" t="str" cm="1">
        <f t="array" ref="AU93">_xlfn.XLOOKUP(PROPERTIES[[#This Row],[VEHIDCODE]],GRAPHICS_PROPERTIES[VEHIDCODE],GRAPHICS_PROPERTIES[TEMPLATE_ID]&amp;GRAPHICS_PROPERTIES[TEMPLATE_AMENDMENT_CODE])</f>
        <v>TPL_03A</v>
      </c>
    </row>
    <row r="94" spans="1:47" x14ac:dyDescent="0.35">
      <c r="A94" s="2" t="s">
        <v>2735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0" t="str">
        <f>_xlfn.XLOOKUP(PROPERTIES[[#This Row],[VEHIDCODE]],CONTROL[VEHIDCODE],CONTROL[ENGLISH])</f>
        <v>Doncaster/Darlington 'Peppercorn'</v>
      </c>
      <c r="F94" t="s">
        <v>603</v>
      </c>
      <c r="G94" s="40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17</v>
      </c>
      <c r="J94">
        <v>0</v>
      </c>
      <c r="K94">
        <v>8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3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0">
        <v>0</v>
      </c>
      <c r="AA94" s="19">
        <f>IFERROR(PROPERTIES[[#This Row],[TE_STARTING_KN]]/(PROPERTIES[[#This Row],[WEIGHT]]*9.81),0)</f>
        <v>0</v>
      </c>
      <c r="AB94" s="19">
        <v>0.11</v>
      </c>
      <c r="AC94" s="16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6">
        <v>0</v>
      </c>
      <c r="AF94" s="6">
        <v>5</v>
      </c>
      <c r="AG94" t="s">
        <v>234</v>
      </c>
      <c r="AH94" t="s">
        <v>229</v>
      </c>
      <c r="AI94" t="s">
        <v>229</v>
      </c>
      <c r="AJ94" s="2" t="s">
        <v>229</v>
      </c>
      <c r="AK94" s="2" t="s">
        <v>244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44" t="b">
        <v>0</v>
      </c>
      <c r="AP94" s="48" t="b">
        <v>0</v>
      </c>
      <c r="AQ94" s="48" t="b">
        <v>0</v>
      </c>
      <c r="AR94" s="48">
        <v>0</v>
      </c>
      <c r="AS94" s="48" t="b">
        <v>0</v>
      </c>
      <c r="AT94" s="7" t="b">
        <v>0</v>
      </c>
      <c r="AU94" s="40" t="str" cm="1">
        <f t="array" ref="AU94">_xlfn.XLOOKUP(PROPERTIES[[#This Row],[VEHIDCODE]],GRAPHICS_PROPERTIES[VEHIDCODE],GRAPHICS_PROPERTIES[TEMPLATE_ID]&amp;GRAPHICS_PROPERTIES[TEMPLATE_AMENDMENT_CODE])</f>
        <v>TPL_03A</v>
      </c>
    </row>
    <row r="95" spans="1:47" x14ac:dyDescent="0.35">
      <c r="A95" s="2" t="s">
        <v>2736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0" t="str">
        <f>_xlfn.XLOOKUP(PROPERTIES[[#This Row],[VEHIDCODE]],CONTROL[VEHIDCODE],CONTROL[ENGLISH])</f>
        <v>Henschel &amp; Sohn 'Condenser'</v>
      </c>
      <c r="F95" t="s">
        <v>771</v>
      </c>
      <c r="G95" s="40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17</v>
      </c>
      <c r="J95">
        <v>0</v>
      </c>
      <c r="K95">
        <v>8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3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0">
        <v>201</v>
      </c>
      <c r="AA95" s="19">
        <f>IFERROR(PROPERTIES[[#This Row],[TE_STARTING_KN]]/(PROPERTIES[[#This Row],[WEIGHT]]*9.81),0)</f>
        <v>8.8698253835868504E-2</v>
      </c>
      <c r="AB95" s="19">
        <v>0</v>
      </c>
      <c r="AC95" s="16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6">
        <v>0</v>
      </c>
      <c r="AF95" s="6">
        <v>5</v>
      </c>
      <c r="AG95" t="s">
        <v>233</v>
      </c>
      <c r="AH95" t="s">
        <v>229</v>
      </c>
      <c r="AI95" t="s">
        <v>229</v>
      </c>
      <c r="AJ95" s="2" t="s">
        <v>229</v>
      </c>
      <c r="AK95" s="2" t="s">
        <v>244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44" t="b">
        <v>0</v>
      </c>
      <c r="AP95" s="48" t="b">
        <v>0</v>
      </c>
      <c r="AQ95" s="48" t="b">
        <v>0</v>
      </c>
      <c r="AR95" s="48">
        <v>0</v>
      </c>
      <c r="AS95" s="48" t="b">
        <v>0</v>
      </c>
      <c r="AT95" s="7" t="b">
        <v>0</v>
      </c>
      <c r="AU95" s="40" t="str" cm="1">
        <f t="array" ref="AU95">_xlfn.XLOOKUP(PROPERTIES[[#This Row],[VEHIDCODE]],GRAPHICS_PROPERTIES[VEHIDCODE],GRAPHICS_PROPERTIES[TEMPLATE_ID]&amp;GRAPHICS_PROPERTIES[TEMPLATE_AMENDMENT_CODE])</f>
        <v>TPL_03A</v>
      </c>
    </row>
    <row r="96" spans="1:47" x14ac:dyDescent="0.35">
      <c r="A96" s="2" t="s">
        <v>2737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0" t="str">
        <f>_xlfn.XLOOKUP(PROPERTIES[[#This Row],[VEHIDCODE]],CONTROL[VEHIDCODE],CONTROL[ENGLISH])</f>
        <v>Kolomna P36</v>
      </c>
      <c r="F96" t="s">
        <v>716</v>
      </c>
      <c r="G96" s="40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17</v>
      </c>
      <c r="J96">
        <v>0</v>
      </c>
      <c r="K96">
        <v>8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3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0">
        <v>176</v>
      </c>
      <c r="AA96" s="19">
        <f>IFERROR(PROPERTIES[[#This Row],[TE_STARTING_KN]]/(PROPERTIES[[#This Row],[WEIGHT]]*9.81),0)</f>
        <v>7.0633372663279473E-2</v>
      </c>
      <c r="AB96" s="19">
        <v>0</v>
      </c>
      <c r="AC96" s="16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6">
        <v>0</v>
      </c>
      <c r="AF96" s="6">
        <v>6</v>
      </c>
      <c r="AG96" t="s">
        <v>1951</v>
      </c>
      <c r="AH96" t="s">
        <v>229</v>
      </c>
      <c r="AI96" t="s">
        <v>229</v>
      </c>
      <c r="AJ96" s="2" t="s">
        <v>229</v>
      </c>
      <c r="AK96" s="2" t="s">
        <v>244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44" t="b">
        <v>0</v>
      </c>
      <c r="AP96" s="48" t="b">
        <v>0</v>
      </c>
      <c r="AQ96" s="48" t="b">
        <v>0</v>
      </c>
      <c r="AR96" s="48">
        <v>0</v>
      </c>
      <c r="AS96" s="48" t="b">
        <v>0</v>
      </c>
      <c r="AT96" s="7" t="b">
        <v>0</v>
      </c>
      <c r="AU96" s="40" t="str" cm="1">
        <f t="array" ref="AU96">_xlfn.XLOOKUP(PROPERTIES[[#This Row],[VEHIDCODE]],GRAPHICS_PROPERTIES[VEHIDCODE],GRAPHICS_PROPERTIES[TEMPLATE_ID]&amp;GRAPHICS_PROPERTIES[TEMPLATE_AMENDMENT_CODE])</f>
        <v>TPL_03A</v>
      </c>
    </row>
    <row r="97" spans="1:47" x14ac:dyDescent="0.35">
      <c r="A97" s="2" t="s">
        <v>2738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0" t="str">
        <f>_xlfn.XLOOKUP(PROPERTIES[[#This Row],[VEHIDCODE]],CONTROL[VEHIDCODE],CONTROL[ENGLISH])</f>
        <v>ANF/DEL 150B</v>
      </c>
      <c r="F97" t="s">
        <v>602</v>
      </c>
      <c r="G97" s="40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17</v>
      </c>
      <c r="J97">
        <v>0</v>
      </c>
      <c r="K97">
        <v>8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3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0">
        <v>253</v>
      </c>
      <c r="AA97" s="19">
        <f>IFERROR(PROPERTIES[[#This Row],[TE_STARTING_KN]]/(PROPERTIES[[#This Row],[WEIGHT]]*9.81),0)</f>
        <v>0.21672277473680601</v>
      </c>
      <c r="AB97" s="19">
        <v>0</v>
      </c>
      <c r="AC97" s="16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6">
        <v>0</v>
      </c>
      <c r="AF97" s="6">
        <v>5</v>
      </c>
      <c r="AG97" t="s">
        <v>230</v>
      </c>
      <c r="AH97" t="s">
        <v>229</v>
      </c>
      <c r="AI97" t="s">
        <v>229</v>
      </c>
      <c r="AJ97" s="2" t="s">
        <v>229</v>
      </c>
      <c r="AK97" s="2" t="s">
        <v>244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44" t="b">
        <v>0</v>
      </c>
      <c r="AP97" s="48" t="b">
        <v>0</v>
      </c>
      <c r="AQ97" s="48" t="b">
        <v>0</v>
      </c>
      <c r="AR97" s="48">
        <v>0</v>
      </c>
      <c r="AS97" s="48" t="b">
        <v>0</v>
      </c>
      <c r="AT97" s="7" t="b">
        <v>0</v>
      </c>
      <c r="AU97" s="40" t="str" cm="1">
        <f t="array" ref="AU97">_xlfn.XLOOKUP(PROPERTIES[[#This Row],[VEHIDCODE]],GRAPHICS_PROPERTIES[VEHIDCODE],GRAPHICS_PROPERTIES[TEMPLATE_ID]&amp;GRAPHICS_PROPERTIES[TEMPLATE_AMENDMENT_CODE])</f>
        <v>TPL_03A</v>
      </c>
    </row>
    <row r="98" spans="1:47" x14ac:dyDescent="0.35">
      <c r="A98" s="2" t="s">
        <v>2739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0" t="str">
        <f>_xlfn.XLOOKUP(PROPERTIES[[#This Row],[VEHIDCODE]],CONTROL[VEHIDCODE],CONTROL[ENGLISH])</f>
        <v>Henschel 895</v>
      </c>
      <c r="F98" t="s">
        <v>636</v>
      </c>
      <c r="G98" s="40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17</v>
      </c>
      <c r="J98">
        <v>0</v>
      </c>
      <c r="K98">
        <v>5</v>
      </c>
      <c r="L98">
        <v>0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3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0">
        <v>0</v>
      </c>
      <c r="AA98" s="19">
        <f>IFERROR(PROPERTIES[[#This Row],[TE_STARTING_KN]]/(PROPERTIES[[#This Row],[WEIGHT]]*9.81),0)</f>
        <v>0</v>
      </c>
      <c r="AB98" s="19">
        <v>0.21</v>
      </c>
      <c r="AC98" s="16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6">
        <v>0</v>
      </c>
      <c r="AF98" s="6">
        <v>0</v>
      </c>
      <c r="AG98" t="s">
        <v>231</v>
      </c>
      <c r="AH98" t="s">
        <v>229</v>
      </c>
      <c r="AI98" t="s">
        <v>229</v>
      </c>
      <c r="AJ98" s="2" t="s">
        <v>229</v>
      </c>
      <c r="AK98" s="2" t="s">
        <v>244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44" t="b">
        <v>0</v>
      </c>
      <c r="AP98" s="48" t="b">
        <v>0</v>
      </c>
      <c r="AQ98" s="48" t="b">
        <v>0</v>
      </c>
      <c r="AR98" s="48">
        <v>0</v>
      </c>
      <c r="AS98" s="48" t="b">
        <v>0</v>
      </c>
      <c r="AT98" s="7" t="b">
        <v>0</v>
      </c>
      <c r="AU98" s="40" t="str" cm="1">
        <f t="array" ref="AU98">_xlfn.XLOOKUP(PROPERTIES[[#This Row],[VEHIDCODE]],GRAPHICS_PROPERTIES[VEHIDCODE],GRAPHICS_PROPERTIES[TEMPLATE_ID]&amp;GRAPHICS_PROPERTIES[TEMPLATE_AMENDMENT_CODE])</f>
        <v>TPL_03C</v>
      </c>
    </row>
    <row r="99" spans="1:47" x14ac:dyDescent="0.35">
      <c r="A99" s="2" t="s">
        <v>2740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0" t="str">
        <f>_xlfn.XLOOKUP(PROPERTIES[[#This Row],[VEHIDCODE]],CONTROL[VEHIDCODE],CONTROL[ENGLISH])</f>
        <v>H. Cegielski OKz32</v>
      </c>
      <c r="F99" t="s">
        <v>705</v>
      </c>
      <c r="G99" s="40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17</v>
      </c>
      <c r="J99">
        <v>0</v>
      </c>
      <c r="K99">
        <v>7</v>
      </c>
      <c r="L99">
        <v>0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3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0">
        <v>0</v>
      </c>
      <c r="AA99" s="19">
        <f>IFERROR(PROPERTIES[[#This Row],[TE_STARTING_KN]]/(PROPERTIES[[#This Row],[WEIGHT]]*9.81),0)</f>
        <v>0</v>
      </c>
      <c r="AB99" s="19">
        <v>0.11</v>
      </c>
      <c r="AC99" s="16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6">
        <v>0</v>
      </c>
      <c r="AF99" s="6">
        <v>0</v>
      </c>
      <c r="AG99" t="s">
        <v>236</v>
      </c>
      <c r="AH99" t="s">
        <v>229</v>
      </c>
      <c r="AI99" t="s">
        <v>229</v>
      </c>
      <c r="AJ99" s="2" t="s">
        <v>229</v>
      </c>
      <c r="AK99" s="2" t="s">
        <v>244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44" t="b">
        <v>0</v>
      </c>
      <c r="AP99" s="48" t="b">
        <v>0</v>
      </c>
      <c r="AQ99" s="48" t="b">
        <v>0</v>
      </c>
      <c r="AR99" s="48">
        <v>0</v>
      </c>
      <c r="AS99" s="48" t="b">
        <v>0</v>
      </c>
      <c r="AT99" s="7" t="b">
        <v>0</v>
      </c>
      <c r="AU99" s="40" t="str" cm="1">
        <f t="array" ref="AU99">_xlfn.XLOOKUP(PROPERTIES[[#This Row],[VEHIDCODE]],GRAPHICS_PROPERTIES[VEHIDCODE],GRAPHICS_PROPERTIES[TEMPLATE_ID]&amp;GRAPHICS_PROPERTIES[TEMPLATE_AMENDMENT_CODE])</f>
        <v>TPL_03C</v>
      </c>
    </row>
    <row r="100" spans="1:47" x14ac:dyDescent="0.35">
      <c r="A100" s="2" t="s">
        <v>2741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0" t="str">
        <f>_xlfn.XLOOKUP(PROPERTIES[[#This Row],[VEHIDCODE]],CONTROL[VEHIDCODE],CONTROL[ENGLISH])</f>
        <v>SLM C 5/6 'Elephant'</v>
      </c>
      <c r="F100" t="s">
        <v>570</v>
      </c>
      <c r="G100" s="40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17</v>
      </c>
      <c r="J100">
        <v>0</v>
      </c>
      <c r="K100">
        <v>8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3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0">
        <v>0</v>
      </c>
      <c r="AA100" s="19">
        <f>IFERROR(PROPERTIES[[#This Row],[TE_STARTING_KN]]/(PROPERTIES[[#This Row],[WEIGHT]]*9.81),0)</f>
        <v>0</v>
      </c>
      <c r="AB100" s="19">
        <v>0.12</v>
      </c>
      <c r="AC100" s="16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6">
        <v>0</v>
      </c>
      <c r="AF100" s="6">
        <v>4</v>
      </c>
      <c r="AG100" t="s">
        <v>230</v>
      </c>
      <c r="AH100" t="s">
        <v>229</v>
      </c>
      <c r="AI100" t="s">
        <v>229</v>
      </c>
      <c r="AJ100" s="2" t="s">
        <v>229</v>
      </c>
      <c r="AK100" s="2" t="s">
        <v>244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44" t="b">
        <v>0</v>
      </c>
      <c r="AP100" s="48" t="b">
        <v>0</v>
      </c>
      <c r="AQ100" s="48" t="b">
        <v>0</v>
      </c>
      <c r="AR100" s="48">
        <v>0</v>
      </c>
      <c r="AS100" s="48" t="b">
        <v>0</v>
      </c>
      <c r="AT100" s="7" t="b">
        <v>0</v>
      </c>
      <c r="AU100" s="40" t="str" cm="1">
        <f t="array" ref="AU100">_xlfn.XLOOKUP(PROPERTIES[[#This Row],[VEHIDCODE]],GRAPHICS_PROPERTIES[VEHIDCODE],GRAPHICS_PROPERTIES[TEMPLATE_ID]&amp;GRAPHICS_PROPERTIES[TEMPLATE_AMENDMENT_CODE])</f>
        <v>TPL_03A</v>
      </c>
    </row>
    <row r="101" spans="1:47" x14ac:dyDescent="0.35">
      <c r="A101" s="2" t="s">
        <v>2742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0" t="str">
        <f>_xlfn.XLOOKUP(PROPERTIES[[#This Row],[VEHIDCODE]],CONTROL[VEHIDCODE],CONTROL[ENGLISH])</f>
        <v>ALCO series 4000 4-8-8-4 'Big Boy'</v>
      </c>
      <c r="F101" t="s">
        <v>757</v>
      </c>
      <c r="G101" s="40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17</v>
      </c>
      <c r="J101">
        <v>0</v>
      </c>
      <c r="K101">
        <v>8</v>
      </c>
      <c r="L101">
        <v>2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3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0">
        <v>0</v>
      </c>
      <c r="AA101" s="19">
        <f>IFERROR(PROPERTIES[[#This Row],[TE_STARTING_KN]]/(PROPERTIES[[#This Row],[WEIGHT]]*9.81),0)</f>
        <v>0</v>
      </c>
      <c r="AB101" s="19">
        <v>0.1</v>
      </c>
      <c r="AC101" s="16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6">
        <v>0</v>
      </c>
      <c r="AF101" s="6">
        <v>7</v>
      </c>
      <c r="AG101" t="s">
        <v>235</v>
      </c>
      <c r="AH101" t="s">
        <v>229</v>
      </c>
      <c r="AI101" t="s">
        <v>229</v>
      </c>
      <c r="AJ101" s="2" t="s">
        <v>229</v>
      </c>
      <c r="AK101" s="2" t="s">
        <v>244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44" t="b">
        <v>0</v>
      </c>
      <c r="AP101" s="48" t="b">
        <v>0</v>
      </c>
      <c r="AQ101" s="48" t="b">
        <v>0</v>
      </c>
      <c r="AR101" s="48">
        <v>0</v>
      </c>
      <c r="AS101" s="48" t="b">
        <v>0</v>
      </c>
      <c r="AT101" s="7" t="b">
        <v>0</v>
      </c>
      <c r="AU101" s="40" t="str" cm="1">
        <f t="array" ref="AU101">_xlfn.XLOOKUP(PROPERTIES[[#This Row],[VEHIDCODE]],GRAPHICS_PROPERTIES[VEHIDCODE],GRAPHICS_PROPERTIES[TEMPLATE_ID]&amp;GRAPHICS_PROPERTIES[TEMPLATE_AMENDMENT_CODE])</f>
        <v>TPL_03G</v>
      </c>
    </row>
    <row r="102" spans="1:47" x14ac:dyDescent="0.35">
      <c r="A102" s="2" t="s">
        <v>2743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0" t="str">
        <f>_xlfn.XLOOKUP(PROPERTIES[[#This Row],[VEHIDCODE]],CONTROL[VEHIDCODE],CONTROL[ENGLISH])</f>
        <v>Sharp, Stewart &amp; Co. 4-4-0 3557-3565</v>
      </c>
      <c r="F102" t="s">
        <v>692</v>
      </c>
      <c r="G102" s="40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17</v>
      </c>
      <c r="J102">
        <v>0</v>
      </c>
      <c r="K102">
        <v>4</v>
      </c>
      <c r="L102">
        <v>0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3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0">
        <v>0</v>
      </c>
      <c r="AA102" s="19">
        <f>IFERROR(PROPERTIES[[#This Row],[TE_STARTING_KN]]/(PROPERTIES[[#This Row],[WEIGHT]]*9.81),0)</f>
        <v>0</v>
      </c>
      <c r="AB102" s="19">
        <v>0.08</v>
      </c>
      <c r="AC102" s="16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6">
        <v>0</v>
      </c>
      <c r="AF102" s="6">
        <v>3</v>
      </c>
      <c r="AG102" t="s">
        <v>230</v>
      </c>
      <c r="AH102" t="s">
        <v>229</v>
      </c>
      <c r="AI102" t="s">
        <v>229</v>
      </c>
      <c r="AJ102" s="2" t="s">
        <v>229</v>
      </c>
      <c r="AK102" s="2" t="s">
        <v>244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44" t="b">
        <v>0</v>
      </c>
      <c r="AP102" s="48" t="b">
        <v>0</v>
      </c>
      <c r="AQ102" s="48" t="b">
        <v>0</v>
      </c>
      <c r="AR102" s="48">
        <v>0</v>
      </c>
      <c r="AS102" s="48" t="b">
        <v>0</v>
      </c>
      <c r="AT102" s="7" t="b">
        <v>0</v>
      </c>
      <c r="AU102" s="40" t="str" cm="1">
        <f t="array" ref="AU102">_xlfn.XLOOKUP(PROPERTIES[[#This Row],[VEHIDCODE]],GRAPHICS_PROPERTIES[VEHIDCODE],GRAPHICS_PROPERTIES[TEMPLATE_ID]&amp;GRAPHICS_PROPERTIES[TEMPLATE_AMENDMENT_CODE])</f>
        <v>TPL_03A</v>
      </c>
    </row>
    <row r="103" spans="1:47" x14ac:dyDescent="0.35">
      <c r="A103" s="2" t="s">
        <v>2744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0" t="str">
        <f>_xlfn.XLOOKUP(PROPERTIES[[#This Row],[VEHIDCODE]],CONTROL[VEHIDCODE],CONTROL[ENGLISH])</f>
        <v>GWR Iron Duke</v>
      </c>
      <c r="F103" t="s">
        <v>603</v>
      </c>
      <c r="G103" s="40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17</v>
      </c>
      <c r="J103">
        <v>0</v>
      </c>
      <c r="K103">
        <v>8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3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0">
        <v>0</v>
      </c>
      <c r="AA103" s="19">
        <f>IFERROR(PROPERTIES[[#This Row],[TE_STARTING_KN]]/(PROPERTIES[[#This Row],[WEIGHT]]*9.81),0)</f>
        <v>0</v>
      </c>
      <c r="AB103" s="19">
        <v>0.06</v>
      </c>
      <c r="AC103" s="16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6">
        <v>0</v>
      </c>
      <c r="AF103" s="6">
        <v>4</v>
      </c>
      <c r="AG103" t="s">
        <v>234</v>
      </c>
      <c r="AH103" t="s">
        <v>229</v>
      </c>
      <c r="AI103" t="s">
        <v>229</v>
      </c>
      <c r="AJ103" s="2" t="s">
        <v>229</v>
      </c>
      <c r="AK103" s="2" t="s">
        <v>244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44" t="b">
        <v>0</v>
      </c>
      <c r="AP103" s="48" t="b">
        <v>0</v>
      </c>
      <c r="AQ103" s="48" t="b">
        <v>0</v>
      </c>
      <c r="AR103" s="48">
        <v>0</v>
      </c>
      <c r="AS103" s="48" t="b">
        <v>0</v>
      </c>
      <c r="AT103" s="7" t="b">
        <v>0</v>
      </c>
      <c r="AU103" s="40" t="str" cm="1">
        <f t="array" ref="AU103">_xlfn.XLOOKUP(PROPERTIES[[#This Row],[VEHIDCODE]],GRAPHICS_PROPERTIES[VEHIDCODE],GRAPHICS_PROPERTIES[TEMPLATE_ID]&amp;GRAPHICS_PROPERTIES[TEMPLATE_AMENDMENT_CODE])</f>
        <v>TPL_03A</v>
      </c>
    </row>
    <row r="104" spans="1:47" x14ac:dyDescent="0.35">
      <c r="A104" s="2" t="s">
        <v>2745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0" t="str">
        <f>_xlfn.XLOOKUP(PROPERTIES[[#This Row],[VEHIDCODE]],CONTROL[VEHIDCODE],CONTROL[ENGLISH])</f>
        <v>Stephenson 0-4-2 'Locomotive No.1'</v>
      </c>
      <c r="F104" t="s">
        <v>541</v>
      </c>
      <c r="G104" s="40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17</v>
      </c>
      <c r="J104">
        <v>0</v>
      </c>
      <c r="K104">
        <v>5</v>
      </c>
      <c r="L104">
        <v>0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3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0">
        <v>40</v>
      </c>
      <c r="AA104" s="19">
        <f>IFERROR(PROPERTIES[[#This Row],[TE_STARTING_KN]]/(PROPERTIES[[#This Row],[WEIGHT]]*9.81),0)</f>
        <v>9.0610488164004979E-2</v>
      </c>
      <c r="AB104" s="19">
        <v>0</v>
      </c>
      <c r="AC104" s="16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6">
        <v>0</v>
      </c>
      <c r="AF104" s="6">
        <v>4</v>
      </c>
      <c r="AG104" t="s">
        <v>232</v>
      </c>
      <c r="AH104" t="s">
        <v>229</v>
      </c>
      <c r="AI104" t="s">
        <v>229</v>
      </c>
      <c r="AJ104" s="2" t="s">
        <v>229</v>
      </c>
      <c r="AK104" s="2" t="s">
        <v>244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44" t="b">
        <v>0</v>
      </c>
      <c r="AP104" s="48" t="b">
        <v>0</v>
      </c>
      <c r="AQ104" s="48" t="b">
        <v>0</v>
      </c>
      <c r="AR104" s="48">
        <v>0</v>
      </c>
      <c r="AS104" s="48" t="b">
        <v>0</v>
      </c>
      <c r="AT104" s="7" t="b">
        <v>0</v>
      </c>
      <c r="AU104" s="40" t="str" cm="1">
        <f t="array" ref="AU104">_xlfn.XLOOKUP(PROPERTIES[[#This Row],[VEHIDCODE]],GRAPHICS_PROPERTIES[VEHIDCODE],GRAPHICS_PROPERTIES[TEMPLATE_ID]&amp;GRAPHICS_PROPERTIES[TEMPLATE_AMENDMENT_CODE])</f>
        <v>TPL_03A</v>
      </c>
    </row>
    <row r="105" spans="1:47" x14ac:dyDescent="0.35">
      <c r="A105" s="2" t="s">
        <v>2746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0" t="str">
        <f>_xlfn.XLOOKUP(PROPERTIES[[#This Row],[VEHIDCODE]],CONTROL[VEHIDCODE],CONTROL[ENGLISH])</f>
        <v>Cooke 4-2-2 'T. D. Judah'</v>
      </c>
      <c r="F105" t="s">
        <v>757</v>
      </c>
      <c r="G105" s="40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17</v>
      </c>
      <c r="J105">
        <v>0</v>
      </c>
      <c r="K105">
        <v>5</v>
      </c>
      <c r="L105">
        <v>0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3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0">
        <v>15.88</v>
      </c>
      <c r="AA105" s="19">
        <f>IFERROR(PROPERTIES[[#This Row],[TE_STARTING_KN]]/(PROPERTIES[[#This Row],[WEIGHT]]*9.81),0)</f>
        <v>8.993090950277495E-2</v>
      </c>
      <c r="AB105" s="19">
        <v>0</v>
      </c>
      <c r="AC105" s="16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6">
        <v>0</v>
      </c>
      <c r="AF105" s="6">
        <v>3</v>
      </c>
      <c r="AG105" t="s">
        <v>235</v>
      </c>
      <c r="AH105" t="s">
        <v>229</v>
      </c>
      <c r="AI105" t="s">
        <v>229</v>
      </c>
      <c r="AJ105" s="2" t="s">
        <v>229</v>
      </c>
      <c r="AK105" s="2" t="s">
        <v>244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44" t="b">
        <v>0</v>
      </c>
      <c r="AP105" s="48" t="b">
        <v>0</v>
      </c>
      <c r="AQ105" s="48" t="b">
        <v>0</v>
      </c>
      <c r="AR105" s="48">
        <v>0</v>
      </c>
      <c r="AS105" s="48" t="b">
        <v>0</v>
      </c>
      <c r="AT105" s="7" t="b">
        <v>0</v>
      </c>
      <c r="AU105" s="40" t="str" cm="1">
        <f t="array" ref="AU105">_xlfn.XLOOKUP(PROPERTIES[[#This Row],[VEHIDCODE]],GRAPHICS_PROPERTIES[VEHIDCODE],GRAPHICS_PROPERTIES[TEMPLATE_ID]&amp;GRAPHICS_PROPERTIES[TEMPLATE_AMENDMENT_CODE])</f>
        <v>TPL_03A</v>
      </c>
    </row>
    <row r="106" spans="1:47" x14ac:dyDescent="0.35">
      <c r="A106" s="2" t="s">
        <v>2747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0" t="str">
        <f>_xlfn.XLOOKUP(PROPERTIES[[#This Row],[VEHIDCODE]],CONTROL[VEHIDCODE],CONTROL[ENGLISH])</f>
        <v>Beyer, P &amp; Co. 2-4-0 SS 9-16, 21-78</v>
      </c>
      <c r="F106" t="s">
        <v>692</v>
      </c>
      <c r="G106" s="40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17</v>
      </c>
      <c r="J106">
        <v>0</v>
      </c>
      <c r="K106">
        <v>6</v>
      </c>
      <c r="L106">
        <v>0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3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0">
        <v>0</v>
      </c>
      <c r="AA106" s="19">
        <f>IFERROR(PROPERTIES[[#This Row],[TE_STARTING_KN]]/(PROPERTIES[[#This Row],[WEIGHT]]*9.81),0)</f>
        <v>0</v>
      </c>
      <c r="AB106" s="19">
        <v>7.0000000000000007E-2</v>
      </c>
      <c r="AC106" s="16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6">
        <v>0</v>
      </c>
      <c r="AF106" s="6">
        <v>3</v>
      </c>
      <c r="AG106" t="s">
        <v>230</v>
      </c>
      <c r="AH106" t="s">
        <v>229</v>
      </c>
      <c r="AI106" t="s">
        <v>229</v>
      </c>
      <c r="AJ106" s="2" t="s">
        <v>229</v>
      </c>
      <c r="AK106" s="2" t="s">
        <v>244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44" t="b">
        <v>0</v>
      </c>
      <c r="AP106" s="48" t="b">
        <v>0</v>
      </c>
      <c r="AQ106" s="48" t="b">
        <v>0</v>
      </c>
      <c r="AR106" s="48">
        <v>0</v>
      </c>
      <c r="AS106" s="48" t="b">
        <v>0</v>
      </c>
      <c r="AT106" s="7" t="b">
        <v>0</v>
      </c>
      <c r="AU106" s="40" t="str" cm="1">
        <f t="array" ref="AU106">_xlfn.XLOOKUP(PROPERTIES[[#This Row],[VEHIDCODE]],GRAPHICS_PROPERTIES[VEHIDCODE],GRAPHICS_PROPERTIES[TEMPLATE_ID]&amp;GRAPHICS_PROPERTIES[TEMPLATE_AMENDMENT_CODE])</f>
        <v>TPL_03A</v>
      </c>
    </row>
    <row r="107" spans="1:47" x14ac:dyDescent="0.35">
      <c r="A107" s="2" t="s">
        <v>2748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0" t="str">
        <f>_xlfn.XLOOKUP(PROPERTIES[[#This Row],[VEHIDCODE]],CONTROL[VEHIDCODE],CONTROL[ENGLISH])</f>
        <v>Beyer, P &amp; Co. 2-6-0T 1702-1706</v>
      </c>
      <c r="F107" t="s">
        <v>771</v>
      </c>
      <c r="G107" s="40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17</v>
      </c>
      <c r="J107">
        <v>0</v>
      </c>
      <c r="K107">
        <v>5</v>
      </c>
      <c r="L107">
        <v>0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3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0">
        <v>44</v>
      </c>
      <c r="AA107" s="19">
        <f>IFERROR(PROPERTIES[[#This Row],[TE_STARTING_KN]]/(PROPERTIES[[#This Row],[WEIGHT]]*9.81),0)</f>
        <v>0.14950730547060823</v>
      </c>
      <c r="AB107" s="19">
        <v>0</v>
      </c>
      <c r="AC107" s="16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6">
        <v>0</v>
      </c>
      <c r="AF107" s="6">
        <v>0</v>
      </c>
      <c r="AG107" t="s">
        <v>233</v>
      </c>
      <c r="AH107" t="s">
        <v>229</v>
      </c>
      <c r="AI107" t="s">
        <v>229</v>
      </c>
      <c r="AJ107" s="2" t="s">
        <v>229</v>
      </c>
      <c r="AK107" s="2" t="s">
        <v>244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44" t="b">
        <v>0</v>
      </c>
      <c r="AP107" s="48" t="b">
        <v>0</v>
      </c>
      <c r="AQ107" s="48" t="b">
        <v>0</v>
      </c>
      <c r="AR107" s="48">
        <v>0</v>
      </c>
      <c r="AS107" s="48" t="b">
        <v>0</v>
      </c>
      <c r="AT107" s="7" t="b">
        <v>0</v>
      </c>
      <c r="AU107" s="40" t="str" cm="1">
        <f t="array" ref="AU107">_xlfn.XLOOKUP(PROPERTIES[[#This Row],[VEHIDCODE]],GRAPHICS_PROPERTIES[VEHIDCODE],GRAPHICS_PROPERTIES[TEMPLATE_ID]&amp;GRAPHICS_PROPERTIES[TEMPLATE_AMENDMENT_CODE])</f>
        <v>TPL_03C</v>
      </c>
    </row>
    <row r="108" spans="1:47" x14ac:dyDescent="0.35">
      <c r="A108" s="2" t="s">
        <v>2749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0" t="str">
        <f>_xlfn.XLOOKUP(PROPERTIES[[#This Row],[VEHIDCODE]],CONTROL[VEHIDCODE],CONTROL[ENGLISH])</f>
        <v>Beyer, P &amp; Co. 2-6-0 2073-2092</v>
      </c>
      <c r="F108" t="s">
        <v>541</v>
      </c>
      <c r="G108" s="40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17</v>
      </c>
      <c r="J108">
        <v>0</v>
      </c>
      <c r="K108">
        <v>7</v>
      </c>
      <c r="L108">
        <v>0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3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0">
        <v>98.1</v>
      </c>
      <c r="AA108" s="19">
        <f>IFERROR(PROPERTIES[[#This Row],[TE_STARTING_KN]]/(PROPERTIES[[#This Row],[WEIGHT]]*9.81),0)</f>
        <v>0.13333333333333333</v>
      </c>
      <c r="AB108" s="19">
        <v>0</v>
      </c>
      <c r="AC108" s="16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6">
        <v>0</v>
      </c>
      <c r="AF108" s="6">
        <v>4</v>
      </c>
      <c r="AG108" t="s">
        <v>232</v>
      </c>
      <c r="AH108" t="s">
        <v>229</v>
      </c>
      <c r="AI108" t="s">
        <v>229</v>
      </c>
      <c r="AJ108" s="2" t="s">
        <v>229</v>
      </c>
      <c r="AK108" s="2" t="s">
        <v>244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44" t="b">
        <v>0</v>
      </c>
      <c r="AP108" s="48" t="b">
        <v>0</v>
      </c>
      <c r="AQ108" s="48" t="b">
        <v>0</v>
      </c>
      <c r="AR108" s="48">
        <v>0</v>
      </c>
      <c r="AS108" s="48" t="b">
        <v>0</v>
      </c>
      <c r="AT108" s="7" t="b">
        <v>0</v>
      </c>
      <c r="AU108" s="40" t="str" cm="1">
        <f t="array" ref="AU108">_xlfn.XLOOKUP(PROPERTIES[[#This Row],[VEHIDCODE]],GRAPHICS_PROPERTIES[VEHIDCODE],GRAPHICS_PROPERTIES[TEMPLATE_ID]&amp;GRAPHICS_PROPERTIES[TEMPLATE_AMENDMENT_CODE])</f>
        <v>TPL_03A</v>
      </c>
    </row>
    <row r="109" spans="1:47" x14ac:dyDescent="0.35">
      <c r="A109" s="2" t="s">
        <v>2750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0" t="str">
        <f>_xlfn.XLOOKUP(PROPERTIES[[#This Row],[VEHIDCODE]],CONTROL[VEHIDCODE],CONTROL[ENGLISH])</f>
        <v>Canadian Pacific 374</v>
      </c>
      <c r="F109" t="s">
        <v>565</v>
      </c>
      <c r="G109" s="40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17</v>
      </c>
      <c r="J109">
        <v>0</v>
      </c>
      <c r="K109">
        <v>6</v>
      </c>
      <c r="L109">
        <v>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3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0">
        <v>67</v>
      </c>
      <c r="AA109" s="19">
        <f>IFERROR(PROPERTIES[[#This Row],[TE_STARTING_KN]]/(PROPERTIES[[#This Row],[WEIGHT]]*9.81),0)</f>
        <v>8.3289823723925308E-2</v>
      </c>
      <c r="AB109" s="19">
        <v>0</v>
      </c>
      <c r="AC109" s="16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6">
        <v>0</v>
      </c>
      <c r="AF109" s="6">
        <v>4</v>
      </c>
      <c r="AG109" t="s">
        <v>235</v>
      </c>
      <c r="AH109" t="s">
        <v>229</v>
      </c>
      <c r="AI109" t="s">
        <v>229</v>
      </c>
      <c r="AJ109" s="2" t="s">
        <v>229</v>
      </c>
      <c r="AK109" s="2" t="s">
        <v>244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44" t="b">
        <v>0</v>
      </c>
      <c r="AP109" s="48" t="b">
        <v>0</v>
      </c>
      <c r="AQ109" s="48" t="b">
        <v>0</v>
      </c>
      <c r="AR109" s="48">
        <v>0</v>
      </c>
      <c r="AS109" s="48" t="b">
        <v>0</v>
      </c>
      <c r="AT109" s="7" t="b">
        <v>0</v>
      </c>
      <c r="AU109" s="40" t="str" cm="1">
        <f t="array" ref="AU109">_xlfn.XLOOKUP(PROPERTIES[[#This Row],[VEHIDCODE]],GRAPHICS_PROPERTIES[VEHIDCODE],GRAPHICS_PROPERTIES[TEMPLATE_ID]&amp;GRAPHICS_PROPERTIES[TEMPLATE_AMENDMENT_CODE])</f>
        <v>TPL_03A</v>
      </c>
    </row>
    <row r="110" spans="1:47" x14ac:dyDescent="0.35">
      <c r="A110" s="2" t="s">
        <v>2751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0" t="str">
        <f>_xlfn.XLOOKUP(PROPERTIES[[#This Row],[VEHIDCODE]],CONTROL[VEHIDCODE],CONTROL[ENGLISH])</f>
        <v>Nasmyth, Wilson &amp; Co. '35-tonner' 4-6-0T</v>
      </c>
      <c r="F110" t="s">
        <v>771</v>
      </c>
      <c r="G110" s="40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17</v>
      </c>
      <c r="J110">
        <v>0</v>
      </c>
      <c r="K110">
        <v>5</v>
      </c>
      <c r="L110">
        <v>0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3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0">
        <v>41.6</v>
      </c>
      <c r="AA110" s="19">
        <f>IFERROR(PROPERTIES[[#This Row],[TE_STARTING_KN]]/(PROPERTIES[[#This Row],[WEIGHT]]*9.81),0)</f>
        <v>0.11779363461320648</v>
      </c>
      <c r="AB110" s="19">
        <v>0</v>
      </c>
      <c r="AC110" s="16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6">
        <v>0</v>
      </c>
      <c r="AF110" s="6">
        <v>0</v>
      </c>
      <c r="AG110" t="s">
        <v>233</v>
      </c>
      <c r="AH110" t="s">
        <v>229</v>
      </c>
      <c r="AI110" t="s">
        <v>229</v>
      </c>
      <c r="AJ110" s="2" t="s">
        <v>229</v>
      </c>
      <c r="AK110" s="2" t="s">
        <v>244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44" t="b">
        <v>0</v>
      </c>
      <c r="AP110" s="48" t="b">
        <v>0</v>
      </c>
      <c r="AQ110" s="48" t="b">
        <v>0</v>
      </c>
      <c r="AR110" s="48">
        <v>0</v>
      </c>
      <c r="AS110" s="48" t="b">
        <v>0</v>
      </c>
      <c r="AT110" s="7" t="b">
        <v>0</v>
      </c>
      <c r="AU110" s="40" t="str" cm="1">
        <f t="array" ref="AU110">_xlfn.XLOOKUP(PROPERTIES[[#This Row],[VEHIDCODE]],GRAPHICS_PROPERTIES[VEHIDCODE],GRAPHICS_PROPERTIES[TEMPLATE_ID]&amp;GRAPHICS_PROPERTIES[TEMPLATE_AMENDMENT_CODE])</f>
        <v>TPL_03C</v>
      </c>
    </row>
    <row r="111" spans="1:47" x14ac:dyDescent="0.35">
      <c r="A111" s="2" t="s">
        <v>2752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0" t="str">
        <f>_xlfn.XLOOKUP(PROPERTIES[[#This Row],[VEHIDCODE]],CONTROL[VEHIDCODE],CONTROL[ENGLISH])</f>
        <v>Schneider RENFE 040</v>
      </c>
      <c r="F111" t="s">
        <v>595</v>
      </c>
      <c r="G111" s="40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17</v>
      </c>
      <c r="J111">
        <v>0</v>
      </c>
      <c r="K111">
        <v>6</v>
      </c>
      <c r="L111">
        <v>0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3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0">
        <v>118</v>
      </c>
      <c r="AA111" s="19">
        <f>IFERROR(PROPERTIES[[#This Row],[TE_STARTING_KN]]/(PROPERTIES[[#This Row],[WEIGHT]]*9.81),0)</f>
        <v>0.13591573224600748</v>
      </c>
      <c r="AB111" s="19">
        <v>0</v>
      </c>
      <c r="AC111" s="16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6">
        <v>0</v>
      </c>
      <c r="AF111" s="6">
        <v>3</v>
      </c>
      <c r="AG111" t="s">
        <v>231</v>
      </c>
      <c r="AH111" t="s">
        <v>229</v>
      </c>
      <c r="AI111" t="s">
        <v>229</v>
      </c>
      <c r="AJ111" s="2" t="s">
        <v>229</v>
      </c>
      <c r="AK111" s="2" t="s">
        <v>244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44" t="b">
        <v>0</v>
      </c>
      <c r="AP111" s="48" t="b">
        <v>0</v>
      </c>
      <c r="AQ111" s="48" t="b">
        <v>0</v>
      </c>
      <c r="AR111" s="48">
        <v>0</v>
      </c>
      <c r="AS111" s="48" t="b">
        <v>0</v>
      </c>
      <c r="AT111" s="7" t="b">
        <v>0</v>
      </c>
      <c r="AU111" s="40" t="str" cm="1">
        <f t="array" ref="AU111">_xlfn.XLOOKUP(PROPERTIES[[#This Row],[VEHIDCODE]],GRAPHICS_PROPERTIES[VEHIDCODE],GRAPHICS_PROPERTIES[TEMPLATE_ID]&amp;GRAPHICS_PROPERTIES[TEMPLATE_AMENDMENT_CODE])</f>
        <v>TPL_03A</v>
      </c>
    </row>
    <row r="112" spans="1:47" x14ac:dyDescent="0.35">
      <c r="A112" s="2" t="s">
        <v>2753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0" t="str">
        <f>_xlfn.XLOOKUP(PROPERTIES[[#This Row],[VEHIDCODE]],CONTROL[VEHIDCODE],CONTROL[ENGLISH])</f>
        <v>Sächsische Maschinenfabrik IV K</v>
      </c>
      <c r="F112" t="s">
        <v>584</v>
      </c>
      <c r="G112" s="40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17</v>
      </c>
      <c r="J112">
        <v>0</v>
      </c>
      <c r="K112">
        <v>6</v>
      </c>
      <c r="L112">
        <v>0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3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0">
        <v>42.17</v>
      </c>
      <c r="AA112" s="19">
        <f>IFERROR(PROPERTIES[[#This Row],[TE_STARTING_KN]]/(PROPERTIES[[#This Row],[WEIGHT]]*9.81),0)</f>
        <v>0.15921017857817044</v>
      </c>
      <c r="AB112" s="19">
        <v>0</v>
      </c>
      <c r="AC112" s="16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6">
        <v>0</v>
      </c>
      <c r="AF112" s="6">
        <v>0</v>
      </c>
      <c r="AG112" t="s">
        <v>230</v>
      </c>
      <c r="AH112" t="s">
        <v>229</v>
      </c>
      <c r="AI112" t="s">
        <v>229</v>
      </c>
      <c r="AJ112" s="2" t="s">
        <v>229</v>
      </c>
      <c r="AK112" s="2" t="s">
        <v>244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44" t="b">
        <v>0</v>
      </c>
      <c r="AP112" s="48" t="b">
        <v>0</v>
      </c>
      <c r="AQ112" s="48" t="b">
        <v>0</v>
      </c>
      <c r="AR112" s="48">
        <v>0</v>
      </c>
      <c r="AS112" s="48" t="b">
        <v>0</v>
      </c>
      <c r="AT112" s="7" t="b">
        <v>0</v>
      </c>
      <c r="AU112" s="40" t="str" cm="1">
        <f t="array" ref="AU112">_xlfn.XLOOKUP(PROPERTIES[[#This Row],[VEHIDCODE]],GRAPHICS_PROPERTIES[VEHIDCODE],GRAPHICS_PROPERTIES[TEMPLATE_ID]&amp;GRAPHICS_PROPERTIES[TEMPLATE_AMENDMENT_CODE])</f>
        <v>TPL_03C</v>
      </c>
    </row>
    <row r="113" spans="1:47" x14ac:dyDescent="0.35">
      <c r="A113" s="2" t="s">
        <v>2754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0" t="str">
        <f>_xlfn.XLOOKUP(PROPERTIES[[#This Row],[VEHIDCODE]],CONTROL[VEHIDCODE],CONTROL[ENGLISH])</f>
        <v>Hanomag S 3</v>
      </c>
      <c r="F113" t="s">
        <v>584</v>
      </c>
      <c r="G113" s="40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17</v>
      </c>
      <c r="J113">
        <v>0</v>
      </c>
      <c r="K113">
        <v>7</v>
      </c>
      <c r="L113">
        <v>0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3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0">
        <v>64</v>
      </c>
      <c r="AA113" s="19">
        <f>IFERROR(PROPERTIES[[#This Row],[TE_STARTING_KN]]/(PROPERTIES[[#This Row],[WEIGHT]]*9.81),0)</f>
        <v>0.12918723064967047</v>
      </c>
      <c r="AB113" s="19">
        <v>0</v>
      </c>
      <c r="AC113" s="16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6">
        <v>0</v>
      </c>
      <c r="AF113" s="6">
        <v>4</v>
      </c>
      <c r="AG113" t="s">
        <v>230</v>
      </c>
      <c r="AH113" t="s">
        <v>229</v>
      </c>
      <c r="AI113" t="s">
        <v>229</v>
      </c>
      <c r="AJ113" s="2" t="s">
        <v>229</v>
      </c>
      <c r="AK113" s="2" t="s">
        <v>244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44" t="b">
        <v>0</v>
      </c>
      <c r="AP113" s="48" t="b">
        <v>0</v>
      </c>
      <c r="AQ113" s="48" t="b">
        <v>0</v>
      </c>
      <c r="AR113" s="48">
        <v>0</v>
      </c>
      <c r="AS113" s="48" t="b">
        <v>0</v>
      </c>
      <c r="AT113" s="7" t="b">
        <v>0</v>
      </c>
      <c r="AU113" s="40" t="str" cm="1">
        <f t="array" ref="AU113">_xlfn.XLOOKUP(PROPERTIES[[#This Row],[VEHIDCODE]],GRAPHICS_PROPERTIES[VEHIDCODE],GRAPHICS_PROPERTIES[TEMPLATE_ID]&amp;GRAPHICS_PROPERTIES[TEMPLATE_AMENDMENT_CODE])</f>
        <v>TPL_03A</v>
      </c>
    </row>
    <row r="114" spans="1:47" x14ac:dyDescent="0.35">
      <c r="A114" s="2" t="s">
        <v>2755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0" t="str">
        <f>_xlfn.XLOOKUP(PROPERTIES[[#This Row],[VEHIDCODE]],CONTROL[VEHIDCODE],CONTROL[ENGLISH])</f>
        <v>Thune XXIa</v>
      </c>
      <c r="F114" t="s">
        <v>693</v>
      </c>
      <c r="G114" s="40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17</v>
      </c>
      <c r="J114">
        <v>0</v>
      </c>
      <c r="K114">
        <v>7</v>
      </c>
      <c r="L114">
        <v>0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3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0">
        <v>82.56</v>
      </c>
      <c r="AA114" s="19">
        <f>IFERROR(PROPERTIES[[#This Row],[TE_STARTING_KN]]/(PROPERTIES[[#This Row],[WEIGHT]]*9.81),0)</f>
        <v>0.10845234717361835</v>
      </c>
      <c r="AB114" s="19">
        <v>0</v>
      </c>
      <c r="AC114" s="16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6">
        <v>0</v>
      </c>
      <c r="AF114" s="6">
        <v>0</v>
      </c>
      <c r="AG114" t="s">
        <v>234</v>
      </c>
      <c r="AH114" t="s">
        <v>229</v>
      </c>
      <c r="AI114" t="s">
        <v>229</v>
      </c>
      <c r="AJ114" s="2" t="s">
        <v>229</v>
      </c>
      <c r="AK114" s="2" t="s">
        <v>244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44" t="b">
        <v>0</v>
      </c>
      <c r="AP114" s="48" t="b">
        <v>0</v>
      </c>
      <c r="AQ114" s="48" t="b">
        <v>0</v>
      </c>
      <c r="AR114" s="48">
        <v>0</v>
      </c>
      <c r="AS114" s="48" t="b">
        <v>0</v>
      </c>
      <c r="AT114" s="7" t="b">
        <v>0</v>
      </c>
      <c r="AU114" s="40" t="str" cm="1">
        <f t="array" ref="AU114">_xlfn.XLOOKUP(PROPERTIES[[#This Row],[VEHIDCODE]],GRAPHICS_PROPERTIES[VEHIDCODE],GRAPHICS_PROPERTIES[TEMPLATE_ID]&amp;GRAPHICS_PROPERTIES[TEMPLATE_AMENDMENT_CODE])</f>
        <v>TPL_03C</v>
      </c>
    </row>
    <row r="115" spans="1:47" x14ac:dyDescent="0.35">
      <c r="A115" s="2" t="s">
        <v>2756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0" t="str">
        <f>_xlfn.XLOOKUP(PROPERTIES[[#This Row],[VEHIDCODE]],CONTROL[VEHIDCODE],CONTROL[ENGLISH])</f>
        <v>PRR D16</v>
      </c>
      <c r="F115" t="s">
        <v>757</v>
      </c>
      <c r="G115" s="40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17</v>
      </c>
      <c r="J115">
        <v>0</v>
      </c>
      <c r="K115">
        <v>7</v>
      </c>
      <c r="L115">
        <v>0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3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0">
        <v>77.84</v>
      </c>
      <c r="AA115" s="19">
        <f>IFERROR(PROPERTIES[[#This Row],[TE_STARTING_KN]]/(PROPERTIES[[#This Row],[WEIGHT]]*9.81),0)</f>
        <v>7.4504792943867762E-2</v>
      </c>
      <c r="AB115" s="19">
        <v>0</v>
      </c>
      <c r="AC115" s="16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6">
        <v>0</v>
      </c>
      <c r="AF115" s="6">
        <v>4</v>
      </c>
      <c r="AG115" t="s">
        <v>235</v>
      </c>
      <c r="AH115" t="s">
        <v>229</v>
      </c>
      <c r="AI115" t="s">
        <v>229</v>
      </c>
      <c r="AJ115" s="2" t="s">
        <v>229</v>
      </c>
      <c r="AK115" s="2" t="s">
        <v>244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44" t="b">
        <v>0</v>
      </c>
      <c r="AP115" s="48" t="b">
        <v>0</v>
      </c>
      <c r="AQ115" s="48" t="b">
        <v>0</v>
      </c>
      <c r="AR115" s="48">
        <v>0</v>
      </c>
      <c r="AS115" s="48" t="b">
        <v>0</v>
      </c>
      <c r="AT115" s="7" t="b">
        <v>0</v>
      </c>
      <c r="AU115" s="40" t="str" cm="1">
        <f t="array" ref="AU115">_xlfn.XLOOKUP(PROPERTIES[[#This Row],[VEHIDCODE]],GRAPHICS_PROPERTIES[VEHIDCODE],GRAPHICS_PROPERTIES[TEMPLATE_ID]&amp;GRAPHICS_PROPERTIES[TEMPLATE_AMENDMENT_CODE])</f>
        <v>TPL_03A</v>
      </c>
    </row>
    <row r="116" spans="1:47" x14ac:dyDescent="0.35">
      <c r="A116" s="2" t="s">
        <v>2757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0" t="str">
        <f>_xlfn.XLOOKUP(PROPERTIES[[#This Row],[VEHIDCODE]],CONTROL[VEHIDCODE],CONTROL[ENGLISH])</f>
        <v>Machinefabriek Breda 661-667</v>
      </c>
      <c r="F116" t="s">
        <v>692</v>
      </c>
      <c r="G116" s="40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17</v>
      </c>
      <c r="J116">
        <v>0</v>
      </c>
      <c r="K116">
        <v>4</v>
      </c>
      <c r="L116">
        <v>0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3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0">
        <v>68</v>
      </c>
      <c r="AA116" s="19">
        <f>IFERROR(PROPERTIES[[#This Row],[TE_STARTING_KN]]/(PROPERTIES[[#This Row],[WEIGHT]]*9.81),0)</f>
        <v>0.19804863841561088</v>
      </c>
      <c r="AB116" s="19">
        <v>0</v>
      </c>
      <c r="AC116" s="16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6">
        <v>0</v>
      </c>
      <c r="AF116" s="6">
        <v>0</v>
      </c>
      <c r="AG116" t="s">
        <v>230</v>
      </c>
      <c r="AH116" t="s">
        <v>229</v>
      </c>
      <c r="AI116" t="s">
        <v>229</v>
      </c>
      <c r="AJ116" s="2" t="s">
        <v>229</v>
      </c>
      <c r="AK116" s="2" t="s">
        <v>244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44" t="b">
        <v>0</v>
      </c>
      <c r="AP116" s="48" t="b">
        <v>0</v>
      </c>
      <c r="AQ116" s="48" t="b">
        <v>0</v>
      </c>
      <c r="AR116" s="48">
        <v>0</v>
      </c>
      <c r="AS116" s="48" t="b">
        <v>0</v>
      </c>
      <c r="AT116" s="7" t="b">
        <v>0</v>
      </c>
      <c r="AU116" s="40" t="str" cm="1">
        <f t="array" ref="AU116">_xlfn.XLOOKUP(PROPERTIES[[#This Row],[VEHIDCODE]],GRAPHICS_PROPERTIES[VEHIDCODE],GRAPHICS_PROPERTIES[TEMPLATE_ID]&amp;GRAPHICS_PROPERTIES[TEMPLATE_AMENDMENT_CODE])</f>
        <v>TPL_03C</v>
      </c>
    </row>
    <row r="117" spans="1:47" x14ac:dyDescent="0.35">
      <c r="A117" s="2" t="s">
        <v>2758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0" t="str">
        <f>_xlfn.XLOOKUP(PROPERTIES[[#This Row],[VEHIDCODE]],CONTROL[VEHIDCODE],CONTROL[ENGLISH])</f>
        <v>ALCO 46581 2-6-6-2 'Mallet'</v>
      </c>
      <c r="F117" t="s">
        <v>771</v>
      </c>
      <c r="G117" s="40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17</v>
      </c>
      <c r="J117">
        <v>0</v>
      </c>
      <c r="K117">
        <v>8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3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0">
        <v>204</v>
      </c>
      <c r="AA117" s="19">
        <f>IFERROR(PROPERTIES[[#This Row],[TE_STARTING_KN]]/(PROPERTIES[[#This Row],[WEIGHT]]*9.81),0)</f>
        <v>0.13005070064814972</v>
      </c>
      <c r="AB117" s="19">
        <v>0</v>
      </c>
      <c r="AC117" s="16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6">
        <v>0</v>
      </c>
      <c r="AF117" s="6">
        <v>5</v>
      </c>
      <c r="AG117" t="s">
        <v>233</v>
      </c>
      <c r="AH117" t="s">
        <v>229</v>
      </c>
      <c r="AI117" t="s">
        <v>229</v>
      </c>
      <c r="AJ117" s="2" t="s">
        <v>229</v>
      </c>
      <c r="AK117" s="2" t="s">
        <v>244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44" t="b">
        <v>0</v>
      </c>
      <c r="AP117" s="48" t="b">
        <v>0</v>
      </c>
      <c r="AQ117" s="48" t="b">
        <v>0</v>
      </c>
      <c r="AR117" s="48">
        <v>0</v>
      </c>
      <c r="AS117" s="48" t="b">
        <v>0</v>
      </c>
      <c r="AT117" s="7" t="b">
        <v>0</v>
      </c>
      <c r="AU117" s="40" t="str" cm="1">
        <f t="array" ref="AU117">_xlfn.XLOOKUP(PROPERTIES[[#This Row],[VEHIDCODE]],GRAPHICS_PROPERTIES[VEHIDCODE],GRAPHICS_PROPERTIES[TEMPLATE_ID]&amp;GRAPHICS_PROPERTIES[TEMPLATE_AMENDMENT_CODE])</f>
        <v>TPL_03A</v>
      </c>
    </row>
    <row r="118" spans="1:47" x14ac:dyDescent="0.35">
      <c r="A118" s="2" t="s">
        <v>2759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0" t="str">
        <f>_xlfn.XLOOKUP(PROPERTIES[[#This Row],[VEHIDCODE]],CONTROL[VEHIDCODE],CONTROL[ENGLISH])</f>
        <v>Orenstein &amp; Koppel 2-8-0 '8-Tender'</v>
      </c>
      <c r="F118" t="s">
        <v>686</v>
      </c>
      <c r="G118" s="40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17</v>
      </c>
      <c r="J118">
        <v>0</v>
      </c>
      <c r="K118">
        <v>6</v>
      </c>
      <c r="L118">
        <v>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3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0">
        <v>60.4</v>
      </c>
      <c r="AA118" s="19">
        <f>IFERROR(PROPERTIES[[#This Row],[TE_STARTING_KN]]/(PROPERTIES[[#This Row],[WEIGHT]]*9.81),0)</f>
        <v>9.1758311039405946E-2</v>
      </c>
      <c r="AB118" s="19">
        <v>0</v>
      </c>
      <c r="AC118" s="16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6">
        <v>0</v>
      </c>
      <c r="AF118" s="6">
        <v>4</v>
      </c>
      <c r="AG118" t="s">
        <v>233</v>
      </c>
      <c r="AH118" t="s">
        <v>229</v>
      </c>
      <c r="AI118" t="s">
        <v>229</v>
      </c>
      <c r="AJ118" s="2" t="s">
        <v>229</v>
      </c>
      <c r="AK118" s="2" t="s">
        <v>244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44" t="b">
        <v>0</v>
      </c>
      <c r="AP118" s="48" t="b">
        <v>0</v>
      </c>
      <c r="AQ118" s="48" t="b">
        <v>0</v>
      </c>
      <c r="AR118" s="48">
        <v>0</v>
      </c>
      <c r="AS118" s="48" t="b">
        <v>0</v>
      </c>
      <c r="AT118" s="7" t="b">
        <v>0</v>
      </c>
      <c r="AU118" s="40" t="str" cm="1">
        <f t="array" ref="AU118">_xlfn.XLOOKUP(PROPERTIES[[#This Row],[VEHIDCODE]],GRAPHICS_PROPERTIES[VEHIDCODE],GRAPHICS_PROPERTIES[TEMPLATE_ID]&amp;GRAPHICS_PROPERTIES[TEMPLATE_AMENDMENT_CODE])</f>
        <v>TPL_03A</v>
      </c>
    </row>
    <row r="119" spans="1:47" x14ac:dyDescent="0.35">
      <c r="A119" s="2" t="s">
        <v>2760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0" t="str">
        <f>_xlfn.XLOOKUP(PROPERTIES[[#This Row],[VEHIDCODE]],CONTROL[VEHIDCODE],CONTROL[ENGLISH])</f>
        <v>Stratford Works L77 'LNER N7'</v>
      </c>
      <c r="F119" t="s">
        <v>603</v>
      </c>
      <c r="G119" s="40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17</v>
      </c>
      <c r="J119">
        <v>0</v>
      </c>
      <c r="K119">
        <v>6</v>
      </c>
      <c r="L119">
        <v>0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3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0">
        <v>91.24</v>
      </c>
      <c r="AA119" s="19">
        <f>IFERROR(PROPERTIES[[#This Row],[TE_STARTING_KN]]/(PROPERTIES[[#This Row],[WEIGHT]]*9.81),0)</f>
        <v>0.14763037393006809</v>
      </c>
      <c r="AB119" s="19">
        <v>0</v>
      </c>
      <c r="AC119" s="16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6">
        <v>0</v>
      </c>
      <c r="AF119" s="6">
        <v>0</v>
      </c>
      <c r="AG119" t="s">
        <v>234</v>
      </c>
      <c r="AH119" t="s">
        <v>229</v>
      </c>
      <c r="AI119" t="s">
        <v>229</v>
      </c>
      <c r="AJ119" s="2" t="s">
        <v>229</v>
      </c>
      <c r="AK119" s="2" t="s">
        <v>244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44" t="b">
        <v>0</v>
      </c>
      <c r="AP119" s="48" t="b">
        <v>0</v>
      </c>
      <c r="AQ119" s="48" t="b">
        <v>0</v>
      </c>
      <c r="AR119" s="48">
        <v>0</v>
      </c>
      <c r="AS119" s="48" t="b">
        <v>0</v>
      </c>
      <c r="AT119" s="7" t="b">
        <v>0</v>
      </c>
      <c r="AU119" s="40" t="str" cm="1">
        <f t="array" ref="AU119">_xlfn.XLOOKUP(PROPERTIES[[#This Row],[VEHIDCODE]],GRAPHICS_PROPERTIES[VEHIDCODE],GRAPHICS_PROPERTIES[TEMPLATE_ID]&amp;GRAPHICS_PROPERTIES[TEMPLATE_AMENDMENT_CODE])</f>
        <v>TPL_03C</v>
      </c>
    </row>
    <row r="120" spans="1:47" x14ac:dyDescent="0.35">
      <c r="A120" s="2" t="s">
        <v>2761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0" t="str">
        <f>_xlfn.XLOOKUP(PROPERTIES[[#This Row],[VEHIDCODE]],CONTROL[VEHIDCODE],CONTROL[ENGLISH])</f>
        <v>Sächsische Maschinenfabrik XX HV</v>
      </c>
      <c r="F120" t="s">
        <v>584</v>
      </c>
      <c r="G120" s="40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17</v>
      </c>
      <c r="J120">
        <v>0</v>
      </c>
      <c r="K120">
        <v>8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3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0">
        <v>112</v>
      </c>
      <c r="AA120" s="19">
        <f>IFERROR(PROPERTIES[[#This Row],[TE_STARTING_KN]]/(PROPERTIES[[#This Row],[WEIGHT]]*9.81),0)</f>
        <v>7.0171613452148909E-2</v>
      </c>
      <c r="AB120" s="19">
        <v>0</v>
      </c>
      <c r="AC120" s="16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6">
        <v>0</v>
      </c>
      <c r="AF120" s="6">
        <v>6</v>
      </c>
      <c r="AG120" t="s">
        <v>230</v>
      </c>
      <c r="AH120" t="s">
        <v>229</v>
      </c>
      <c r="AI120" t="s">
        <v>229</v>
      </c>
      <c r="AJ120" s="2" t="s">
        <v>229</v>
      </c>
      <c r="AK120" s="2" t="s">
        <v>244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44" t="b">
        <v>0</v>
      </c>
      <c r="AP120" s="48" t="b">
        <v>0</v>
      </c>
      <c r="AQ120" s="48" t="b">
        <v>0</v>
      </c>
      <c r="AR120" s="48">
        <v>0</v>
      </c>
      <c r="AS120" s="48" t="b">
        <v>0</v>
      </c>
      <c r="AT120" s="7" t="b">
        <v>0</v>
      </c>
      <c r="AU120" s="40" t="str" cm="1">
        <f t="array" ref="AU120">_xlfn.XLOOKUP(PROPERTIES[[#This Row],[VEHIDCODE]],GRAPHICS_PROPERTIES[VEHIDCODE],GRAPHICS_PROPERTIES[TEMPLATE_ID]&amp;GRAPHICS_PROPERTIES[TEMPLATE_AMENDMENT_CODE])</f>
        <v>TPL_03A</v>
      </c>
    </row>
    <row r="121" spans="1:47" x14ac:dyDescent="0.35">
      <c r="A121" s="2" t="s">
        <v>2762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0" t="str">
        <f>_xlfn.XLOOKUP(PROPERTIES[[#This Row],[VEHIDCODE]],CONTROL[VEHIDCODE],CONTROL[ENGLISH])</f>
        <v>Beyer, P &amp; Co. 2-4-0 SS 9-16</v>
      </c>
      <c r="F121" t="s">
        <v>548</v>
      </c>
      <c r="G121" s="40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17</v>
      </c>
      <c r="J121">
        <v>0</v>
      </c>
      <c r="K121">
        <v>8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3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0">
        <v>102</v>
      </c>
      <c r="AA121" s="19">
        <f>IFERROR(PROPERTIES[[#This Row],[TE_STARTING_KN]]/(PROPERTIES[[#This Row],[WEIGHT]]*9.81),0)</f>
        <v>7.8177094111425358E-2</v>
      </c>
      <c r="AB121" s="19">
        <v>0</v>
      </c>
      <c r="AC121" s="16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6">
        <v>0</v>
      </c>
      <c r="AF121" s="6">
        <v>4</v>
      </c>
      <c r="AG121" t="s">
        <v>230</v>
      </c>
      <c r="AH121" t="s">
        <v>229</v>
      </c>
      <c r="AI121" t="s">
        <v>229</v>
      </c>
      <c r="AJ121" s="2" t="s">
        <v>229</v>
      </c>
      <c r="AK121" s="2" t="s">
        <v>244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44" t="b">
        <v>0</v>
      </c>
      <c r="AP121" s="48" t="b">
        <v>0</v>
      </c>
      <c r="AQ121" s="48" t="b">
        <v>0</v>
      </c>
      <c r="AR121" s="48">
        <v>0</v>
      </c>
      <c r="AS121" s="48" t="b">
        <v>0</v>
      </c>
      <c r="AT121" s="7" t="b">
        <v>0</v>
      </c>
      <c r="AU121" s="40" t="str" cm="1">
        <f t="array" ref="AU121">_xlfn.XLOOKUP(PROPERTIES[[#This Row],[VEHIDCODE]],GRAPHICS_PROPERTIES[VEHIDCODE],GRAPHICS_PROPERTIES[TEMPLATE_ID]&amp;GRAPHICS_PROPERTIES[TEMPLATE_AMENDMENT_CODE])</f>
        <v>TPL_03A</v>
      </c>
    </row>
    <row r="122" spans="1:47" x14ac:dyDescent="0.35">
      <c r="A122" s="2" t="s">
        <v>2763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0" t="str">
        <f>_xlfn.XLOOKUP(PROPERTIES[[#This Row],[VEHIDCODE]],CONTROL[VEHIDCODE],CONTROL[ENGLISH])</f>
        <v>Beyer, P &amp; Co. 2-6-0 6112-6113</v>
      </c>
      <c r="F122" t="s">
        <v>628</v>
      </c>
      <c r="G122" s="40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17</v>
      </c>
      <c r="J122">
        <v>0</v>
      </c>
      <c r="K122">
        <v>7</v>
      </c>
      <c r="L122">
        <v>0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3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0">
        <v>101.8</v>
      </c>
      <c r="AA122" s="19">
        <f>IFERROR(PROPERTIES[[#This Row],[TE_STARTING_KN]]/(PROPERTIES[[#This Row],[WEIGHT]]*9.81),0)</f>
        <v>0.12353769234503179</v>
      </c>
      <c r="AB122" s="19">
        <v>0</v>
      </c>
      <c r="AC122" s="16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6">
        <v>0</v>
      </c>
      <c r="AF122" s="6">
        <v>4</v>
      </c>
      <c r="AG122" t="s">
        <v>234</v>
      </c>
      <c r="AH122" t="s">
        <v>229</v>
      </c>
      <c r="AI122" t="s">
        <v>229</v>
      </c>
      <c r="AJ122" s="2" t="s">
        <v>229</v>
      </c>
      <c r="AK122" s="2" t="s">
        <v>244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44" t="b">
        <v>0</v>
      </c>
      <c r="AP122" s="48" t="b">
        <v>0</v>
      </c>
      <c r="AQ122" s="48" t="b">
        <v>0</v>
      </c>
      <c r="AR122" s="48">
        <v>0</v>
      </c>
      <c r="AS122" s="48" t="b">
        <v>0</v>
      </c>
      <c r="AT122" s="7" t="b">
        <v>0</v>
      </c>
      <c r="AU122" s="40" t="str" cm="1">
        <f t="array" ref="AU122">_xlfn.XLOOKUP(PROPERTIES[[#This Row],[VEHIDCODE]],GRAPHICS_PROPERTIES[VEHIDCODE],GRAPHICS_PROPERTIES[TEMPLATE_ID]&amp;GRAPHICS_PROPERTIES[TEMPLATE_AMENDMENT_CODE])</f>
        <v>TPL_03A</v>
      </c>
    </row>
    <row r="123" spans="1:47" x14ac:dyDescent="0.35">
      <c r="A123" s="2" t="s">
        <v>2764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0" t="str">
        <f>_xlfn.XLOOKUP(PROPERTIES[[#This Row],[VEHIDCODE]],CONTROL[VEHIDCODE],CONTROL[ENGLISH])</f>
        <v>Baldwin 10-32-E 55246</v>
      </c>
      <c r="F123" t="s">
        <v>757</v>
      </c>
      <c r="G123" s="40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17</v>
      </c>
      <c r="J123">
        <v>0</v>
      </c>
      <c r="K123">
        <v>6</v>
      </c>
      <c r="L123">
        <v>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3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0">
        <v>136.80000000000001</v>
      </c>
      <c r="AA123" s="19">
        <f>IFERROR(PROPERTIES[[#This Row],[TE_STARTING_KN]]/(PROPERTIES[[#This Row],[WEIGHT]]*9.81),0)</f>
        <v>0.13280908693752733</v>
      </c>
      <c r="AB123" s="19">
        <v>0</v>
      </c>
      <c r="AC123" s="16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6">
        <v>0</v>
      </c>
      <c r="AF123" s="6">
        <v>4</v>
      </c>
      <c r="AG123" t="s">
        <v>235</v>
      </c>
      <c r="AH123" t="s">
        <v>229</v>
      </c>
      <c r="AI123" t="s">
        <v>229</v>
      </c>
      <c r="AJ123" s="2" t="s">
        <v>229</v>
      </c>
      <c r="AK123" s="2" t="s">
        <v>244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44" t="b">
        <v>0</v>
      </c>
      <c r="AP123" s="48" t="b">
        <v>0</v>
      </c>
      <c r="AQ123" s="48" t="b">
        <v>0</v>
      </c>
      <c r="AR123" s="48">
        <v>0</v>
      </c>
      <c r="AS123" s="48" t="b">
        <v>0</v>
      </c>
      <c r="AT123" s="7" t="b">
        <v>0</v>
      </c>
      <c r="AU123" s="40" t="str" cm="1">
        <f t="array" ref="AU123">_xlfn.XLOOKUP(PROPERTIES[[#This Row],[VEHIDCODE]],GRAPHICS_PROPERTIES[VEHIDCODE],GRAPHICS_PROPERTIES[TEMPLATE_ID]&amp;GRAPHICS_PROPERTIES[TEMPLATE_AMENDMENT_CODE])</f>
        <v>TPL_03A</v>
      </c>
    </row>
    <row r="124" spans="1:47" x14ac:dyDescent="0.35">
      <c r="A124" s="2" t="s">
        <v>3455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0" t="str">
        <f>_xlfn.XLOOKUP(PROPERTIES[[#This Row],[VEHIDCODE]],CONTROL[VEHIDCODE],CONTROL[ENGLISH])</f>
        <v xml:space="preserve">Canadian National U-1-a </v>
      </c>
      <c r="F124" t="s">
        <v>565</v>
      </c>
      <c r="G124" s="40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17</v>
      </c>
      <c r="J124">
        <v>0</v>
      </c>
      <c r="K124">
        <v>8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3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0">
        <v>220.6</v>
      </c>
      <c r="AA124" s="19">
        <f>IFERROR(PROPERTIES[[#This Row],[TE_STARTING_KN]]/(PROPERTIES[[#This Row],[WEIGHT]]*9.81),0)</f>
        <v>8.2370908058981451E-2</v>
      </c>
      <c r="AB124" s="19">
        <v>0</v>
      </c>
      <c r="AC124" s="16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6">
        <v>0</v>
      </c>
      <c r="AF124" s="6">
        <v>6</v>
      </c>
      <c r="AG124" t="s">
        <v>235</v>
      </c>
      <c r="AH124" t="s">
        <v>229</v>
      </c>
      <c r="AI124" t="s">
        <v>229</v>
      </c>
      <c r="AJ124" s="2" t="s">
        <v>229</v>
      </c>
      <c r="AK124" s="2" t="s">
        <v>244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44" t="b">
        <v>0</v>
      </c>
      <c r="AP124" s="48" t="b">
        <v>0</v>
      </c>
      <c r="AQ124" s="48" t="b">
        <v>0</v>
      </c>
      <c r="AR124" s="48">
        <v>0</v>
      </c>
      <c r="AS124" s="48" t="b">
        <v>0</v>
      </c>
      <c r="AT124" s="7" t="b">
        <v>0</v>
      </c>
      <c r="AU124" s="40" t="str" cm="1">
        <f t="array" ref="AU124">_xlfn.XLOOKUP(PROPERTIES[[#This Row],[VEHIDCODE]],GRAPHICS_PROPERTIES[VEHIDCODE],GRAPHICS_PROPERTIES[TEMPLATE_ID]&amp;GRAPHICS_PROPERTIES[TEMPLATE_AMENDMENT_CODE])</f>
        <v>TPL_03A</v>
      </c>
    </row>
    <row r="125" spans="1:47" x14ac:dyDescent="0.35">
      <c r="A125" s="2" t="s">
        <v>2765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0" t="str">
        <f>_xlfn.XLOOKUP(PROPERTIES[[#This Row],[VEHIDCODE]],CONTROL[VEHIDCODE],CONTROL[ENGLISH])</f>
        <v>Vulcan Foundry 4-6-2 Class XB</v>
      </c>
      <c r="F125" t="s">
        <v>631</v>
      </c>
      <c r="G125" s="40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17</v>
      </c>
      <c r="J125">
        <v>0</v>
      </c>
      <c r="K125">
        <v>8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3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0">
        <v>119.03</v>
      </c>
      <c r="AA125" s="19">
        <f>IFERROR(PROPERTIES[[#This Row],[TE_STARTING_KN]]/(PROPERTIES[[#This Row],[WEIGHT]]*9.81),0)</f>
        <v>7.4667921273425863E-2</v>
      </c>
      <c r="AB125" s="19">
        <v>0</v>
      </c>
      <c r="AC125" s="16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6">
        <v>0</v>
      </c>
      <c r="AF125" s="6">
        <v>7</v>
      </c>
      <c r="AG125" t="s">
        <v>238</v>
      </c>
      <c r="AH125" t="s">
        <v>229</v>
      </c>
      <c r="AI125" t="s">
        <v>229</v>
      </c>
      <c r="AJ125" s="2" t="s">
        <v>229</v>
      </c>
      <c r="AK125" s="2" t="s">
        <v>244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44" t="b">
        <v>0</v>
      </c>
      <c r="AP125" s="48" t="b">
        <v>0</v>
      </c>
      <c r="AQ125" s="48" t="b">
        <v>0</v>
      </c>
      <c r="AR125" s="48">
        <v>0</v>
      </c>
      <c r="AS125" s="48" t="b">
        <v>0</v>
      </c>
      <c r="AT125" s="7" t="b">
        <v>0</v>
      </c>
      <c r="AU125" s="40" t="str" cm="1">
        <f t="array" ref="AU125">_xlfn.XLOOKUP(PROPERTIES[[#This Row],[VEHIDCODE]],GRAPHICS_PROPERTIES[VEHIDCODE],GRAPHICS_PROPERTIES[TEMPLATE_ID]&amp;GRAPHICS_PROPERTIES[TEMPLATE_AMENDMENT_CODE])</f>
        <v>TPL_03A</v>
      </c>
    </row>
    <row r="126" spans="1:47" x14ac:dyDescent="0.35">
      <c r="A126" s="2" t="s">
        <v>2766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0" t="str">
        <f>_xlfn.XLOOKUP(PROPERTIES[[#This Row],[VEHIDCODE]],CONTROL[VEHIDCODE],CONTROL[ENGLISH])</f>
        <v>Robert Stephenson 4-6-2 6982-6985</v>
      </c>
      <c r="F126" t="s">
        <v>633</v>
      </c>
      <c r="G126" s="40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17</v>
      </c>
      <c r="J126">
        <v>0</v>
      </c>
      <c r="K126">
        <v>8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3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0">
        <v>0</v>
      </c>
      <c r="AA126" s="19">
        <f>IFERROR(PROPERTIES[[#This Row],[TE_STARTING_KN]]/(PROPERTIES[[#This Row],[WEIGHT]]*9.81),0)</f>
        <v>0</v>
      </c>
      <c r="AB126" s="19">
        <v>0.08</v>
      </c>
      <c r="AC126" s="16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6">
        <v>0</v>
      </c>
      <c r="AF126" s="6">
        <v>6</v>
      </c>
      <c r="AG126" t="s">
        <v>238</v>
      </c>
      <c r="AH126" t="s">
        <v>229</v>
      </c>
      <c r="AI126" t="s">
        <v>229</v>
      </c>
      <c r="AJ126" s="2" t="s">
        <v>229</v>
      </c>
      <c r="AK126" s="2" t="s">
        <v>244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44" t="b">
        <v>0</v>
      </c>
      <c r="AP126" s="48" t="b">
        <v>0</v>
      </c>
      <c r="AQ126" s="48" t="b">
        <v>0</v>
      </c>
      <c r="AR126" s="48">
        <v>0</v>
      </c>
      <c r="AS126" s="48" t="b">
        <v>0</v>
      </c>
      <c r="AT126" s="7" t="b">
        <v>0</v>
      </c>
      <c r="AU126" s="40" t="str" cm="1">
        <f t="array" ref="AU126">_xlfn.XLOOKUP(PROPERTIES[[#This Row],[VEHIDCODE]],GRAPHICS_PROPERTIES[VEHIDCODE],GRAPHICS_PROPERTIES[TEMPLATE_ID]&amp;GRAPHICS_PROPERTIES[TEMPLATE_AMENDMENT_CODE])</f>
        <v>TPL_03A</v>
      </c>
    </row>
    <row r="127" spans="1:47" x14ac:dyDescent="0.35">
      <c r="A127" s="2" t="s">
        <v>2767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0" t="str">
        <f>_xlfn.XLOOKUP(PROPERTIES[[#This Row],[VEHIDCODE]],CONTROL[VEHIDCODE],CONTROL[ENGLISH])</f>
        <v>LMS Fowler 3F WD 0-6-0T</v>
      </c>
      <c r="F127" t="s">
        <v>603</v>
      </c>
      <c r="G127" s="40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17</v>
      </c>
      <c r="J127">
        <v>0</v>
      </c>
      <c r="K127">
        <v>6</v>
      </c>
      <c r="L127">
        <v>0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3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0">
        <v>92.68</v>
      </c>
      <c r="AA127" s="19">
        <f>IFERROR(PROPERTIES[[#This Row],[TE_STARTING_KN]]/(PROPERTIES[[#This Row],[WEIGHT]]*9.81),0)</f>
        <v>0.20538049018304302</v>
      </c>
      <c r="AB127" s="19">
        <v>0</v>
      </c>
      <c r="AC127" s="16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6">
        <v>0</v>
      </c>
      <c r="AF127" s="6">
        <v>0</v>
      </c>
      <c r="AG127" t="s">
        <v>233</v>
      </c>
      <c r="AH127" t="s">
        <v>1950</v>
      </c>
      <c r="AI127" t="s">
        <v>229</v>
      </c>
      <c r="AJ127" s="2" t="s">
        <v>229</v>
      </c>
      <c r="AK127" s="2" t="s">
        <v>244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44" t="b">
        <v>0</v>
      </c>
      <c r="AP127" s="48" t="b">
        <v>0</v>
      </c>
      <c r="AQ127" s="48" t="b">
        <v>0</v>
      </c>
      <c r="AR127" s="48">
        <v>0</v>
      </c>
      <c r="AS127" s="48" t="b">
        <v>0</v>
      </c>
      <c r="AT127" s="7" t="b">
        <v>0</v>
      </c>
      <c r="AU127" s="40" t="str" cm="1">
        <f t="array" ref="AU127">_xlfn.XLOOKUP(PROPERTIES[[#This Row],[VEHIDCODE]],GRAPHICS_PROPERTIES[VEHIDCODE],GRAPHICS_PROPERTIES[TEMPLATE_ID]&amp;GRAPHICS_PROPERTIES[TEMPLATE_AMENDMENT_CODE])</f>
        <v>TPL_03C</v>
      </c>
    </row>
    <row r="128" spans="1:47" x14ac:dyDescent="0.35">
      <c r="A128" s="2" t="s">
        <v>2768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0" t="str">
        <f>_xlfn.XLOOKUP(PROPERTIES[[#This Row],[VEHIDCODE]],CONTROL[VEHIDCODE],CONTROL[ENGLISH])</f>
        <v>Swindon Works 381</v>
      </c>
      <c r="F128" t="s">
        <v>603</v>
      </c>
      <c r="G128" s="40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17</v>
      </c>
      <c r="J128">
        <v>0</v>
      </c>
      <c r="K128">
        <v>6</v>
      </c>
      <c r="L128">
        <v>0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3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0">
        <v>82.36</v>
      </c>
      <c r="AA128" s="19">
        <f>IFERROR(PROPERTIES[[#This Row],[TE_STARTING_KN]]/(PROPERTIES[[#This Row],[WEIGHT]]*9.81),0)</f>
        <v>0.20181525915470866</v>
      </c>
      <c r="AB128" s="19">
        <v>0</v>
      </c>
      <c r="AC128" s="16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6">
        <v>0</v>
      </c>
      <c r="AF128" s="6">
        <v>0</v>
      </c>
      <c r="AG128" t="s">
        <v>234</v>
      </c>
      <c r="AH128" t="s">
        <v>229</v>
      </c>
      <c r="AI128" t="s">
        <v>229</v>
      </c>
      <c r="AJ128" s="2" t="s">
        <v>229</v>
      </c>
      <c r="AK128" s="2" t="s">
        <v>244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44" t="b">
        <v>0</v>
      </c>
      <c r="AP128" s="48" t="b">
        <v>0</v>
      </c>
      <c r="AQ128" s="48" t="b">
        <v>0</v>
      </c>
      <c r="AR128" s="48">
        <v>0</v>
      </c>
      <c r="AS128" s="48" t="b">
        <v>0</v>
      </c>
      <c r="AT128" s="7" t="b">
        <v>0</v>
      </c>
      <c r="AU128" s="40" t="str" cm="1">
        <f t="array" ref="AU128">_xlfn.XLOOKUP(PROPERTIES[[#This Row],[VEHIDCODE]],GRAPHICS_PROPERTIES[VEHIDCODE],GRAPHICS_PROPERTIES[TEMPLATE_ID]&amp;GRAPHICS_PROPERTIES[TEMPLATE_AMENDMENT_CODE])</f>
        <v>TPL_03C</v>
      </c>
    </row>
    <row r="129" spans="1:47" x14ac:dyDescent="0.35">
      <c r="A129" s="2" t="s">
        <v>2769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0" t="str">
        <f>_xlfn.XLOOKUP(PROPERTIES[[#This Row],[VEHIDCODE]],CONTROL[VEHIDCODE],CONTROL[ENGLISH])</f>
        <v>North British LC R 4-6-4 Hudson</v>
      </c>
      <c r="F129" t="s">
        <v>541</v>
      </c>
      <c r="G129" s="40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17</v>
      </c>
      <c r="J129">
        <v>0</v>
      </c>
      <c r="K129">
        <v>8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3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0">
        <v>142.69999999999999</v>
      </c>
      <c r="AA129" s="19">
        <f>IFERROR(PROPERTIES[[#This Row],[TE_STARTING_KN]]/(PROPERTIES[[#This Row],[WEIGHT]]*9.81),0)</f>
        <v>7.7251095292771896E-2</v>
      </c>
      <c r="AB129" s="19">
        <v>0</v>
      </c>
      <c r="AC129" s="16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6">
        <v>0</v>
      </c>
      <c r="AF129" s="6">
        <v>5</v>
      </c>
      <c r="AG129" t="s">
        <v>232</v>
      </c>
      <c r="AH129" t="s">
        <v>229</v>
      </c>
      <c r="AI129" t="s">
        <v>229</v>
      </c>
      <c r="AJ129" s="2" t="s">
        <v>229</v>
      </c>
      <c r="AK129" s="2" t="s">
        <v>244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44" t="b">
        <v>0</v>
      </c>
      <c r="AP129" s="48" t="b">
        <v>0</v>
      </c>
      <c r="AQ129" s="48" t="b">
        <v>0</v>
      </c>
      <c r="AR129" s="48">
        <v>0</v>
      </c>
      <c r="AS129" s="48" t="b">
        <v>0</v>
      </c>
      <c r="AT129" s="7" t="b">
        <v>0</v>
      </c>
      <c r="AU129" s="40" t="str" cm="1">
        <f t="array" ref="AU129">_xlfn.XLOOKUP(PROPERTIES[[#This Row],[VEHIDCODE]],GRAPHICS_PROPERTIES[VEHIDCODE],GRAPHICS_PROPERTIES[TEMPLATE_ID]&amp;GRAPHICS_PROPERTIES[TEMPLATE_AMENDMENT_CODE])</f>
        <v>TPL_03A</v>
      </c>
    </row>
    <row r="130" spans="1:47" x14ac:dyDescent="0.35">
      <c r="A130" s="2" t="s">
        <v>2770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0" t="str">
        <f>_xlfn.XLOOKUP(PROPERTIES[[#This Row],[VEHIDCODE]],CONTROL[VEHIDCODE],CONTROL[ENGLISH])</f>
        <v>VEB 2-10-2T 99.77-79</v>
      </c>
      <c r="F130" t="s">
        <v>584</v>
      </c>
      <c r="G130" s="40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17</v>
      </c>
      <c r="J130">
        <v>0</v>
      </c>
      <c r="K130">
        <v>7</v>
      </c>
      <c r="L130">
        <v>0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3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0">
        <v>83.35</v>
      </c>
      <c r="AA130" s="19">
        <f>IFERROR(PROPERTIES[[#This Row],[TE_STARTING_KN]]/(PROPERTIES[[#This Row],[WEIGHT]]*9.81),0)</f>
        <v>0.15448058567324618</v>
      </c>
      <c r="AB130" s="19">
        <v>0</v>
      </c>
      <c r="AC130" s="16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6">
        <v>0</v>
      </c>
      <c r="AF130" s="6">
        <v>0</v>
      </c>
      <c r="AG130" t="s">
        <v>230</v>
      </c>
      <c r="AH130" t="s">
        <v>229</v>
      </c>
      <c r="AI130" t="s">
        <v>229</v>
      </c>
      <c r="AJ130" s="2" t="s">
        <v>229</v>
      </c>
      <c r="AK130" s="2" t="s">
        <v>244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44" t="b">
        <v>0</v>
      </c>
      <c r="AP130" s="48" t="b">
        <v>0</v>
      </c>
      <c r="AQ130" s="48" t="b">
        <v>0</v>
      </c>
      <c r="AR130" s="48">
        <v>0</v>
      </c>
      <c r="AS130" s="48" t="b">
        <v>0</v>
      </c>
      <c r="AT130" s="7" t="b">
        <v>0</v>
      </c>
      <c r="AU130" s="40" t="str" cm="1">
        <f t="array" ref="AU130">_xlfn.XLOOKUP(PROPERTIES[[#This Row],[VEHIDCODE]],GRAPHICS_PROPERTIES[VEHIDCODE],GRAPHICS_PROPERTIES[TEMPLATE_ID]&amp;GRAPHICS_PROPERTIES[TEMPLATE_AMENDMENT_CODE])</f>
        <v>TPL_03C</v>
      </c>
    </row>
    <row r="131" spans="1:47" x14ac:dyDescent="0.35">
      <c r="A131" s="2" t="s">
        <v>2771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0" t="str">
        <f>_xlfn.XLOOKUP(PROPERTIES[[#This Row],[VEHIDCODE]],CONTROL[VEHIDCODE],CONTROL[ENGLISH])</f>
        <v xml:space="preserve">RAW Meiningen 4-6-2 89 </v>
      </c>
      <c r="F131" t="s">
        <v>584</v>
      </c>
      <c r="G131" s="40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17</v>
      </c>
      <c r="J131">
        <v>0</v>
      </c>
      <c r="K131">
        <v>8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3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0">
        <v>0</v>
      </c>
      <c r="AA131" s="19">
        <f>IFERROR(PROPERTIES[[#This Row],[TE_STARTING_KN]]/(PROPERTIES[[#This Row],[WEIGHT]]*9.81),0)</f>
        <v>0</v>
      </c>
      <c r="AB131" s="19">
        <v>0.06</v>
      </c>
      <c r="AC131" s="16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6">
        <v>0</v>
      </c>
      <c r="AF131" s="6">
        <v>6</v>
      </c>
      <c r="AG131" t="s">
        <v>230</v>
      </c>
      <c r="AH131" t="s">
        <v>229</v>
      </c>
      <c r="AI131" t="s">
        <v>229</v>
      </c>
      <c r="AJ131" s="2" t="s">
        <v>229</v>
      </c>
      <c r="AK131" s="2" t="s">
        <v>244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44" t="b">
        <v>0</v>
      </c>
      <c r="AP131" s="48" t="b">
        <v>0</v>
      </c>
      <c r="AQ131" s="48" t="b">
        <v>0</v>
      </c>
      <c r="AR131" s="48">
        <v>0</v>
      </c>
      <c r="AS131" s="48" t="b">
        <v>0</v>
      </c>
      <c r="AT131" s="7" t="b">
        <v>0</v>
      </c>
      <c r="AU131" s="40" t="str" cm="1">
        <f t="array" ref="AU131">_xlfn.XLOOKUP(PROPERTIES[[#This Row],[VEHIDCODE]],GRAPHICS_PROPERTIES[VEHIDCODE],GRAPHICS_PROPERTIES[TEMPLATE_ID]&amp;GRAPHICS_PROPERTIES[TEMPLATE_AMENDMENT_CODE])</f>
        <v>TPL_03A</v>
      </c>
    </row>
    <row r="132" spans="1:47" x14ac:dyDescent="0.35">
      <c r="A132" s="2" t="s">
        <v>2772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0" t="str">
        <f>_xlfn.XLOOKUP(PROPERTIES[[#This Row],[VEHIDCODE]],CONTROL[VEHIDCODE],CONTROL[ENGLISH])</f>
        <v>NZR 4-6-4T 'WAB'</v>
      </c>
      <c r="F132" t="s">
        <v>697</v>
      </c>
      <c r="G132" s="40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17</v>
      </c>
      <c r="J132">
        <v>0</v>
      </c>
      <c r="K132">
        <v>6</v>
      </c>
      <c r="L132">
        <v>0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3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0">
        <v>99</v>
      </c>
      <c r="AA132" s="19">
        <f>IFERROR(PROPERTIES[[#This Row],[TE_STARTING_KN]]/(PROPERTIES[[#This Row],[WEIGHT]]*9.81),0)</f>
        <v>0.13637490701710883</v>
      </c>
      <c r="AB132" s="19">
        <v>0</v>
      </c>
      <c r="AC132" s="16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6">
        <v>0</v>
      </c>
      <c r="AF132" s="6">
        <v>0</v>
      </c>
      <c r="AG132" t="s">
        <v>232</v>
      </c>
      <c r="AH132" t="s">
        <v>229</v>
      </c>
      <c r="AI132" t="s">
        <v>229</v>
      </c>
      <c r="AJ132" s="2" t="s">
        <v>229</v>
      </c>
      <c r="AK132" s="2" t="s">
        <v>244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44" t="b">
        <v>0</v>
      </c>
      <c r="AP132" s="48" t="b">
        <v>0</v>
      </c>
      <c r="AQ132" s="48" t="b">
        <v>0</v>
      </c>
      <c r="AR132" s="48">
        <v>0</v>
      </c>
      <c r="AS132" s="48" t="b">
        <v>0</v>
      </c>
      <c r="AT132" s="7" t="b">
        <v>0</v>
      </c>
      <c r="AU132" s="40" t="str" cm="1">
        <f t="array" ref="AU132">_xlfn.XLOOKUP(PROPERTIES[[#This Row],[VEHIDCODE]],GRAPHICS_PROPERTIES[VEHIDCODE],GRAPHICS_PROPERTIES[TEMPLATE_ID]&amp;GRAPHICS_PROPERTIES[TEMPLATE_AMENDMENT_CODE])</f>
        <v>TPL_03C</v>
      </c>
    </row>
    <row r="133" spans="1:47" x14ac:dyDescent="0.35">
      <c r="A133" s="2" t="s">
        <v>2773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0" t="str">
        <f>_xlfn.XLOOKUP(PROPERTIES[[#This Row],[VEHIDCODE]],CONTROL[VEHIDCODE],CONTROL[ENGLISH])</f>
        <v>Clyde 4-8-2 'D57'</v>
      </c>
      <c r="F133" t="s">
        <v>541</v>
      </c>
      <c r="G133" s="40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17</v>
      </c>
      <c r="J133">
        <v>0</v>
      </c>
      <c r="K133">
        <v>8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3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0">
        <v>289.10000000000002</v>
      </c>
      <c r="AA133" s="19">
        <f>IFERROR(PROPERTIES[[#This Row],[TE_STARTING_KN]]/(PROPERTIES[[#This Row],[WEIGHT]]*9.81),0)</f>
        <v>0.12757544867636611</v>
      </c>
      <c r="AB133" s="19">
        <v>0</v>
      </c>
      <c r="AC133" s="16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6">
        <v>0</v>
      </c>
      <c r="AF133" s="6">
        <v>5</v>
      </c>
      <c r="AG133" t="s">
        <v>232</v>
      </c>
      <c r="AH133" t="s">
        <v>229</v>
      </c>
      <c r="AI133" t="s">
        <v>229</v>
      </c>
      <c r="AJ133" s="2" t="s">
        <v>229</v>
      </c>
      <c r="AK133" s="2" t="s">
        <v>244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44" t="b">
        <v>0</v>
      </c>
      <c r="AP133" s="48" t="b">
        <v>0</v>
      </c>
      <c r="AQ133" s="48" t="b">
        <v>0</v>
      </c>
      <c r="AR133" s="48">
        <v>0</v>
      </c>
      <c r="AS133" s="48" t="b">
        <v>0</v>
      </c>
      <c r="AT133" s="7" t="b">
        <v>0</v>
      </c>
      <c r="AU133" s="40" t="str" cm="1">
        <f t="array" ref="AU133">_xlfn.XLOOKUP(PROPERTIES[[#This Row],[VEHIDCODE]],GRAPHICS_PROPERTIES[VEHIDCODE],GRAPHICS_PROPERTIES[TEMPLATE_ID]&amp;GRAPHICS_PROPERTIES[TEMPLATE_AMENDMENT_CODE])</f>
        <v>TPL_03A</v>
      </c>
    </row>
    <row r="134" spans="1:47" x14ac:dyDescent="0.35">
      <c r="A134" s="2" t="s">
        <v>2774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0" t="str">
        <f>_xlfn.XLOOKUP(PROPERTIES[[#This Row],[VEHIDCODE]],CONTROL[VEHIDCODE],CONTROL[ENGLISH])</f>
        <v>Islington Railway Workshops 81-92 520</v>
      </c>
      <c r="F134" t="s">
        <v>541</v>
      </c>
      <c r="G134" s="40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17</v>
      </c>
      <c r="J134">
        <v>0</v>
      </c>
      <c r="K134">
        <v>8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3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0">
        <v>145</v>
      </c>
      <c r="AA134" s="19">
        <f>IFERROR(PROPERTIES[[#This Row],[TE_STARTING_KN]]/(PROPERTIES[[#This Row],[WEIGHT]]*9.81),0)</f>
        <v>7.3904179408766563E-2</v>
      </c>
      <c r="AB134" s="19">
        <v>0</v>
      </c>
      <c r="AC134" s="16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6">
        <v>0</v>
      </c>
      <c r="AF134" s="6">
        <v>5</v>
      </c>
      <c r="AG134" t="s">
        <v>232</v>
      </c>
      <c r="AH134" t="s">
        <v>229</v>
      </c>
      <c r="AI134" t="s">
        <v>229</v>
      </c>
      <c r="AJ134" s="2" t="s">
        <v>229</v>
      </c>
      <c r="AK134" s="2" t="s">
        <v>244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44" t="b">
        <v>0</v>
      </c>
      <c r="AP134" s="48" t="b">
        <v>0</v>
      </c>
      <c r="AQ134" s="48" t="b">
        <v>0</v>
      </c>
      <c r="AR134" s="48">
        <v>0</v>
      </c>
      <c r="AS134" s="48" t="b">
        <v>0</v>
      </c>
      <c r="AT134" s="7" t="b">
        <v>0</v>
      </c>
      <c r="AU134" s="40" t="str" cm="1">
        <f t="array" ref="AU134">_xlfn.XLOOKUP(PROPERTIES[[#This Row],[VEHIDCODE]],GRAPHICS_PROPERTIES[VEHIDCODE],GRAPHICS_PROPERTIES[TEMPLATE_ID]&amp;GRAPHICS_PROPERTIES[TEMPLATE_AMENDMENT_CODE])</f>
        <v>TPL_03A</v>
      </c>
    </row>
    <row r="135" spans="1:47" x14ac:dyDescent="0.35">
      <c r="A135" s="2" t="s">
        <v>2775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0" t="str">
        <f>_xlfn.XLOOKUP(PROPERTIES[[#This Row],[VEHIDCODE]],CONTROL[VEHIDCODE],CONTROL[ENGLISH])</f>
        <v>Beyer, P &amp; Co. 4-8-4+4-8-4 7473-7497</v>
      </c>
      <c r="F135" t="s">
        <v>541</v>
      </c>
      <c r="G135" s="40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17</v>
      </c>
      <c r="J135">
        <v>0</v>
      </c>
      <c r="K135">
        <v>4</v>
      </c>
      <c r="L135">
        <v>4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3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0">
        <f>264.9*2</f>
        <v>529.79999999999995</v>
      </c>
      <c r="AA135" s="19">
        <f>IFERROR(PROPERTIES[[#This Row],[TE_STARTING_KN]]/(PROPERTIES[[#This Row],[WEIGHT]]*9.81),0)</f>
        <v>0.20851782319672227</v>
      </c>
      <c r="AB135" s="19">
        <v>0</v>
      </c>
      <c r="AC135" s="16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6">
        <v>0</v>
      </c>
      <c r="AF135" s="6">
        <v>4</v>
      </c>
      <c r="AG135" t="s">
        <v>232</v>
      </c>
      <c r="AH135" t="s">
        <v>229</v>
      </c>
      <c r="AI135" t="s">
        <v>229</v>
      </c>
      <c r="AJ135" s="2" t="s">
        <v>229</v>
      </c>
      <c r="AK135" s="2" t="s">
        <v>244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44" t="b">
        <v>0</v>
      </c>
      <c r="AP135" s="48" t="b">
        <v>0</v>
      </c>
      <c r="AQ135" s="48" t="b">
        <v>0</v>
      </c>
      <c r="AR135" s="48">
        <v>0</v>
      </c>
      <c r="AS135" s="48" t="b">
        <v>0</v>
      </c>
      <c r="AT135" s="7" t="b">
        <v>0</v>
      </c>
      <c r="AU135" s="40" t="str" cm="1">
        <f t="array" ref="AU135">_xlfn.XLOOKUP(PROPERTIES[[#This Row],[VEHIDCODE]],GRAPHICS_PROPERTIES[VEHIDCODE],GRAPHICS_PROPERTIES[TEMPLATE_ID]&amp;GRAPHICS_PROPERTIES[TEMPLATE_AMENDMENT_CODE])</f>
        <v>TPL_17C</v>
      </c>
    </row>
    <row r="136" spans="1:47" x14ac:dyDescent="0.35">
      <c r="A136" s="2" t="s">
        <v>2776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0" t="str">
        <f>_xlfn.XLOOKUP(PROPERTIES[[#This Row],[VEHIDCODE]],CONTROL[VEHIDCODE],CONTROL[ENGLISH])</f>
        <v>AFE N1 2-6-0</v>
      </c>
      <c r="F136" t="s">
        <v>758</v>
      </c>
      <c r="G136" s="40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17</v>
      </c>
      <c r="J136">
        <v>0</v>
      </c>
      <c r="K136">
        <v>5</v>
      </c>
      <c r="L136">
        <v>0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3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0">
        <v>0</v>
      </c>
      <c r="AA136" s="19">
        <f>IFERROR(PROPERTIES[[#This Row],[TE_STARTING_KN]]/(PROPERTIES[[#This Row],[WEIGHT]]*9.81),0)</f>
        <v>0</v>
      </c>
      <c r="AB136" s="19">
        <v>0.1</v>
      </c>
      <c r="AC136" s="16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6">
        <v>0</v>
      </c>
      <c r="AF136" s="6">
        <v>3</v>
      </c>
      <c r="AG136" t="s">
        <v>237</v>
      </c>
      <c r="AH136" t="s">
        <v>229</v>
      </c>
      <c r="AI136" t="s">
        <v>229</v>
      </c>
      <c r="AJ136" s="2" t="s">
        <v>229</v>
      </c>
      <c r="AK136" s="2" t="s">
        <v>244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44" t="b">
        <v>0</v>
      </c>
      <c r="AP136" s="48" t="b">
        <v>0</v>
      </c>
      <c r="AQ136" s="48" t="b">
        <v>0</v>
      </c>
      <c r="AR136" s="48">
        <v>0</v>
      </c>
      <c r="AS136" s="48" t="b">
        <v>0</v>
      </c>
      <c r="AT136" s="7" t="b">
        <v>0</v>
      </c>
      <c r="AU136" s="40" t="str" cm="1">
        <f t="array" ref="AU136">_xlfn.XLOOKUP(PROPERTIES[[#This Row],[VEHIDCODE]],GRAPHICS_PROPERTIES[VEHIDCODE],GRAPHICS_PROPERTIES[TEMPLATE_ID]&amp;GRAPHICS_PROPERTIES[TEMPLATE_AMENDMENT_CODE])</f>
        <v>TPL_03A</v>
      </c>
    </row>
    <row r="137" spans="1:47" x14ac:dyDescent="0.35">
      <c r="A137" s="2" t="s">
        <v>2777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0" t="str">
        <f>_xlfn.XLOOKUP(PROPERTIES[[#This Row],[VEHIDCODE]],CONTROL[VEHIDCODE],CONTROL[ENGLISH])</f>
        <v>Sir Armstrong Whithworth &amp; Co. PS11</v>
      </c>
      <c r="F137" t="s">
        <v>538</v>
      </c>
      <c r="G137" s="40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17</v>
      </c>
      <c r="J137">
        <v>0</v>
      </c>
      <c r="K137">
        <v>8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3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0">
        <v>0</v>
      </c>
      <c r="AA137" s="19">
        <f>IFERROR(PROPERTIES[[#This Row],[TE_STARTING_KN]]/(PROPERTIES[[#This Row],[WEIGHT]]*9.81),0)</f>
        <v>0</v>
      </c>
      <c r="AB137" s="19">
        <v>0.08</v>
      </c>
      <c r="AC137" s="16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6">
        <v>0</v>
      </c>
      <c r="AF137" s="6">
        <v>5</v>
      </c>
      <c r="AG137" t="s">
        <v>237</v>
      </c>
      <c r="AH137" t="s">
        <v>229</v>
      </c>
      <c r="AI137" t="s">
        <v>229</v>
      </c>
      <c r="AJ137" s="2" t="s">
        <v>229</v>
      </c>
      <c r="AK137" s="2" t="s">
        <v>244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44" t="b">
        <v>0</v>
      </c>
      <c r="AP137" s="48" t="b">
        <v>0</v>
      </c>
      <c r="AQ137" s="48" t="b">
        <v>0</v>
      </c>
      <c r="AR137" s="48">
        <v>0</v>
      </c>
      <c r="AS137" s="48" t="b">
        <v>0</v>
      </c>
      <c r="AT137" s="7" t="b">
        <v>0</v>
      </c>
      <c r="AU137" s="40" t="str" cm="1">
        <f t="array" ref="AU137">_xlfn.XLOOKUP(PROPERTIES[[#This Row],[VEHIDCODE]],GRAPHICS_PROPERTIES[VEHIDCODE],GRAPHICS_PROPERTIES[TEMPLATE_ID]&amp;GRAPHICS_PROPERTIES[TEMPLATE_AMENDMENT_CODE])</f>
        <v>TPL_03A</v>
      </c>
    </row>
    <row r="138" spans="1:47" x14ac:dyDescent="0.35">
      <c r="A138" s="2" t="s">
        <v>2778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0" t="str">
        <f>_xlfn.XLOOKUP(PROPERTIES[[#This Row],[VEHIDCODE]],CONTROL[VEHIDCODE],CONTROL[ENGLISH])</f>
        <v>Alexander Chaplin &amp; Co. 1584 0-4-0VB</v>
      </c>
      <c r="F138" t="s">
        <v>771</v>
      </c>
      <c r="G138" s="40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17</v>
      </c>
      <c r="J138">
        <v>0</v>
      </c>
      <c r="K138">
        <v>3</v>
      </c>
      <c r="L138">
        <v>0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3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0">
        <v>14.6</v>
      </c>
      <c r="AA138" s="19">
        <f>IFERROR(PROPERTIES[[#This Row],[TE_STARTING_KN]]/(PROPERTIES[[#This Row],[WEIGHT]]*9.81),0)</f>
        <v>0.18603465851172271</v>
      </c>
      <c r="AB138" s="19">
        <v>0</v>
      </c>
      <c r="AC138" s="16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6">
        <v>0</v>
      </c>
      <c r="AF138" s="6">
        <v>0</v>
      </c>
      <c r="AG138" t="s">
        <v>233</v>
      </c>
      <c r="AH138" t="s">
        <v>229</v>
      </c>
      <c r="AI138" t="s">
        <v>229</v>
      </c>
      <c r="AJ138" s="2" t="s">
        <v>229</v>
      </c>
      <c r="AK138" s="2" t="s">
        <v>244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44" t="b">
        <v>0</v>
      </c>
      <c r="AP138" s="48" t="b">
        <v>0</v>
      </c>
      <c r="AQ138" s="48" t="b">
        <v>0</v>
      </c>
      <c r="AR138" s="48">
        <v>0</v>
      </c>
      <c r="AS138" s="48" t="b">
        <v>0</v>
      </c>
      <c r="AT138" s="7" t="b">
        <v>0</v>
      </c>
      <c r="AU138" s="40" t="str" cm="1">
        <f t="array" ref="AU138">_xlfn.XLOOKUP(PROPERTIES[[#This Row],[VEHIDCODE]],GRAPHICS_PROPERTIES[VEHIDCODE],GRAPHICS_PROPERTIES[TEMPLATE_ID]&amp;GRAPHICS_PROPERTIES[TEMPLATE_AMENDMENT_CODE])</f>
        <v>TPL_03C</v>
      </c>
    </row>
    <row r="139" spans="1:47" x14ac:dyDescent="0.35">
      <c r="A139" s="2" t="s">
        <v>2779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0" t="str">
        <f>_xlfn.XLOOKUP(PROPERTIES[[#This Row],[VEHIDCODE]],CONTROL[VEHIDCODE],CONTROL[ENGLISH])</f>
        <v>Falcon Engine and Car Works F2</v>
      </c>
      <c r="F139" t="s">
        <v>685</v>
      </c>
      <c r="G139" s="40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17</v>
      </c>
      <c r="J139">
        <v>0</v>
      </c>
      <c r="K139">
        <v>4</v>
      </c>
      <c r="L139">
        <v>0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3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0">
        <v>13</v>
      </c>
      <c r="AA139" s="19">
        <f>IFERROR(PROPERTIES[[#This Row],[TE_STARTING_KN]]/(PROPERTIES[[#This Row],[WEIGHT]]*9.81),0)</f>
        <v>6.6258919469928637E-2</v>
      </c>
      <c r="AB139" s="19">
        <v>0</v>
      </c>
      <c r="AC139" s="16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6">
        <v>0</v>
      </c>
      <c r="AF139" s="6">
        <v>3</v>
      </c>
      <c r="AG139" t="s">
        <v>233</v>
      </c>
      <c r="AH139" t="s">
        <v>229</v>
      </c>
      <c r="AI139" t="s">
        <v>229</v>
      </c>
      <c r="AJ139" s="2" t="s">
        <v>229</v>
      </c>
      <c r="AK139" s="2" t="s">
        <v>244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44" t="b">
        <v>0</v>
      </c>
      <c r="AP139" s="48" t="b">
        <v>0</v>
      </c>
      <c r="AQ139" s="48" t="b">
        <v>0</v>
      </c>
      <c r="AR139" s="48">
        <v>0</v>
      </c>
      <c r="AS139" s="48" t="b">
        <v>0</v>
      </c>
      <c r="AT139" s="7" t="b">
        <v>0</v>
      </c>
      <c r="AU139" s="40" t="str" cm="1">
        <f t="array" ref="AU139">_xlfn.XLOOKUP(PROPERTIES[[#This Row],[VEHIDCODE]],GRAPHICS_PROPERTIES[VEHIDCODE],GRAPHICS_PROPERTIES[TEMPLATE_ID]&amp;GRAPHICS_PROPERTIES[TEMPLATE_AMENDMENT_CODE])</f>
        <v>TPL_03A</v>
      </c>
    </row>
    <row r="140" spans="1:47" x14ac:dyDescent="0.35">
      <c r="A140" s="2" t="s">
        <v>2780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0" t="str">
        <f>_xlfn.XLOOKUP(PROPERTIES[[#This Row],[VEHIDCODE]],CONTROL[VEHIDCODE],CONTROL[ENGLISH])</f>
        <v>Ansaldo R.440 'Mallet'</v>
      </c>
      <c r="F140" t="s">
        <v>594</v>
      </c>
      <c r="G140" s="40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17</v>
      </c>
      <c r="J140">
        <v>0</v>
      </c>
      <c r="K140">
        <v>5</v>
      </c>
      <c r="L140">
        <v>0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3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0">
        <v>48</v>
      </c>
      <c r="AA140" s="19">
        <f>IFERROR(PROPERTIES[[#This Row],[TE_STARTING_KN]]/(PROPERTIES[[#This Row],[WEIGHT]]*9.81),0)</f>
        <v>0.13979903888160769</v>
      </c>
      <c r="AB140" s="19">
        <v>0</v>
      </c>
      <c r="AC140" s="16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6">
        <v>0</v>
      </c>
      <c r="AF140" s="6">
        <v>0</v>
      </c>
      <c r="AG140" t="s">
        <v>233</v>
      </c>
      <c r="AH140" t="s">
        <v>229</v>
      </c>
      <c r="AI140" t="s">
        <v>229</v>
      </c>
      <c r="AJ140" s="2" t="s">
        <v>229</v>
      </c>
      <c r="AK140" s="2" t="s">
        <v>244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44" t="b">
        <v>0</v>
      </c>
      <c r="AP140" s="48" t="b">
        <v>0</v>
      </c>
      <c r="AQ140" s="48" t="b">
        <v>0</v>
      </c>
      <c r="AR140" s="48">
        <v>0</v>
      </c>
      <c r="AS140" s="48" t="b">
        <v>0</v>
      </c>
      <c r="AT140" s="7" t="b">
        <v>0</v>
      </c>
      <c r="AU140" s="40" t="str" cm="1">
        <f t="array" ref="AU140">_xlfn.XLOOKUP(PROPERTIES[[#This Row],[VEHIDCODE]],GRAPHICS_PROPERTIES[VEHIDCODE],GRAPHICS_PROPERTIES[TEMPLATE_ID]&amp;GRAPHICS_PROPERTIES[TEMPLATE_AMENDMENT_CODE])</f>
        <v>TPL_03C</v>
      </c>
    </row>
    <row r="141" spans="1:47" x14ac:dyDescent="0.35">
      <c r="A141" s="2" t="s">
        <v>2781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0" t="str">
        <f>_xlfn.XLOOKUP(PROPERTIES[[#This Row],[VEHIDCODE]],CONTROL[VEHIDCODE],CONTROL[ENGLISH])</f>
        <v>Beyer, P &amp; Co. 4-8-0 6128-6133</v>
      </c>
      <c r="F141" t="s">
        <v>641</v>
      </c>
      <c r="G141" s="40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17</v>
      </c>
      <c r="J141">
        <v>0</v>
      </c>
      <c r="K141">
        <v>5</v>
      </c>
      <c r="L141">
        <v>0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3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0">
        <v>108.49</v>
      </c>
      <c r="AA141" s="19">
        <f>IFERROR(PROPERTIES[[#This Row],[TE_STARTING_KN]]/(PROPERTIES[[#This Row],[WEIGHT]]*9.81),0)</f>
        <v>0.10239929021784271</v>
      </c>
      <c r="AB141" s="19">
        <v>0</v>
      </c>
      <c r="AC141" s="16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6">
        <v>0</v>
      </c>
      <c r="AF141" s="6">
        <v>3</v>
      </c>
      <c r="AG141" t="s">
        <v>233</v>
      </c>
      <c r="AH141" t="s">
        <v>229</v>
      </c>
      <c r="AI141" t="s">
        <v>229</v>
      </c>
      <c r="AJ141" s="2" t="s">
        <v>229</v>
      </c>
      <c r="AK141" s="2" t="s">
        <v>244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44" t="b">
        <v>0</v>
      </c>
      <c r="AP141" s="48" t="b">
        <v>0</v>
      </c>
      <c r="AQ141" s="48" t="b">
        <v>0</v>
      </c>
      <c r="AR141" s="48">
        <v>0</v>
      </c>
      <c r="AS141" s="48" t="b">
        <v>0</v>
      </c>
      <c r="AT141" s="7" t="b">
        <v>0</v>
      </c>
      <c r="AU141" s="40" t="str" cm="1">
        <f t="array" ref="AU141">_xlfn.XLOOKUP(PROPERTIES[[#This Row],[VEHIDCODE]],GRAPHICS_PROPERTIES[VEHIDCODE],GRAPHICS_PROPERTIES[TEMPLATE_ID]&amp;GRAPHICS_PROPERTIES[TEMPLATE_AMENDMENT_CODE])</f>
        <v>TPL_03A</v>
      </c>
    </row>
    <row r="142" spans="1:47" x14ac:dyDescent="0.35">
      <c r="A142" s="2" t="s">
        <v>2782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0" t="str">
        <f>_xlfn.XLOOKUP(PROPERTIES[[#This Row],[VEHIDCODE]],CONTROL[VEHIDCODE],CONTROL[ENGLISH])</f>
        <v>Vulcan Foundry 4-8-2 4318-4320</v>
      </c>
      <c r="F142" t="s">
        <v>641</v>
      </c>
      <c r="G142" s="40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17</v>
      </c>
      <c r="J142">
        <v>0</v>
      </c>
      <c r="K142">
        <v>6</v>
      </c>
      <c r="L142">
        <v>0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3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0">
        <v>108.09</v>
      </c>
      <c r="AA142" s="19">
        <f>IFERROR(PROPERTIES[[#This Row],[TE_STARTING_KN]]/(PROPERTIES[[#This Row],[WEIGHT]]*9.81),0)</f>
        <v>0.11696760747190245</v>
      </c>
      <c r="AB142" s="19">
        <v>0</v>
      </c>
      <c r="AC142" s="16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6">
        <v>0</v>
      </c>
      <c r="AF142" s="6">
        <v>3</v>
      </c>
      <c r="AG142" t="s">
        <v>233</v>
      </c>
      <c r="AH142" t="s">
        <v>229</v>
      </c>
      <c r="AI142" t="s">
        <v>229</v>
      </c>
      <c r="AJ142" s="2" t="s">
        <v>229</v>
      </c>
      <c r="AK142" s="2" t="s">
        <v>244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44" t="b">
        <v>0</v>
      </c>
      <c r="AP142" s="48" t="b">
        <v>0</v>
      </c>
      <c r="AQ142" s="48" t="b">
        <v>0</v>
      </c>
      <c r="AR142" s="48">
        <v>0</v>
      </c>
      <c r="AS142" s="48" t="b">
        <v>0</v>
      </c>
      <c r="AT142" s="7" t="b">
        <v>0</v>
      </c>
      <c r="AU142" s="40" t="str" cm="1">
        <f t="array" ref="AU142">_xlfn.XLOOKUP(PROPERTIES[[#This Row],[VEHIDCODE]],GRAPHICS_PROPERTIES[VEHIDCODE],GRAPHICS_PROPERTIES[TEMPLATE_ID]&amp;GRAPHICS_PROPERTIES[TEMPLATE_AMENDMENT_CODE])</f>
        <v>TPL_03A</v>
      </c>
    </row>
    <row r="143" spans="1:47" x14ac:dyDescent="0.35">
      <c r="A143" s="2" t="s">
        <v>2783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0" t="str">
        <f>_xlfn.XLOOKUP(PROPERTIES[[#This Row],[VEHIDCODE]],CONTROL[VEHIDCODE],CONTROL[ENGLISH])</f>
        <v>Beyer, P &amp; Co. 4-6-4+4-6-4 '15th'</v>
      </c>
      <c r="F143" t="s">
        <v>773</v>
      </c>
      <c r="G143" s="40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17</v>
      </c>
      <c r="J143">
        <v>0</v>
      </c>
      <c r="K143">
        <v>4</v>
      </c>
      <c r="L143">
        <v>4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3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0">
        <v>190.1</v>
      </c>
      <c r="AA143" s="19">
        <f>IFERROR(PROPERTIES[[#This Row],[TE_STARTING_KN]]/(PROPERTIES[[#This Row],[WEIGHT]]*9.81),0)</f>
        <v>0.10795646532019229</v>
      </c>
      <c r="AB143" s="19">
        <v>0</v>
      </c>
      <c r="AC143" s="16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6">
        <v>0</v>
      </c>
      <c r="AF143" s="6">
        <v>4</v>
      </c>
      <c r="AG143" t="s">
        <v>233</v>
      </c>
      <c r="AH143" t="s">
        <v>229</v>
      </c>
      <c r="AI143" t="s">
        <v>229</v>
      </c>
      <c r="AJ143" s="2" t="s">
        <v>229</v>
      </c>
      <c r="AK143" s="2" t="s">
        <v>244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44" t="b">
        <v>0</v>
      </c>
      <c r="AP143" s="48" t="b">
        <v>0</v>
      </c>
      <c r="AQ143" s="48" t="b">
        <v>0</v>
      </c>
      <c r="AR143" s="48">
        <v>0</v>
      </c>
      <c r="AS143" s="48" t="b">
        <v>0</v>
      </c>
      <c r="AT143" s="7" t="b">
        <v>0</v>
      </c>
      <c r="AU143" s="40" t="str" cm="1">
        <f t="array" ref="AU143">_xlfn.XLOOKUP(PROPERTIES[[#This Row],[VEHIDCODE]],GRAPHICS_PROPERTIES[VEHIDCODE],GRAPHICS_PROPERTIES[TEMPLATE_ID]&amp;GRAPHICS_PROPERTIES[TEMPLATE_AMENDMENT_CODE])</f>
        <v>TPL_17C</v>
      </c>
    </row>
    <row r="144" spans="1:47" x14ac:dyDescent="0.35">
      <c r="A144" s="2" t="s">
        <v>2784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0" t="str">
        <f>_xlfn.XLOOKUP(PROPERTIES[[#This Row],[VEHIDCODE]],CONTROL[VEHIDCODE],CONTROL[ENGLISH])</f>
        <v>Beyer, P &amp; Co. 4-8-2+2-8-4 7550-7552</v>
      </c>
      <c r="F144" t="s">
        <v>771</v>
      </c>
      <c r="G144" s="40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17</v>
      </c>
      <c r="J144">
        <v>0</v>
      </c>
      <c r="K144">
        <v>4</v>
      </c>
      <c r="L144">
        <v>4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3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0">
        <v>430</v>
      </c>
      <c r="AA144" s="19">
        <f>IFERROR(PROPERTIES[[#This Row],[TE_STARTING_KN]]/(PROPERTIES[[#This Row],[WEIGHT]]*9.81),0)</f>
        <v>0.1816528124713527</v>
      </c>
      <c r="AB144" s="19">
        <v>0</v>
      </c>
      <c r="AC144" s="16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6">
        <v>0</v>
      </c>
      <c r="AF144" s="6">
        <v>5</v>
      </c>
      <c r="AG144" t="s">
        <v>233</v>
      </c>
      <c r="AH144" t="s">
        <v>229</v>
      </c>
      <c r="AI144" t="s">
        <v>229</v>
      </c>
      <c r="AJ144" s="2" t="s">
        <v>229</v>
      </c>
      <c r="AK144" s="2" t="s">
        <v>244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44" t="b">
        <v>0</v>
      </c>
      <c r="AP144" s="48" t="b">
        <v>0</v>
      </c>
      <c r="AQ144" s="48" t="b">
        <v>0</v>
      </c>
      <c r="AR144" s="48">
        <v>0</v>
      </c>
      <c r="AS144" s="48" t="b">
        <v>0</v>
      </c>
      <c r="AT144" s="7" t="b">
        <v>0</v>
      </c>
      <c r="AU144" s="40" t="str" cm="1">
        <f t="array" ref="AU144">_xlfn.XLOOKUP(PROPERTIES[[#This Row],[VEHIDCODE]],GRAPHICS_PROPERTIES[VEHIDCODE],GRAPHICS_PROPERTIES[TEMPLATE_ID]&amp;GRAPHICS_PROPERTIES[TEMPLATE_AMENDMENT_CODE])</f>
        <v>TPL_17C</v>
      </c>
    </row>
    <row r="145" spans="1:47" x14ac:dyDescent="0.35">
      <c r="A145" s="2" t="s">
        <v>2785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0" t="str">
        <f>_xlfn.XLOOKUP(PROPERTIES[[#This Row],[VEHIDCODE]],CONTROL[VEHIDCODE],CONTROL[ENGLISH])</f>
        <v>Vulcan Foundry 2-8-4 6228</v>
      </c>
      <c r="F145" t="s">
        <v>641</v>
      </c>
      <c r="G145" s="40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17</v>
      </c>
      <c r="J145">
        <v>0</v>
      </c>
      <c r="K145">
        <v>7</v>
      </c>
      <c r="L145">
        <v>0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3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0">
        <v>118.32</v>
      </c>
      <c r="AA145" s="19">
        <f>IFERROR(PROPERTIES[[#This Row],[TE_STARTING_KN]]/(PROPERTIES[[#This Row],[WEIGHT]]*9.81),0)</f>
        <v>8.9209778694605793E-2</v>
      </c>
      <c r="AB145" s="19">
        <v>0</v>
      </c>
      <c r="AC145" s="16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6">
        <v>0</v>
      </c>
      <c r="AF145" s="6">
        <v>4</v>
      </c>
      <c r="AG145" t="s">
        <v>233</v>
      </c>
      <c r="AH145" t="s">
        <v>229</v>
      </c>
      <c r="AI145" t="s">
        <v>229</v>
      </c>
      <c r="AJ145" s="2" t="s">
        <v>229</v>
      </c>
      <c r="AK145" s="2" t="s">
        <v>244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44" t="b">
        <v>0</v>
      </c>
      <c r="AP145" s="48" t="b">
        <v>0</v>
      </c>
      <c r="AQ145" s="48" t="b">
        <v>0</v>
      </c>
      <c r="AR145" s="48">
        <v>0</v>
      </c>
      <c r="AS145" s="48" t="b">
        <v>0</v>
      </c>
      <c r="AT145" s="7" t="b">
        <v>0</v>
      </c>
      <c r="AU145" s="40" t="str" cm="1">
        <f t="array" ref="AU145">_xlfn.XLOOKUP(PROPERTIES[[#This Row],[VEHIDCODE]],GRAPHICS_PROPERTIES[VEHIDCODE],GRAPHICS_PROPERTIES[TEMPLATE_ID]&amp;GRAPHICS_PROPERTIES[TEMPLATE_AMENDMENT_CODE])</f>
        <v>TPL_03A</v>
      </c>
    </row>
    <row r="146" spans="1:47" x14ac:dyDescent="0.35">
      <c r="A146" s="2" t="s">
        <v>2786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0" t="str">
        <f>_xlfn.XLOOKUP(PROPERTIES[[#This Row],[VEHIDCODE]],CONTROL[VEHIDCODE],CONTROL[ENGLISH])</f>
        <v>Kitson 2-2-2WT 481 'Fairy Queen'</v>
      </c>
      <c r="F146" t="s">
        <v>631</v>
      </c>
      <c r="G146" s="40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17</v>
      </c>
      <c r="J146">
        <v>0</v>
      </c>
      <c r="K146">
        <v>5</v>
      </c>
      <c r="L146">
        <v>0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3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0">
        <v>20</v>
      </c>
      <c r="AA146" s="19">
        <f>IFERROR(PROPERTIES[[#This Row],[TE_STARTING_KN]]/(PROPERTIES[[#This Row],[WEIGHT]]*9.81),0)</f>
        <v>7.2811999417504006E-2</v>
      </c>
      <c r="AB146" s="19">
        <v>0</v>
      </c>
      <c r="AC146" s="16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6">
        <v>0</v>
      </c>
      <c r="AF146" s="6">
        <v>0</v>
      </c>
      <c r="AG146" t="s">
        <v>238</v>
      </c>
      <c r="AH146" t="s">
        <v>229</v>
      </c>
      <c r="AI146" t="s">
        <v>229</v>
      </c>
      <c r="AJ146" s="2" t="s">
        <v>229</v>
      </c>
      <c r="AK146" s="2" t="s">
        <v>244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44" t="b">
        <v>0</v>
      </c>
      <c r="AP146" s="48" t="b">
        <v>0</v>
      </c>
      <c r="AQ146" s="48" t="b">
        <v>0</v>
      </c>
      <c r="AR146" s="48">
        <v>0</v>
      </c>
      <c r="AS146" s="48" t="b">
        <v>0</v>
      </c>
      <c r="AT146" s="7" t="b">
        <v>0</v>
      </c>
      <c r="AU146" s="40" t="str" cm="1">
        <f t="array" ref="AU146">_xlfn.XLOOKUP(PROPERTIES[[#This Row],[VEHIDCODE]],GRAPHICS_PROPERTIES[VEHIDCODE],GRAPHICS_PROPERTIES[TEMPLATE_ID]&amp;GRAPHICS_PROPERTIES[TEMPLATE_AMENDMENT_CODE])</f>
        <v>TPL_03C</v>
      </c>
    </row>
    <row r="147" spans="1:47" x14ac:dyDescent="0.35">
      <c r="A147" s="2" t="s">
        <v>2787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0" t="str">
        <f>_xlfn.XLOOKUP(PROPERTIES[[#This Row],[VEHIDCODE]],CONTROL[VEHIDCODE],CONTROL[ENGLISH])</f>
        <v>Sharp, Stewart &amp; Co. 0-4-0ST DHR B</v>
      </c>
      <c r="F147" t="s">
        <v>631</v>
      </c>
      <c r="G147" s="40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17</v>
      </c>
      <c r="J147">
        <v>0</v>
      </c>
      <c r="K147">
        <v>5</v>
      </c>
      <c r="L147">
        <v>0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3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0">
        <v>34.47</v>
      </c>
      <c r="AA147" s="19">
        <f>IFERROR(PROPERTIES[[#This Row],[TE_STARTING_KN]]/(PROPERTIES[[#This Row],[WEIGHT]]*9.81),0)</f>
        <v>0.24744799069647241</v>
      </c>
      <c r="AB147" s="19">
        <v>0</v>
      </c>
      <c r="AC147" s="16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6">
        <v>0</v>
      </c>
      <c r="AF147" s="6">
        <v>2</v>
      </c>
      <c r="AG147" t="s">
        <v>238</v>
      </c>
      <c r="AH147" t="s">
        <v>229</v>
      </c>
      <c r="AI147" t="s">
        <v>229</v>
      </c>
      <c r="AJ147" s="2" t="s">
        <v>229</v>
      </c>
      <c r="AK147" s="2" t="s">
        <v>244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44" t="b">
        <v>0</v>
      </c>
      <c r="AP147" s="48" t="b">
        <v>0</v>
      </c>
      <c r="AQ147" s="48" t="b">
        <v>0</v>
      </c>
      <c r="AR147" s="48">
        <v>0</v>
      </c>
      <c r="AS147" s="48" t="b">
        <v>0</v>
      </c>
      <c r="AT147" s="7" t="b">
        <v>0</v>
      </c>
      <c r="AU147" s="40" t="str" cm="1">
        <f t="array" ref="AU147">_xlfn.XLOOKUP(PROPERTIES[[#This Row],[VEHIDCODE]],GRAPHICS_PROPERTIES[VEHIDCODE],GRAPHICS_PROPERTIES[TEMPLATE_ID]&amp;GRAPHICS_PROPERTIES[TEMPLATE_AMENDMENT_CODE])</f>
        <v>TPL_03A</v>
      </c>
    </row>
    <row r="148" spans="1:47" x14ac:dyDescent="0.35">
      <c r="A148" s="2" t="s">
        <v>2788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0" t="str">
        <f>_xlfn.XLOOKUP(PROPERTIES[[#This Row],[VEHIDCODE]],CONTROL[VEHIDCODE],CONTROL[ENGLISH])</f>
        <v>Baldwin 2-8-0 Sentetsu Sorii</v>
      </c>
      <c r="F148" t="s">
        <v>575</v>
      </c>
      <c r="G148" s="40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17</v>
      </c>
      <c r="J148">
        <v>0</v>
      </c>
      <c r="K148">
        <v>5</v>
      </c>
      <c r="L148">
        <v>0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3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0">
        <v>130</v>
      </c>
      <c r="AA148" s="19">
        <f>IFERROR(PROPERTIES[[#This Row],[TE_STARTING_KN]]/(PROPERTIES[[#This Row],[WEIGHT]]*9.81),0)</f>
        <v>0.12928569652669003</v>
      </c>
      <c r="AB148" s="19">
        <v>0</v>
      </c>
      <c r="AC148" s="16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6">
        <v>0</v>
      </c>
      <c r="AF148" s="6">
        <v>3</v>
      </c>
      <c r="AG148" t="s">
        <v>238</v>
      </c>
      <c r="AH148" t="s">
        <v>229</v>
      </c>
      <c r="AI148" t="s">
        <v>229</v>
      </c>
      <c r="AJ148" s="2" t="s">
        <v>229</v>
      </c>
      <c r="AK148" s="2" t="s">
        <v>244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44" t="b">
        <v>0</v>
      </c>
      <c r="AP148" s="48" t="b">
        <v>0</v>
      </c>
      <c r="AQ148" s="48" t="b">
        <v>0</v>
      </c>
      <c r="AR148" s="48">
        <v>0</v>
      </c>
      <c r="AS148" s="48" t="b">
        <v>0</v>
      </c>
      <c r="AT148" s="7" t="b">
        <v>0</v>
      </c>
      <c r="AU148" s="40" t="str" cm="1">
        <f t="array" ref="AU148">_xlfn.XLOOKUP(PROPERTIES[[#This Row],[VEHIDCODE]],GRAPHICS_PROPERTIES[VEHIDCODE],GRAPHICS_PROPERTIES[TEMPLATE_ID]&amp;GRAPHICS_PROPERTIES[TEMPLATE_AMENDMENT_CODE])</f>
        <v>TPL_03A</v>
      </c>
    </row>
    <row r="149" spans="1:47" x14ac:dyDescent="0.35">
      <c r="A149" s="2" t="s">
        <v>2789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0" t="str">
        <f>_xlfn.XLOOKUP(PROPERTIES[[#This Row],[VEHIDCODE]],CONTROL[VEHIDCODE],CONTROL[ENGLISH])</f>
        <v>Putilov 4-6-0 U</v>
      </c>
      <c r="F149" t="s">
        <v>716</v>
      </c>
      <c r="G149" s="40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17</v>
      </c>
      <c r="J149">
        <v>0</v>
      </c>
      <c r="K149">
        <v>5</v>
      </c>
      <c r="L149">
        <v>0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3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0">
        <v>87</v>
      </c>
      <c r="AA149" s="19">
        <f>IFERROR(PROPERTIES[[#This Row],[TE_STARTING_KN]]/(PROPERTIES[[#This Row],[WEIGHT]]*9.81),0)</f>
        <v>7.0106731454956411E-2</v>
      </c>
      <c r="AB149" s="19">
        <v>0</v>
      </c>
      <c r="AC149" s="16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6">
        <v>0</v>
      </c>
      <c r="AF149" s="6">
        <v>3</v>
      </c>
      <c r="AG149" t="s">
        <v>1951</v>
      </c>
      <c r="AH149" t="s">
        <v>229</v>
      </c>
      <c r="AI149" t="s">
        <v>229</v>
      </c>
      <c r="AJ149" s="2" t="s">
        <v>229</v>
      </c>
      <c r="AK149" s="2" t="s">
        <v>244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44" t="b">
        <v>0</v>
      </c>
      <c r="AP149" s="48" t="b">
        <v>0</v>
      </c>
      <c r="AQ149" s="48" t="b">
        <v>0</v>
      </c>
      <c r="AR149" s="48">
        <v>0</v>
      </c>
      <c r="AS149" s="48" t="b">
        <v>0</v>
      </c>
      <c r="AT149" s="7" t="b">
        <v>0</v>
      </c>
      <c r="AU149" s="40" t="str" cm="1">
        <f t="array" ref="AU149">_xlfn.XLOOKUP(PROPERTIES[[#This Row],[VEHIDCODE]],GRAPHICS_PROPERTIES[VEHIDCODE],GRAPHICS_PROPERTIES[TEMPLATE_ID]&amp;GRAPHICS_PROPERTIES[TEMPLATE_AMENDMENT_CODE])</f>
        <v>TPL_03A</v>
      </c>
    </row>
    <row r="150" spans="1:47" x14ac:dyDescent="0.35">
      <c r="A150" s="2" t="s">
        <v>2790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0" t="str">
        <f>_xlfn.XLOOKUP(PROPERTIES[[#This Row],[VEHIDCODE]],CONTROL[VEHIDCODE],CONTROL[ENGLISH])</f>
        <v>Baldwin 12-44 F 2-10-0 'Ye'</v>
      </c>
      <c r="F150" t="s">
        <v>716</v>
      </c>
      <c r="G150" s="40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17</v>
      </c>
      <c r="J150">
        <v>0</v>
      </c>
      <c r="K150">
        <v>5</v>
      </c>
      <c r="L150">
        <v>0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3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0">
        <v>229.08</v>
      </c>
      <c r="AA150" s="19">
        <f>IFERROR(PROPERTIES[[#This Row],[TE_STARTING_KN]]/(PROPERTIES[[#This Row],[WEIGHT]]*9.81),0)</f>
        <v>0.15065601262700995</v>
      </c>
      <c r="AB150" s="19">
        <v>0</v>
      </c>
      <c r="AC150" s="16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6">
        <v>0</v>
      </c>
      <c r="AF150" s="6">
        <v>3</v>
      </c>
      <c r="AG150" t="s">
        <v>1951</v>
      </c>
      <c r="AH150" t="s">
        <v>229</v>
      </c>
      <c r="AI150" t="s">
        <v>229</v>
      </c>
      <c r="AJ150" s="2" t="s">
        <v>229</v>
      </c>
      <c r="AK150" s="2" t="s">
        <v>244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44" t="b">
        <v>0</v>
      </c>
      <c r="AP150" s="48" t="b">
        <v>0</v>
      </c>
      <c r="AQ150" s="48" t="b">
        <v>0</v>
      </c>
      <c r="AR150" s="48">
        <v>0</v>
      </c>
      <c r="AS150" s="48" t="b">
        <v>0</v>
      </c>
      <c r="AT150" s="7" t="b">
        <v>0</v>
      </c>
      <c r="AU150" s="40" t="str" cm="1">
        <f t="array" ref="AU150">_xlfn.XLOOKUP(PROPERTIES[[#This Row],[VEHIDCODE]],GRAPHICS_PROPERTIES[VEHIDCODE],GRAPHICS_PROPERTIES[TEMPLATE_ID]&amp;GRAPHICS_PROPERTIES[TEMPLATE_AMENDMENT_CODE])</f>
        <v>TPL_03A</v>
      </c>
    </row>
    <row r="151" spans="1:47" x14ac:dyDescent="0.35">
      <c r="A151" s="2" t="s">
        <v>2791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0" t="str">
        <f>_xlfn.XLOOKUP(PROPERTIES[[#This Row],[VEHIDCODE]],CONTROL[VEHIDCODE],CONTROL[ENGLISH])</f>
        <v>Baldwin 4-6-0 50201</v>
      </c>
      <c r="F151" t="s">
        <v>629</v>
      </c>
      <c r="G151" s="40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17</v>
      </c>
      <c r="J151">
        <v>0</v>
      </c>
      <c r="K151">
        <v>5</v>
      </c>
      <c r="L151">
        <v>0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3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0">
        <v>108.9</v>
      </c>
      <c r="AA151" s="19">
        <f>IFERROR(PROPERTIES[[#This Row],[TE_STARTING_KN]]/(PROPERTIES[[#This Row],[WEIGHT]]*9.81),0)</f>
        <v>9.3285020430190421E-2</v>
      </c>
      <c r="AB151" s="19">
        <v>0</v>
      </c>
      <c r="AC151" s="16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6">
        <v>0</v>
      </c>
      <c r="AF151" s="6">
        <v>3</v>
      </c>
      <c r="AG151" t="s">
        <v>238</v>
      </c>
      <c r="AH151" t="s">
        <v>229</v>
      </c>
      <c r="AI151" t="s">
        <v>229</v>
      </c>
      <c r="AJ151" s="2" t="s">
        <v>229</v>
      </c>
      <c r="AK151" s="2" t="s">
        <v>244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44" t="b">
        <v>0</v>
      </c>
      <c r="AP151" s="48" t="b">
        <v>0</v>
      </c>
      <c r="AQ151" s="48" t="b">
        <v>0</v>
      </c>
      <c r="AR151" s="48">
        <v>0</v>
      </c>
      <c r="AS151" s="48" t="b">
        <v>0</v>
      </c>
      <c r="AT151" s="7" t="b">
        <v>0</v>
      </c>
      <c r="AU151" s="40" t="str" cm="1">
        <f t="array" ref="AU151">_xlfn.XLOOKUP(PROPERTIES[[#This Row],[VEHIDCODE]],GRAPHICS_PROPERTIES[VEHIDCODE],GRAPHICS_PROPERTIES[TEMPLATE_ID]&amp;GRAPHICS_PROPERTIES[TEMPLATE_AMENDMENT_CODE])</f>
        <v>TPL_03A</v>
      </c>
    </row>
    <row r="152" spans="1:47" x14ac:dyDescent="0.35">
      <c r="A152" s="2" t="s">
        <v>2792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0" t="str">
        <f>_xlfn.XLOOKUP(PROPERTIES[[#This Row],[VEHIDCODE]],CONTROL[VEHIDCODE],CONTROL[ENGLISH])</f>
        <v>FS 480</v>
      </c>
      <c r="F152" t="s">
        <v>636</v>
      </c>
      <c r="G152" s="40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17</v>
      </c>
      <c r="J152">
        <v>0</v>
      </c>
      <c r="K152">
        <v>6</v>
      </c>
      <c r="L152">
        <v>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3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0">
        <v>177.4</v>
      </c>
      <c r="AA152" s="19">
        <f>IFERROR(PROPERTIES[[#This Row],[TE_STARTING_KN]]/(PROPERTIES[[#This Row],[WEIGHT]]*9.81),0)</f>
        <v>0.14040052931157834</v>
      </c>
      <c r="AB152" s="19">
        <v>0</v>
      </c>
      <c r="AC152" s="16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6">
        <v>0</v>
      </c>
      <c r="AF152" s="6">
        <v>4</v>
      </c>
      <c r="AG152" t="s">
        <v>231</v>
      </c>
      <c r="AH152" t="s">
        <v>229</v>
      </c>
      <c r="AI152" t="s">
        <v>229</v>
      </c>
      <c r="AJ152" s="2" t="s">
        <v>229</v>
      </c>
      <c r="AK152" s="2" t="s">
        <v>244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44" t="b">
        <v>0</v>
      </c>
      <c r="AP152" s="48" t="b">
        <v>0</v>
      </c>
      <c r="AQ152" s="48" t="b">
        <v>0</v>
      </c>
      <c r="AR152" s="48">
        <v>0</v>
      </c>
      <c r="AS152" s="48" t="b">
        <v>0</v>
      </c>
      <c r="AT152" s="7" t="b">
        <v>0</v>
      </c>
      <c r="AU152" s="40" t="str" cm="1">
        <f t="array" ref="AU152">_xlfn.XLOOKUP(PROPERTIES[[#This Row],[VEHIDCODE]],GRAPHICS_PROPERTIES[VEHIDCODE],GRAPHICS_PROPERTIES[TEMPLATE_ID]&amp;GRAPHICS_PROPERTIES[TEMPLATE_AMENDMENT_CODE])</f>
        <v>TPL_03A</v>
      </c>
    </row>
    <row r="153" spans="1:47" x14ac:dyDescent="0.35">
      <c r="A153" s="2" t="s">
        <v>2793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0" t="str">
        <f>_xlfn.XLOOKUP(PROPERTIES[[#This Row],[VEHIDCODE]],CONTROL[VEHIDCODE],CONTROL[ENGLISH])</f>
        <v>FS 691</v>
      </c>
      <c r="F153" t="s">
        <v>636</v>
      </c>
      <c r="G153" s="40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17</v>
      </c>
      <c r="J153">
        <v>0</v>
      </c>
      <c r="K153">
        <v>6</v>
      </c>
      <c r="L153">
        <v>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3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0">
        <v>145</v>
      </c>
      <c r="AA153" s="19">
        <f>IFERROR(PROPERTIES[[#This Row],[TE_STARTING_KN]]/(PROPERTIES[[#This Row],[WEIGHT]]*9.81),0)</f>
        <v>0.10264469362328689</v>
      </c>
      <c r="AB153" s="19">
        <v>0</v>
      </c>
      <c r="AC153" s="16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6">
        <v>0</v>
      </c>
      <c r="AF153" s="6">
        <v>4</v>
      </c>
      <c r="AG153" t="s">
        <v>231</v>
      </c>
      <c r="AH153" t="s">
        <v>229</v>
      </c>
      <c r="AI153" t="s">
        <v>229</v>
      </c>
      <c r="AJ153" s="2" t="s">
        <v>229</v>
      </c>
      <c r="AK153" s="2" t="s">
        <v>244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44" t="b">
        <v>0</v>
      </c>
      <c r="AP153" s="48" t="b">
        <v>0</v>
      </c>
      <c r="AQ153" s="48" t="b">
        <v>0</v>
      </c>
      <c r="AR153" s="48">
        <v>0</v>
      </c>
      <c r="AS153" s="48" t="b">
        <v>0</v>
      </c>
      <c r="AT153" s="7" t="b">
        <v>0</v>
      </c>
      <c r="AU153" s="40" t="str" cm="1">
        <f t="array" ref="AU153">_xlfn.XLOOKUP(PROPERTIES[[#This Row],[VEHIDCODE]],GRAPHICS_PROPERTIES[VEHIDCODE],GRAPHICS_PROPERTIES[TEMPLATE_ID]&amp;GRAPHICS_PROPERTIES[TEMPLATE_AMENDMENT_CODE])</f>
        <v>TPL_03A</v>
      </c>
    </row>
    <row r="154" spans="1:47" x14ac:dyDescent="0.35">
      <c r="A154" s="2" t="s">
        <v>2794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0" t="str">
        <f>_xlfn.XLOOKUP(PROPERTIES[[#This Row],[VEHIDCODE]],CONTROL[VEHIDCODE],CONTROL[ENGLISH])</f>
        <v>North British Lb 2-10-0</v>
      </c>
      <c r="F154" t="s">
        <v>615</v>
      </c>
      <c r="G154" s="40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17</v>
      </c>
      <c r="J154">
        <v>0</v>
      </c>
      <c r="K154">
        <v>7</v>
      </c>
      <c r="L154">
        <v>0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3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0">
        <v>152.19999999999999</v>
      </c>
      <c r="AA154" s="19">
        <f>IFERROR(PROPERTIES[[#This Row],[TE_STARTING_KN]]/(PROPERTIES[[#This Row],[WEIGHT]]*9.81),0)</f>
        <v>0.11202007823741336</v>
      </c>
      <c r="AB154" s="19">
        <v>0</v>
      </c>
      <c r="AC154" s="16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6">
        <v>0</v>
      </c>
      <c r="AF154" s="6">
        <v>4</v>
      </c>
      <c r="AG154" t="s">
        <v>231</v>
      </c>
      <c r="AH154" t="s">
        <v>229</v>
      </c>
      <c r="AI154" t="s">
        <v>229</v>
      </c>
      <c r="AJ154" s="2" t="s">
        <v>229</v>
      </c>
      <c r="AK154" s="2" t="s">
        <v>244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44" t="b">
        <v>0</v>
      </c>
      <c r="AP154" s="48" t="b">
        <v>0</v>
      </c>
      <c r="AQ154" s="48" t="b">
        <v>0</v>
      </c>
      <c r="AR154" s="48">
        <v>0</v>
      </c>
      <c r="AS154" s="48" t="b">
        <v>0</v>
      </c>
      <c r="AT154" s="7" t="b">
        <v>0</v>
      </c>
      <c r="AU154" s="40" t="str" cm="1">
        <f t="array" ref="AU154">_xlfn.XLOOKUP(PROPERTIES[[#This Row],[VEHIDCODE]],GRAPHICS_PROPERTIES[VEHIDCODE],GRAPHICS_PROPERTIES[TEMPLATE_ID]&amp;GRAPHICS_PROPERTIES[TEMPLATE_AMENDMENT_CODE])</f>
        <v>TPL_03A</v>
      </c>
    </row>
    <row r="155" spans="1:47" x14ac:dyDescent="0.35">
      <c r="A155" s="2" t="s">
        <v>2795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0" t="str">
        <f>_xlfn.XLOOKUP(PROPERTIES[[#This Row],[VEHIDCODE]],CONTROL[VEHIDCODE],CONTROL[ENGLISH])</f>
        <v>ALCO/Baldwin 2-8-0 'USATC S160'</v>
      </c>
      <c r="F155" t="s">
        <v>534</v>
      </c>
      <c r="G155" s="40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17</v>
      </c>
      <c r="J155">
        <v>0</v>
      </c>
      <c r="K155">
        <v>5</v>
      </c>
      <c r="L155">
        <v>0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3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0">
        <v>138</v>
      </c>
      <c r="AA155" s="19">
        <f>IFERROR(PROPERTIES[[#This Row],[TE_STARTING_KN]]/(PROPERTIES[[#This Row],[WEIGHT]]*9.81),0)</f>
        <v>0.11390508734786861</v>
      </c>
      <c r="AB155" s="19">
        <v>0</v>
      </c>
      <c r="AC155" s="16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6">
        <v>0</v>
      </c>
      <c r="AF155" s="6">
        <v>0</v>
      </c>
      <c r="AG155" t="s">
        <v>231</v>
      </c>
      <c r="AH155" t="s">
        <v>229</v>
      </c>
      <c r="AI155" t="s">
        <v>229</v>
      </c>
      <c r="AJ155" s="2" t="s">
        <v>229</v>
      </c>
      <c r="AK155" s="2" t="s">
        <v>244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44" t="b">
        <v>0</v>
      </c>
      <c r="AP155" s="48" t="b">
        <v>0</v>
      </c>
      <c r="AQ155" s="48" t="b">
        <v>0</v>
      </c>
      <c r="AR155" s="48">
        <v>0</v>
      </c>
      <c r="AS155" s="48" t="b">
        <v>0</v>
      </c>
      <c r="AT155" s="7" t="b">
        <v>0</v>
      </c>
      <c r="AU155" s="40" t="str" cm="1">
        <f t="array" ref="AU155">_xlfn.XLOOKUP(PROPERTIES[[#This Row],[VEHIDCODE]],GRAPHICS_PROPERTIES[VEHIDCODE],GRAPHICS_PROPERTIES[TEMPLATE_ID]&amp;GRAPHICS_PROPERTIES[TEMPLATE_AMENDMENT_CODE])</f>
        <v>TPL_03C</v>
      </c>
    </row>
    <row r="156" spans="1:47" x14ac:dyDescent="0.35">
      <c r="A156" s="2" t="s">
        <v>3474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0" t="str">
        <f>_xlfn.XLOOKUP(PROPERTIES[[#This Row],[VEHIDCODE]],CONTROL[VEHIDCODE],CONTROL[ENGLISH])</f>
        <v>RENFE 4-8-4 242F 'Confederacion'</v>
      </c>
      <c r="F156" t="s">
        <v>595</v>
      </c>
      <c r="G156" s="40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17</v>
      </c>
      <c r="J156">
        <v>0</v>
      </c>
      <c r="K156">
        <v>8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3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0">
        <v>0</v>
      </c>
      <c r="AA156" s="19">
        <f>IFERROR(PROPERTIES[[#This Row],[TE_STARTING_KN]]/(PROPERTIES[[#This Row],[WEIGHT]]*9.81),0)</f>
        <v>0</v>
      </c>
      <c r="AB156" s="19">
        <v>0.11</v>
      </c>
      <c r="AC156" s="16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6">
        <v>0</v>
      </c>
      <c r="AF156" s="6">
        <v>5</v>
      </c>
      <c r="AG156" t="s">
        <v>231</v>
      </c>
      <c r="AH156" t="s">
        <v>229</v>
      </c>
      <c r="AI156" t="s">
        <v>229</v>
      </c>
      <c r="AJ156" s="2" t="s">
        <v>229</v>
      </c>
      <c r="AK156" s="2" t="s">
        <v>244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44" t="b">
        <v>0</v>
      </c>
      <c r="AP156" s="48" t="b">
        <v>0</v>
      </c>
      <c r="AQ156" s="48" t="b">
        <v>0</v>
      </c>
      <c r="AR156" s="48">
        <v>0</v>
      </c>
      <c r="AS156" s="48" t="b">
        <v>0</v>
      </c>
      <c r="AT156" s="7" t="b">
        <v>0</v>
      </c>
      <c r="AU156" s="40" t="str" cm="1">
        <f t="array" ref="AU156">_xlfn.XLOOKUP(PROPERTIES[[#This Row],[VEHIDCODE]],GRAPHICS_PROPERTIES[VEHIDCODE],GRAPHICS_PROPERTIES[TEMPLATE_ID]&amp;GRAPHICS_PROPERTIES[TEMPLATE_AMENDMENT_CODE])</f>
        <v>TPL_03A</v>
      </c>
    </row>
    <row r="157" spans="1:47" x14ac:dyDescent="0.35">
      <c r="A157" s="2" t="s">
        <v>2796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0" t="str">
        <f>_xlfn.XLOOKUP(PROPERTIES[[#This Row],[VEHIDCODE]],CONTROL[VEHIDCODE],CONTROL[ENGLISH])</f>
        <v>Skoda 6Lo</v>
      </c>
      <c r="F157" t="s">
        <v>583</v>
      </c>
      <c r="G157" s="40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17</v>
      </c>
      <c r="J157">
        <v>0</v>
      </c>
      <c r="K157">
        <v>7</v>
      </c>
      <c r="L157">
        <v>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3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0">
        <v>195</v>
      </c>
      <c r="AA157" s="19">
        <f>IFERROR(PROPERTIES[[#This Row],[TE_STARTING_KN]]/(PROPERTIES[[#This Row],[WEIGHT]]*9.81),0)</f>
        <v>0.15058845334074691</v>
      </c>
      <c r="AB157" s="19">
        <v>0</v>
      </c>
      <c r="AC157" s="16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6">
        <v>0</v>
      </c>
      <c r="AF157" s="6">
        <v>3</v>
      </c>
      <c r="AG157" t="s">
        <v>236</v>
      </c>
      <c r="AH157" t="s">
        <v>229</v>
      </c>
      <c r="AI157" t="s">
        <v>229</v>
      </c>
      <c r="AJ157" s="2" t="s">
        <v>229</v>
      </c>
      <c r="AK157" s="2" t="s">
        <v>244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44" t="b">
        <v>0</v>
      </c>
      <c r="AP157" s="48" t="b">
        <v>0</v>
      </c>
      <c r="AQ157" s="48" t="b">
        <v>0</v>
      </c>
      <c r="AR157" s="48">
        <v>0</v>
      </c>
      <c r="AS157" s="48" t="b">
        <v>0</v>
      </c>
      <c r="AT157" s="7" t="b">
        <v>0</v>
      </c>
      <c r="AU157" s="40" t="str" cm="1">
        <f t="array" ref="AU157">_xlfn.XLOOKUP(PROPERTIES[[#This Row],[VEHIDCODE]],GRAPHICS_PROPERTIES[VEHIDCODE],GRAPHICS_PROPERTIES[TEMPLATE_ID]&amp;GRAPHICS_PROPERTIES[TEMPLATE_AMENDMENT_CODE])</f>
        <v>TPL_03A</v>
      </c>
    </row>
    <row r="158" spans="1:47" x14ac:dyDescent="0.35">
      <c r="A158" s="2" t="s">
        <v>2797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0" t="str">
        <f>_xlfn.XLOOKUP(PROPERTIES[[#This Row],[VEHIDCODE]],CONTROL[VEHIDCODE],CONTROL[ENGLISH])</f>
        <v>Hanomag/Fablok 4-6-0 Ok22</v>
      </c>
      <c r="F158" t="s">
        <v>705</v>
      </c>
      <c r="G158" s="40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17</v>
      </c>
      <c r="J158">
        <v>0</v>
      </c>
      <c r="K158">
        <v>6</v>
      </c>
      <c r="L158">
        <v>0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3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0">
        <v>123</v>
      </c>
      <c r="AA158" s="19">
        <f>IFERROR(PROPERTIES[[#This Row],[TE_STARTING_KN]]/(PROPERTIES[[#This Row],[WEIGHT]]*9.81),0)</f>
        <v>9.4272378193189399E-2</v>
      </c>
      <c r="AB158" s="19">
        <v>0</v>
      </c>
      <c r="AC158" s="16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6">
        <v>0</v>
      </c>
      <c r="AF158" s="6">
        <v>3</v>
      </c>
      <c r="AG158" t="s">
        <v>236</v>
      </c>
      <c r="AH158" t="s">
        <v>229</v>
      </c>
      <c r="AI158" t="s">
        <v>229</v>
      </c>
      <c r="AJ158" s="2" t="s">
        <v>229</v>
      </c>
      <c r="AK158" s="2" t="s">
        <v>244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44" t="b">
        <v>0</v>
      </c>
      <c r="AP158" s="48" t="b">
        <v>0</v>
      </c>
      <c r="AQ158" s="48" t="b">
        <v>0</v>
      </c>
      <c r="AR158" s="48">
        <v>0</v>
      </c>
      <c r="AS158" s="48" t="b">
        <v>0</v>
      </c>
      <c r="AT158" s="7" t="b">
        <v>0</v>
      </c>
      <c r="AU158" s="40" t="str" cm="1">
        <f t="array" ref="AU158">_xlfn.XLOOKUP(PROPERTIES[[#This Row],[VEHIDCODE]],GRAPHICS_PROPERTIES[VEHIDCODE],GRAPHICS_PROPERTIES[TEMPLATE_ID]&amp;GRAPHICS_PROPERTIES[TEMPLATE_AMENDMENT_CODE])</f>
        <v>TPL_03A</v>
      </c>
    </row>
    <row r="159" spans="1:47" x14ac:dyDescent="0.35">
      <c r="A159" s="2" t="s">
        <v>2798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0" t="str">
        <f>_xlfn.XLOOKUP(PROPERTIES[[#This Row],[VEHIDCODE]],CONTROL[VEHIDCODE],CONTROL[ENGLISH])</f>
        <v>MAVAG 4-8-0 424</v>
      </c>
      <c r="F159" t="s">
        <v>624</v>
      </c>
      <c r="G159" s="40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17</v>
      </c>
      <c r="J159">
        <v>0</v>
      </c>
      <c r="K159">
        <v>7</v>
      </c>
      <c r="L159">
        <v>0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3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0">
        <v>113.2</v>
      </c>
      <c r="AA159" s="19">
        <f>IFERROR(PROPERTIES[[#This Row],[TE_STARTING_KN]]/(PROPERTIES[[#This Row],[WEIGHT]]*9.81),0)</f>
        <v>7.9471388895909323E-2</v>
      </c>
      <c r="AB159" s="19">
        <v>0</v>
      </c>
      <c r="AC159" s="16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6">
        <v>0</v>
      </c>
      <c r="AF159" s="6">
        <v>4</v>
      </c>
      <c r="AG159" t="s">
        <v>236</v>
      </c>
      <c r="AH159" t="s">
        <v>229</v>
      </c>
      <c r="AI159" t="s">
        <v>229</v>
      </c>
      <c r="AJ159" s="2" t="s">
        <v>229</v>
      </c>
      <c r="AK159" s="2" t="s">
        <v>244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44" t="b">
        <v>0</v>
      </c>
      <c r="AP159" s="48" t="b">
        <v>0</v>
      </c>
      <c r="AQ159" s="48" t="b">
        <v>0</v>
      </c>
      <c r="AR159" s="48">
        <v>0</v>
      </c>
      <c r="AS159" s="48" t="b">
        <v>0</v>
      </c>
      <c r="AT159" s="7" t="b">
        <v>0</v>
      </c>
      <c r="AU159" s="40" t="str" cm="1">
        <f t="array" ref="AU159">_xlfn.XLOOKUP(PROPERTIES[[#This Row],[VEHIDCODE]],GRAPHICS_PROPERTIES[VEHIDCODE],GRAPHICS_PROPERTIES[TEMPLATE_ID]&amp;GRAPHICS_PROPERTIES[TEMPLATE_AMENDMENT_CODE])</f>
        <v>TPL_03A</v>
      </c>
    </row>
    <row r="160" spans="1:47" x14ac:dyDescent="0.35">
      <c r="A160" s="2" t="s">
        <v>2799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0" t="str">
        <f>_xlfn.XLOOKUP(PROPERTIES[[#This Row],[VEHIDCODE]],CONTROL[VEHIDCODE],CONTROL[ENGLISH])</f>
        <v>MAVAG 4-4-4T 242</v>
      </c>
      <c r="F160" t="s">
        <v>626</v>
      </c>
      <c r="G160" s="40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17</v>
      </c>
      <c r="J160">
        <v>0</v>
      </c>
      <c r="K160">
        <v>7</v>
      </c>
      <c r="L160">
        <v>0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3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0">
        <v>65</v>
      </c>
      <c r="AA160" s="19">
        <f>IFERROR(PROPERTIES[[#This Row],[TE_STARTING_KN]]/(PROPERTIES[[#This Row],[WEIGHT]]*9.81),0)</f>
        <v>7.7951669964621939E-2</v>
      </c>
      <c r="AB160" s="19">
        <v>0</v>
      </c>
      <c r="AC160" s="16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6">
        <v>0</v>
      </c>
      <c r="AF160" s="6">
        <v>0</v>
      </c>
      <c r="AG160" t="s">
        <v>236</v>
      </c>
      <c r="AH160" t="s">
        <v>229</v>
      </c>
      <c r="AI160" t="s">
        <v>229</v>
      </c>
      <c r="AJ160" s="2" t="s">
        <v>229</v>
      </c>
      <c r="AK160" s="2" t="s">
        <v>244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44" t="b">
        <v>0</v>
      </c>
      <c r="AP160" s="48" t="b">
        <v>0</v>
      </c>
      <c r="AQ160" s="48" t="b">
        <v>0</v>
      </c>
      <c r="AR160" s="48">
        <v>0</v>
      </c>
      <c r="AS160" s="48" t="b">
        <v>0</v>
      </c>
      <c r="AT160" s="7" t="b">
        <v>0</v>
      </c>
      <c r="AU160" s="40" t="str" cm="1">
        <f t="array" ref="AU160">_xlfn.XLOOKUP(PROPERTIES[[#This Row],[VEHIDCODE]],GRAPHICS_PROPERTIES[VEHIDCODE],GRAPHICS_PROPERTIES[TEMPLATE_ID]&amp;GRAPHICS_PROPERTIES[TEMPLATE_AMENDMENT_CODE])</f>
        <v>TPL_03C</v>
      </c>
    </row>
    <row r="161" spans="1:47" x14ac:dyDescent="0.35">
      <c r="A161" s="2" t="s">
        <v>2800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0" t="str">
        <f>_xlfn.XLOOKUP(PROPERTIES[[#This Row],[VEHIDCODE]],CONTROL[VEHIDCODE],CONTROL[ENGLISH])</f>
        <v>Vulcan Foundry 2-8-0 'Liberation'</v>
      </c>
      <c r="F161" t="s">
        <v>583</v>
      </c>
      <c r="G161" s="40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17</v>
      </c>
      <c r="J161">
        <v>0</v>
      </c>
      <c r="K161">
        <v>5</v>
      </c>
      <c r="L161">
        <v>0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3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0">
        <v>200</v>
      </c>
      <c r="AA161" s="19">
        <f>IFERROR(PROPERTIES[[#This Row],[TE_STARTING_KN]]/(PROPERTIES[[#This Row],[WEIGHT]]*9.81),0)</f>
        <v>0.14187445954698066</v>
      </c>
      <c r="AB161" s="19">
        <v>0</v>
      </c>
      <c r="AC161" s="16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6">
        <v>0</v>
      </c>
      <c r="AF161" s="6">
        <v>3</v>
      </c>
      <c r="AG161" t="s">
        <v>236</v>
      </c>
      <c r="AH161" t="s">
        <v>229</v>
      </c>
      <c r="AI161" t="s">
        <v>229</v>
      </c>
      <c r="AJ161" s="2" t="s">
        <v>229</v>
      </c>
      <c r="AK161" s="2" t="s">
        <v>244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44" t="b">
        <v>0</v>
      </c>
      <c r="AP161" s="48" t="b">
        <v>0</v>
      </c>
      <c r="AQ161" s="48" t="b">
        <v>0</v>
      </c>
      <c r="AR161" s="48">
        <v>0</v>
      </c>
      <c r="AS161" s="48" t="b">
        <v>0</v>
      </c>
      <c r="AT161" s="7" t="b">
        <v>0</v>
      </c>
      <c r="AU161" s="40" t="str" cm="1">
        <f t="array" ref="AU161">_xlfn.XLOOKUP(PROPERTIES[[#This Row],[VEHIDCODE]],GRAPHICS_PROPERTIES[VEHIDCODE],GRAPHICS_PROPERTIES[TEMPLATE_ID]&amp;GRAPHICS_PROPERTIES[TEMPLATE_AMENDMENT_CODE])</f>
        <v>TPL_03A</v>
      </c>
    </row>
    <row r="162" spans="1:47" x14ac:dyDescent="0.35">
      <c r="A162" s="2" t="s">
        <v>2801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0" t="str">
        <f>_xlfn.XLOOKUP(PROPERTIES[[#This Row],[VEHIDCODE]],CONTROL[VEHIDCODE],CONTROL[ENGLISH])</f>
        <v>Fablok 2-6-2 OI49</v>
      </c>
      <c r="F162" t="s">
        <v>705</v>
      </c>
      <c r="G162" s="40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17</v>
      </c>
      <c r="J162">
        <v>0</v>
      </c>
      <c r="K162">
        <v>8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3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0">
        <v>125</v>
      </c>
      <c r="AA162" s="19">
        <f>IFERROR(PROPERTIES[[#This Row],[TE_STARTING_KN]]/(PROPERTIES[[#This Row],[WEIGHT]]*9.81),0)</f>
        <v>8.7937197364135272E-2</v>
      </c>
      <c r="AB162" s="19">
        <v>0</v>
      </c>
      <c r="AC162" s="16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6">
        <v>0</v>
      </c>
      <c r="AF162" s="6">
        <v>5</v>
      </c>
      <c r="AG162" t="s">
        <v>236</v>
      </c>
      <c r="AH162" t="s">
        <v>238</v>
      </c>
      <c r="AI162" t="s">
        <v>229</v>
      </c>
      <c r="AJ162" s="2" t="s">
        <v>229</v>
      </c>
      <c r="AK162" s="2" t="s">
        <v>244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44" t="b">
        <v>0</v>
      </c>
      <c r="AP162" s="48" t="b">
        <v>0</v>
      </c>
      <c r="AQ162" s="48" t="b">
        <v>0</v>
      </c>
      <c r="AR162" s="48">
        <v>0</v>
      </c>
      <c r="AS162" s="48" t="b">
        <v>0</v>
      </c>
      <c r="AT162" s="7" t="b">
        <v>0</v>
      </c>
      <c r="AU162" s="40" t="str" cm="1">
        <f t="array" ref="AU162">_xlfn.XLOOKUP(PROPERTIES[[#This Row],[VEHIDCODE]],GRAPHICS_PROPERTIES[VEHIDCODE],GRAPHICS_PROPERTIES[TEMPLATE_ID]&amp;GRAPHICS_PROPERTIES[TEMPLATE_AMENDMENT_CODE])</f>
        <v>TPL_03A</v>
      </c>
    </row>
    <row r="163" spans="1:47" x14ac:dyDescent="0.35">
      <c r="A163" s="2" t="s">
        <v>2802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0" t="str">
        <f>_xlfn.XLOOKUP(PROPERTIES[[#This Row],[VEHIDCODE]],CONTROL[VEHIDCODE],CONTROL[ENGLISH])</f>
        <v>Floridsdorf 2-6-2 KkStB 310</v>
      </c>
      <c r="F163" t="s">
        <v>540</v>
      </c>
      <c r="G163" s="40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17</v>
      </c>
      <c r="J163">
        <v>0</v>
      </c>
      <c r="K163">
        <v>7</v>
      </c>
      <c r="L163">
        <v>0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3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0">
        <v>96.39</v>
      </c>
      <c r="AA163" s="19">
        <f>IFERROR(PROPERTIES[[#This Row],[TE_STARTING_KN]]/(PROPERTIES[[#This Row],[WEIGHT]]*9.81),0)</f>
        <v>7.1200638213003598E-2</v>
      </c>
      <c r="AB163" s="19">
        <v>0</v>
      </c>
      <c r="AC163" s="16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6">
        <v>0</v>
      </c>
      <c r="AF163" s="6">
        <v>4</v>
      </c>
      <c r="AG163" t="s">
        <v>230</v>
      </c>
      <c r="AH163" t="s">
        <v>229</v>
      </c>
      <c r="AI163" t="s">
        <v>229</v>
      </c>
      <c r="AJ163" s="2" t="s">
        <v>229</v>
      </c>
      <c r="AK163" s="2" t="s">
        <v>244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44" t="b">
        <v>0</v>
      </c>
      <c r="AP163" s="48" t="b">
        <v>0</v>
      </c>
      <c r="AQ163" s="48" t="b">
        <v>0</v>
      </c>
      <c r="AR163" s="48">
        <v>0</v>
      </c>
      <c r="AS163" s="48" t="b">
        <v>0</v>
      </c>
      <c r="AT163" s="7" t="b">
        <v>0</v>
      </c>
      <c r="AU163" s="40" t="str" cm="1">
        <f t="array" ref="AU163">_xlfn.XLOOKUP(PROPERTIES[[#This Row],[VEHIDCODE]],GRAPHICS_PROPERTIES[VEHIDCODE],GRAPHICS_PROPERTIES[TEMPLATE_ID]&amp;GRAPHICS_PROPERTIES[TEMPLATE_AMENDMENT_CODE])</f>
        <v>TPL_03A</v>
      </c>
    </row>
    <row r="164" spans="1:47" x14ac:dyDescent="0.35">
      <c r="A164" s="2" t="s">
        <v>2803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0" t="str">
        <f>_xlfn.XLOOKUP(PROPERTIES[[#This Row],[VEHIDCODE]],CONTROL[VEHIDCODE],CONTROL[ENGLISH])</f>
        <v>Lima  4-8-4 7798-7817 'Daylight'</v>
      </c>
      <c r="F164" t="s">
        <v>757</v>
      </c>
      <c r="G164" s="40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17</v>
      </c>
      <c r="J164">
        <v>0</v>
      </c>
      <c r="K164">
        <v>8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3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0">
        <v>349.85</v>
      </c>
      <c r="AA164" s="19">
        <f>IFERROR(PROPERTIES[[#This Row],[TE_STARTING_KN]]/(PROPERTIES[[#This Row],[WEIGHT]]*9.81),0)</f>
        <v>9.1442536396664845E-2</v>
      </c>
      <c r="AB164" s="19">
        <v>0</v>
      </c>
      <c r="AC164" s="16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6">
        <v>0</v>
      </c>
      <c r="AF164" s="6">
        <v>6</v>
      </c>
      <c r="AG164" t="s">
        <v>235</v>
      </c>
      <c r="AH164" t="s">
        <v>229</v>
      </c>
      <c r="AI164" t="s">
        <v>229</v>
      </c>
      <c r="AJ164" s="2" t="s">
        <v>229</v>
      </c>
      <c r="AK164" s="2" t="s">
        <v>244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44" t="b">
        <v>0</v>
      </c>
      <c r="AP164" s="48" t="b">
        <v>0</v>
      </c>
      <c r="AQ164" s="48" t="b">
        <v>0</v>
      </c>
      <c r="AR164" s="48">
        <v>0</v>
      </c>
      <c r="AS164" s="48" t="b">
        <v>0</v>
      </c>
      <c r="AT164" s="7" t="b">
        <v>0</v>
      </c>
      <c r="AU164" s="40" t="str" cm="1">
        <f t="array" ref="AU164">_xlfn.XLOOKUP(PROPERTIES[[#This Row],[VEHIDCODE]],GRAPHICS_PROPERTIES[VEHIDCODE],GRAPHICS_PROPERTIES[TEMPLATE_ID]&amp;GRAPHICS_PROPERTIES[TEMPLATE_AMENDMENT_CODE])</f>
        <v>TPL_03A</v>
      </c>
    </row>
    <row r="165" spans="1:47" x14ac:dyDescent="0.35">
      <c r="A165" s="2" t="s">
        <v>2804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0" t="str">
        <f>_xlfn.XLOOKUP(PROPERTIES[[#This Row],[VEHIDCODE]],CONTROL[VEHIDCODE],CONTROL[ENGLISH])</f>
        <v>GS&amp;WR 0-6-0 '101'</v>
      </c>
      <c r="F165" t="s">
        <v>628</v>
      </c>
      <c r="G165" s="40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17</v>
      </c>
      <c r="J165">
        <v>0</v>
      </c>
      <c r="K165">
        <v>5</v>
      </c>
      <c r="L165">
        <v>0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3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0">
        <v>76.400000000000006</v>
      </c>
      <c r="AA165" s="19">
        <f>IFERROR(PROPERTIES[[#This Row],[TE_STARTING_KN]]/(PROPERTIES[[#This Row],[WEIGHT]]*9.81),0)</f>
        <v>0.10453652963350643</v>
      </c>
      <c r="AB165" s="19">
        <v>0</v>
      </c>
      <c r="AC165" s="16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6">
        <v>0</v>
      </c>
      <c r="AF165" s="6">
        <v>3</v>
      </c>
      <c r="AG165" t="s">
        <v>234</v>
      </c>
      <c r="AH165" t="s">
        <v>229</v>
      </c>
      <c r="AI165" t="s">
        <v>229</v>
      </c>
      <c r="AJ165" s="2" t="s">
        <v>229</v>
      </c>
      <c r="AK165" s="2" t="s">
        <v>244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44" t="b">
        <v>0</v>
      </c>
      <c r="AP165" s="48" t="b">
        <v>0</v>
      </c>
      <c r="AQ165" s="48" t="b">
        <v>0</v>
      </c>
      <c r="AR165" s="48">
        <v>0</v>
      </c>
      <c r="AS165" s="48" t="b">
        <v>0</v>
      </c>
      <c r="AT165" s="7" t="b">
        <v>0</v>
      </c>
      <c r="AU165" s="40" t="str" cm="1">
        <f t="array" ref="AU165">_xlfn.XLOOKUP(PROPERTIES[[#This Row],[VEHIDCODE]],GRAPHICS_PROPERTIES[VEHIDCODE],GRAPHICS_PROPERTIES[TEMPLATE_ID]&amp;GRAPHICS_PROPERTIES[TEMPLATE_AMENDMENT_CODE])</f>
        <v>TPL_03A</v>
      </c>
    </row>
    <row r="166" spans="1:47" x14ac:dyDescent="0.35">
      <c r="A166" s="2" t="s">
        <v>2805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0" t="str">
        <f>_xlfn.XLOOKUP(PROPERTIES[[#This Row],[VEHIDCODE]],CONTROL[VEHIDCODE],CONTROL[ENGLISH])</f>
        <v>ALCO 2-8-2 5100-5194 'Light Mikado'</v>
      </c>
      <c r="F166" t="s">
        <v>757</v>
      </c>
      <c r="G166" s="40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17</v>
      </c>
      <c r="J166">
        <v>0</v>
      </c>
      <c r="K166">
        <v>6</v>
      </c>
      <c r="L166">
        <v>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3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0">
        <v>243.42</v>
      </c>
      <c r="AA166" s="19">
        <f>IFERROR(PROPERTIES[[#This Row],[TE_STARTING_KN]]/(PROPERTIES[[#This Row],[WEIGHT]]*9.81),0)</f>
        <v>0.11434772192392789</v>
      </c>
      <c r="AB166" s="19">
        <v>0</v>
      </c>
      <c r="AC166" s="16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6">
        <v>0</v>
      </c>
      <c r="AF166" s="6">
        <v>4</v>
      </c>
      <c r="AG166" t="s">
        <v>235</v>
      </c>
      <c r="AH166" t="s">
        <v>229</v>
      </c>
      <c r="AI166" t="s">
        <v>229</v>
      </c>
      <c r="AJ166" s="2" t="s">
        <v>229</v>
      </c>
      <c r="AK166" s="2" t="s">
        <v>244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44" t="b">
        <v>0</v>
      </c>
      <c r="AP166" s="48" t="b">
        <v>0</v>
      </c>
      <c r="AQ166" s="48" t="b">
        <v>0</v>
      </c>
      <c r="AR166" s="48">
        <v>0</v>
      </c>
      <c r="AS166" s="48" t="b">
        <v>0</v>
      </c>
      <c r="AT166" s="7" t="b">
        <v>0</v>
      </c>
      <c r="AU166" s="40" t="str" cm="1">
        <f t="array" ref="AU166">_xlfn.XLOOKUP(PROPERTIES[[#This Row],[VEHIDCODE]],GRAPHICS_PROPERTIES[VEHIDCODE],GRAPHICS_PROPERTIES[TEMPLATE_ID]&amp;GRAPHICS_PROPERTIES[TEMPLATE_AMENDMENT_CODE])</f>
        <v>TPL_03A</v>
      </c>
    </row>
    <row r="167" spans="1:47" x14ac:dyDescent="0.35">
      <c r="A167" s="2" t="s">
        <v>2806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0" t="str">
        <f>_xlfn.XLOOKUP(PROPERTIES[[#This Row],[VEHIDCODE]],CONTROL[VEHIDCODE],CONTROL[ENGLISH])</f>
        <v>FCGR [BAGS] No. 315 2-4-0T</v>
      </c>
      <c r="F167" t="s">
        <v>538</v>
      </c>
      <c r="G167" s="40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17</v>
      </c>
      <c r="J167">
        <v>0</v>
      </c>
      <c r="K167">
        <v>4</v>
      </c>
      <c r="L167">
        <v>0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3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0">
        <v>62</v>
      </c>
      <c r="AA167" s="19">
        <f>IFERROR(PROPERTIES[[#This Row],[TE_STARTING_KN]]/(PROPERTIES[[#This Row],[WEIGHT]]*9.81),0)</f>
        <v>0.13166836561331974</v>
      </c>
      <c r="AB167" s="19">
        <v>0</v>
      </c>
      <c r="AC167" s="16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6">
        <v>0</v>
      </c>
      <c r="AF167" s="6">
        <v>0</v>
      </c>
      <c r="AG167" t="s">
        <v>237</v>
      </c>
      <c r="AH167" t="s">
        <v>229</v>
      </c>
      <c r="AI167" t="s">
        <v>229</v>
      </c>
      <c r="AJ167" s="2" t="s">
        <v>229</v>
      </c>
      <c r="AK167" s="2" t="s">
        <v>244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44" t="b">
        <v>0</v>
      </c>
      <c r="AP167" s="48" t="b">
        <v>0</v>
      </c>
      <c r="AQ167" s="48" t="b">
        <v>0</v>
      </c>
      <c r="AR167" s="48">
        <v>0</v>
      </c>
      <c r="AS167" s="48" t="b">
        <v>0</v>
      </c>
      <c r="AT167" s="7" t="b">
        <v>0</v>
      </c>
      <c r="AU167" s="40" t="str" cm="1">
        <f t="array" ref="AU167">_xlfn.XLOOKUP(PROPERTIES[[#This Row],[VEHIDCODE]],GRAPHICS_PROPERTIES[VEHIDCODE],GRAPHICS_PROPERTIES[TEMPLATE_ID]&amp;GRAPHICS_PROPERTIES[TEMPLATE_AMENDMENT_CODE])</f>
        <v>TPL_03C</v>
      </c>
    </row>
    <row r="168" spans="1:47" x14ac:dyDescent="0.35">
      <c r="A168" s="2" t="s">
        <v>2807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0" t="str">
        <f>_xlfn.XLOOKUP(PROPERTIES[[#This Row],[VEHIDCODE]],CONTROL[VEHIDCODE],CONTROL[ENGLISH])</f>
        <v>Eveleigh 4-6-0 'C35'</v>
      </c>
      <c r="F168" t="s">
        <v>541</v>
      </c>
      <c r="G168" s="40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17</v>
      </c>
      <c r="J168">
        <v>0</v>
      </c>
      <c r="K168">
        <v>6</v>
      </c>
      <c r="L168">
        <v>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3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0">
        <v>129.80000000000001</v>
      </c>
      <c r="AA168" s="19">
        <f>IFERROR(PROPERTIES[[#This Row],[TE_STARTING_KN]]/(PROPERTIES[[#This Row],[WEIGHT]]*9.81),0)</f>
        <v>0.10501108360435576</v>
      </c>
      <c r="AB168" s="19">
        <v>0</v>
      </c>
      <c r="AC168" s="16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6">
        <v>0</v>
      </c>
      <c r="AF168" s="6">
        <v>4</v>
      </c>
      <c r="AG168" t="s">
        <v>232</v>
      </c>
      <c r="AH168" t="s">
        <v>229</v>
      </c>
      <c r="AI168" t="s">
        <v>229</v>
      </c>
      <c r="AJ168" s="2" t="s">
        <v>229</v>
      </c>
      <c r="AK168" s="2" t="s">
        <v>244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44" t="b">
        <v>0</v>
      </c>
      <c r="AP168" s="48" t="b">
        <v>0</v>
      </c>
      <c r="AQ168" s="48" t="b">
        <v>0</v>
      </c>
      <c r="AR168" s="48">
        <v>0</v>
      </c>
      <c r="AS168" s="48" t="b">
        <v>0</v>
      </c>
      <c r="AT168" s="7" t="b">
        <v>0</v>
      </c>
      <c r="AU168" s="40" t="str" cm="1">
        <f t="array" ref="AU168">_xlfn.XLOOKUP(PROPERTIES[[#This Row],[VEHIDCODE]],GRAPHICS_PROPERTIES[VEHIDCODE],GRAPHICS_PROPERTIES[TEMPLATE_ID]&amp;GRAPHICS_PROPERTIES[TEMPLATE_AMENDMENT_CODE])</f>
        <v>TPL_03A</v>
      </c>
    </row>
    <row r="169" spans="1:47" x14ac:dyDescent="0.35">
      <c r="A169" s="2" t="s">
        <v>2808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0" t="str">
        <f>_xlfn.XLOOKUP(PROPERTIES[[#This Row],[VEHIDCODE]],CONTROL[VEHIDCODE],CONTROL[ENGLISH])</f>
        <v>ALCO 2-8-0 74707-74785 'Type 29'</v>
      </c>
      <c r="F169" t="s">
        <v>548</v>
      </c>
      <c r="G169" s="40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17</v>
      </c>
      <c r="J169">
        <v>0</v>
      </c>
      <c r="K169">
        <v>7</v>
      </c>
      <c r="L169">
        <v>0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3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0">
        <v>138</v>
      </c>
      <c r="AA169" s="19">
        <f>IFERROR(PROPERTIES[[#This Row],[TE_STARTING_KN]]/(PROPERTIES[[#This Row],[WEIGHT]]*9.81),0)</f>
        <v>0.11076597076741553</v>
      </c>
      <c r="AB169" s="19">
        <v>0</v>
      </c>
      <c r="AC169" s="16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6">
        <v>0</v>
      </c>
      <c r="AF169" s="6">
        <v>4</v>
      </c>
      <c r="AG169" t="s">
        <v>230</v>
      </c>
      <c r="AH169" t="s">
        <v>229</v>
      </c>
      <c r="AI169" t="s">
        <v>229</v>
      </c>
      <c r="AJ169" s="2" t="s">
        <v>229</v>
      </c>
      <c r="AK169" s="2" t="s">
        <v>244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44" t="b">
        <v>0</v>
      </c>
      <c r="AP169" s="48" t="b">
        <v>0</v>
      </c>
      <c r="AQ169" s="48" t="b">
        <v>0</v>
      </c>
      <c r="AR169" s="48">
        <v>0</v>
      </c>
      <c r="AS169" s="48" t="b">
        <v>0</v>
      </c>
      <c r="AT169" s="7" t="b">
        <v>0</v>
      </c>
      <c r="AU169" s="40" t="str" cm="1">
        <f t="array" ref="AU169">_xlfn.XLOOKUP(PROPERTIES[[#This Row],[VEHIDCODE]],GRAPHICS_PROPERTIES[VEHIDCODE],GRAPHICS_PROPERTIES[TEMPLATE_ID]&amp;GRAPHICS_PROPERTIES[TEMPLATE_AMENDMENT_CODE])</f>
        <v>TPL_03A</v>
      </c>
    </row>
    <row r="170" spans="1:47" x14ac:dyDescent="0.35">
      <c r="A170" s="2" t="s">
        <v>2809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0" t="str">
        <f>_xlfn.XLOOKUP(PROPERTIES[[#This Row],[VEHIDCODE]],CONTROL[VEHIDCODE],CONTROL[ENGLISH])</f>
        <v>FCAB 4-8-2 Vulcan 'Mountain'</v>
      </c>
      <c r="F170" t="s">
        <v>573</v>
      </c>
      <c r="G170" s="40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17</v>
      </c>
      <c r="J170">
        <v>0</v>
      </c>
      <c r="K170">
        <v>7</v>
      </c>
      <c r="L170">
        <v>0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3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0">
        <v>151</v>
      </c>
      <c r="AA170" s="19">
        <f>IFERROR(PROPERTIES[[#This Row],[TE_STARTING_KN]]/(PROPERTIES[[#This Row],[WEIGHT]]*9.81),0)</f>
        <v>0.10542778545794758</v>
      </c>
      <c r="AB170" s="19">
        <v>0</v>
      </c>
      <c r="AC170" s="16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6">
        <v>0</v>
      </c>
      <c r="AF170" s="6">
        <v>4</v>
      </c>
      <c r="AG170" t="s">
        <v>237</v>
      </c>
      <c r="AH170" t="s">
        <v>229</v>
      </c>
      <c r="AI170" t="s">
        <v>229</v>
      </c>
      <c r="AJ170" s="2" t="s">
        <v>229</v>
      </c>
      <c r="AK170" s="2" t="s">
        <v>244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44" t="b">
        <v>0</v>
      </c>
      <c r="AP170" s="48" t="b">
        <v>0</v>
      </c>
      <c r="AQ170" s="48" t="b">
        <v>1</v>
      </c>
      <c r="AR170" s="48">
        <v>0</v>
      </c>
      <c r="AS170" s="48" t="b">
        <v>0</v>
      </c>
      <c r="AT170" s="7" t="b">
        <v>1</v>
      </c>
      <c r="AU170" s="40" t="str" cm="1">
        <f t="array" ref="AU170">_xlfn.XLOOKUP(PROPERTIES[[#This Row],[VEHIDCODE]],GRAPHICS_PROPERTIES[VEHIDCODE],GRAPHICS_PROPERTIES[TEMPLATE_ID]&amp;GRAPHICS_PROPERTIES[TEMPLATE_AMENDMENT_CODE])</f>
        <v>TPL_03A</v>
      </c>
    </row>
    <row r="171" spans="1:47" x14ac:dyDescent="0.35">
      <c r="A171" s="2" t="s">
        <v>2810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0" t="str">
        <f>_xlfn.XLOOKUP(PROPERTIES[[#This Row],[VEHIDCODE]],CONTROL[VEHIDCODE],CONTROL[ENGLISH])</f>
        <v>Datong QJ 2-10-2 101-3602</v>
      </c>
      <c r="F171" t="s">
        <v>575</v>
      </c>
      <c r="G171" s="40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17</v>
      </c>
      <c r="J171">
        <v>0</v>
      </c>
      <c r="K171">
        <v>8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3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0">
        <v>281.75</v>
      </c>
      <c r="AA171" s="19">
        <f>IFERROR(PROPERTIES[[#This Row],[TE_STARTING_KN]]/(PROPERTIES[[#This Row],[WEIGHT]]*9.81),0)</f>
        <v>0.1413419939480042</v>
      </c>
      <c r="AB171" s="19">
        <v>0</v>
      </c>
      <c r="AC171" s="16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6">
        <v>0</v>
      </c>
      <c r="AF171" s="6">
        <v>6</v>
      </c>
      <c r="AG171" t="s">
        <v>238</v>
      </c>
      <c r="AH171" t="s">
        <v>229</v>
      </c>
      <c r="AI171" t="s">
        <v>229</v>
      </c>
      <c r="AJ171" s="2" t="s">
        <v>229</v>
      </c>
      <c r="AK171" s="2" t="s">
        <v>244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44" t="b">
        <v>0</v>
      </c>
      <c r="AP171" s="48" t="b">
        <v>0</v>
      </c>
      <c r="AQ171" s="48" t="b">
        <v>0</v>
      </c>
      <c r="AR171" s="48">
        <v>0</v>
      </c>
      <c r="AS171" s="48" t="b">
        <v>0</v>
      </c>
      <c r="AT171" s="7" t="b">
        <v>0</v>
      </c>
      <c r="AU171" s="40" t="str" cm="1">
        <f t="array" ref="AU171">_xlfn.XLOOKUP(PROPERTIES[[#This Row],[VEHIDCODE]],GRAPHICS_PROPERTIES[VEHIDCODE],GRAPHICS_PROPERTIES[TEMPLATE_ID]&amp;GRAPHICS_PROPERTIES[TEMPLATE_AMENDMENT_CODE])</f>
        <v>TPL_03A</v>
      </c>
    </row>
    <row r="172" spans="1:47" x14ac:dyDescent="0.35">
      <c r="A172" s="2" t="s">
        <v>2811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0" t="str">
        <f>_xlfn.XLOOKUP(PROPERTIES[[#This Row],[VEHIDCODE]],CONTROL[VEHIDCODE],CONTROL[ENGLISH])</f>
        <v>DB Kof II/DB 322</v>
      </c>
      <c r="F172" t="s">
        <v>584</v>
      </c>
      <c r="G172" s="40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17</v>
      </c>
      <c r="J172">
        <v>0</v>
      </c>
      <c r="K172">
        <v>4</v>
      </c>
      <c r="L172">
        <v>0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3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0">
        <v>30</v>
      </c>
      <c r="AA172" s="19">
        <f>IFERROR(PROPERTIES[[#This Row],[TE_STARTING_KN]]/(PROPERTIES[[#This Row],[WEIGHT]]*9.81),0)</f>
        <v>0.2038735983690112</v>
      </c>
      <c r="AB172" s="19">
        <v>0</v>
      </c>
      <c r="AC172" s="16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6">
        <v>0</v>
      </c>
      <c r="AF172" s="6">
        <v>0</v>
      </c>
      <c r="AG172" t="s">
        <v>239</v>
      </c>
      <c r="AH172" t="s">
        <v>229</v>
      </c>
      <c r="AI172" t="s">
        <v>229</v>
      </c>
      <c r="AJ172" s="2" t="s">
        <v>229</v>
      </c>
      <c r="AK172" s="2" t="s">
        <v>244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44" t="b">
        <v>0</v>
      </c>
      <c r="AP172" s="48" t="b">
        <v>0</v>
      </c>
      <c r="AQ172" s="48" t="b">
        <v>0</v>
      </c>
      <c r="AR172" s="48">
        <v>0</v>
      </c>
      <c r="AS172" s="48" t="b">
        <v>0</v>
      </c>
      <c r="AT172" s="7" t="b">
        <v>0</v>
      </c>
      <c r="AU172" s="40" t="str" cm="1">
        <f t="array" ref="AU172">_xlfn.XLOOKUP(PROPERTIES[[#This Row],[VEHIDCODE]],GRAPHICS_PROPERTIES[VEHIDCODE],GRAPHICS_PROPERTIES[TEMPLATE_ID]&amp;GRAPHICS_PROPERTIES[TEMPLATE_AMENDMENT_CODE])</f>
        <v>TPL_01A</v>
      </c>
    </row>
    <row r="173" spans="1:47" x14ac:dyDescent="0.35">
      <c r="A173" s="2" t="s">
        <v>2812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0" t="str">
        <f>_xlfn.XLOOKUP(PROPERTIES[[#This Row],[VEHIDCODE]],CONTROL[VEHIDCODE],CONTROL[ENGLISH])</f>
        <v>CNJ ALCo-GE-IR Boxcab 100T</v>
      </c>
      <c r="F173" t="s">
        <v>757</v>
      </c>
      <c r="G173" s="40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17</v>
      </c>
      <c r="J173">
        <v>0</v>
      </c>
      <c r="K173">
        <v>4</v>
      </c>
      <c r="L173">
        <v>0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3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0">
        <v>250</v>
      </c>
      <c r="AA173" s="19">
        <f>IFERROR(PROPERTIES[[#This Row],[TE_STARTING_KN]]/(PROPERTIES[[#This Row],[WEIGHT]]*9.81),0)</f>
        <v>0.28097243435641017</v>
      </c>
      <c r="AB173" s="19">
        <v>0</v>
      </c>
      <c r="AC173" s="16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6">
        <v>0</v>
      </c>
      <c r="AF173" s="6">
        <v>0</v>
      </c>
      <c r="AG173" t="s">
        <v>235</v>
      </c>
      <c r="AH173" t="s">
        <v>229</v>
      </c>
      <c r="AI173" t="s">
        <v>229</v>
      </c>
      <c r="AJ173" s="2" t="s">
        <v>229</v>
      </c>
      <c r="AK173" s="2" t="s">
        <v>244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44" t="b">
        <v>0</v>
      </c>
      <c r="AP173" s="48" t="b">
        <v>0</v>
      </c>
      <c r="AQ173" s="48" t="b">
        <v>0</v>
      </c>
      <c r="AR173" s="48">
        <v>0</v>
      </c>
      <c r="AS173" s="48" t="b">
        <v>0</v>
      </c>
      <c r="AT173" s="7" t="b">
        <v>0</v>
      </c>
      <c r="AU173" s="40" t="str" cm="1">
        <f t="array" ref="AU173">_xlfn.XLOOKUP(PROPERTIES[[#This Row],[VEHIDCODE]],GRAPHICS_PROPERTIES[VEHIDCODE],GRAPHICS_PROPERTIES[TEMPLATE_ID]&amp;GRAPHICS_PROPERTIES[TEMPLATE_AMENDMENT_CODE])</f>
        <v>TPL_01A</v>
      </c>
    </row>
    <row r="174" spans="1:47" x14ac:dyDescent="0.35">
      <c r="A174" s="2" t="s">
        <v>2813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0" t="str">
        <f>_xlfn.XLOOKUP(PROPERTIES[[#This Row],[VEHIDCODE]],CONTROL[VEHIDCODE],CONTROL[ENGLISH])</f>
        <v>Werkspoor 200 'Sik'</v>
      </c>
      <c r="F174" t="s">
        <v>692</v>
      </c>
      <c r="G174" s="40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17</v>
      </c>
      <c r="J174">
        <v>0</v>
      </c>
      <c r="K174">
        <v>4</v>
      </c>
      <c r="L174">
        <v>0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3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0">
        <v>45</v>
      </c>
      <c r="AA174" s="19">
        <f>IFERROR(PROPERTIES[[#This Row],[TE_STARTING_KN]]/(PROPERTIES[[#This Row],[WEIGHT]]*9.81),0)</f>
        <v>0.218435998252512</v>
      </c>
      <c r="AB174" s="19">
        <v>0</v>
      </c>
      <c r="AC174" s="16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6">
        <v>0</v>
      </c>
      <c r="AF174" s="6">
        <v>0</v>
      </c>
      <c r="AG174" t="s">
        <v>230</v>
      </c>
      <c r="AH174" t="s">
        <v>229</v>
      </c>
      <c r="AI174" t="s">
        <v>229</v>
      </c>
      <c r="AJ174" s="2" t="s">
        <v>229</v>
      </c>
      <c r="AK174" s="2" t="s">
        <v>244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44" t="b">
        <v>0</v>
      </c>
      <c r="AP174" s="48" t="b">
        <v>0</v>
      </c>
      <c r="AQ174" s="48" t="b">
        <v>0</v>
      </c>
      <c r="AR174" s="48">
        <v>0</v>
      </c>
      <c r="AS174" s="48" t="b">
        <v>0</v>
      </c>
      <c r="AT174" s="7" t="b">
        <v>0</v>
      </c>
      <c r="AU174" s="40" t="str" cm="1">
        <f t="array" ref="AU174">_xlfn.XLOOKUP(PROPERTIES[[#This Row],[VEHIDCODE]],GRAPHICS_PROPERTIES[VEHIDCODE],GRAPHICS_PROPERTIES[TEMPLATE_ID]&amp;GRAPHICS_PROPERTIES[TEMPLATE_AMENDMENT_CODE])</f>
        <v>TPL_01A</v>
      </c>
    </row>
    <row r="175" spans="1:47" x14ac:dyDescent="0.35">
      <c r="A175" s="2" t="s">
        <v>2814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0" t="str">
        <f>_xlfn.XLOOKUP(PROPERTIES[[#This Row],[VEHIDCODE]],CONTROL[VEHIDCODE],CONTROL[ENGLISH])</f>
        <v>BMAG 'WR 200 B 14'</v>
      </c>
      <c r="F175" t="s">
        <v>584</v>
      </c>
      <c r="G175" s="40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17</v>
      </c>
      <c r="J175">
        <v>0</v>
      </c>
      <c r="K175">
        <v>5</v>
      </c>
      <c r="L175">
        <v>0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3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0">
        <v>68</v>
      </c>
      <c r="AA175" s="19">
        <f>IFERROR(PROPERTIES[[#This Row],[TE_STARTING_KN]]/(PROPERTIES[[#This Row],[WEIGHT]]*9.81),0)</f>
        <v>0.26660393632870699</v>
      </c>
      <c r="AB175" s="19">
        <v>0</v>
      </c>
      <c r="AC175" s="16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6">
        <v>0</v>
      </c>
      <c r="AF175" s="6">
        <v>0</v>
      </c>
      <c r="AG175" t="s">
        <v>230</v>
      </c>
      <c r="AH175" t="s">
        <v>229</v>
      </c>
      <c r="AI175" t="s">
        <v>229</v>
      </c>
      <c r="AJ175" s="2" t="s">
        <v>229</v>
      </c>
      <c r="AK175" s="2" t="s">
        <v>244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44" t="b">
        <v>0</v>
      </c>
      <c r="AP175" s="48" t="b">
        <v>0</v>
      </c>
      <c r="AQ175" s="48" t="b">
        <v>0</v>
      </c>
      <c r="AR175" s="48">
        <v>0</v>
      </c>
      <c r="AS175" s="48" t="b">
        <v>0</v>
      </c>
      <c r="AT175" s="7" t="b">
        <v>0</v>
      </c>
      <c r="AU175" s="40" t="str" cm="1">
        <f t="array" ref="AU175">_xlfn.XLOOKUP(PROPERTIES[[#This Row],[VEHIDCODE]],GRAPHICS_PROPERTIES[VEHIDCODE],GRAPHICS_PROPERTIES[TEMPLATE_ID]&amp;GRAPHICS_PROPERTIES[TEMPLATE_AMENDMENT_CODE])</f>
        <v>TPL_03C</v>
      </c>
    </row>
    <row r="176" spans="1:47" x14ac:dyDescent="0.35">
      <c r="A176" s="2" t="s">
        <v>2815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0" t="str">
        <f>_xlfn.XLOOKUP(PROPERTIES[[#This Row],[VEHIDCODE]],CONTROL[VEHIDCODE],CONTROL[ENGLISH])</f>
        <v>BBC/SLM Am 4/6</v>
      </c>
      <c r="F176" t="s">
        <v>570</v>
      </c>
      <c r="G176" s="40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17</v>
      </c>
      <c r="J176">
        <v>0</v>
      </c>
      <c r="K176">
        <v>8</v>
      </c>
      <c r="L176">
        <v>0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3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0">
        <v>127</v>
      </c>
      <c r="AA176" s="19">
        <f>IFERROR(PROPERTIES[[#This Row],[TE_STARTING_KN]]/(PROPERTIES[[#This Row],[WEIGHT]]*9.81),0)</f>
        <v>0.14071710322208925</v>
      </c>
      <c r="AB176" s="19">
        <v>0</v>
      </c>
      <c r="AC176" s="16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6">
        <v>0</v>
      </c>
      <c r="AF176" s="6">
        <v>0</v>
      </c>
      <c r="AG176" t="s">
        <v>230</v>
      </c>
      <c r="AH176" t="s">
        <v>229</v>
      </c>
      <c r="AI176" t="s">
        <v>229</v>
      </c>
      <c r="AJ176" s="2" t="s">
        <v>229</v>
      </c>
      <c r="AK176" s="2" t="s">
        <v>244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45" t="s">
        <v>3644</v>
      </c>
      <c r="AP176" s="48" t="b">
        <v>0</v>
      </c>
      <c r="AQ176" s="48" t="b">
        <v>0</v>
      </c>
      <c r="AR176" s="48">
        <v>0</v>
      </c>
      <c r="AS176" s="48" t="b">
        <v>0</v>
      </c>
      <c r="AT176" s="7" t="b">
        <v>0</v>
      </c>
      <c r="AU176" s="40" t="str" cm="1">
        <f t="array" ref="AU176">_xlfn.XLOOKUP(PROPERTIES[[#This Row],[VEHIDCODE]],GRAPHICS_PROPERTIES[VEHIDCODE],GRAPHICS_PROPERTIES[TEMPLATE_ID]&amp;GRAPHICS_PROPERTIES[TEMPLATE_AMENDMENT_CODE])</f>
        <v>TPL_01A</v>
      </c>
    </row>
    <row r="177" spans="1:47" x14ac:dyDescent="0.35">
      <c r="A177" s="2" t="s">
        <v>2816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0" t="str">
        <f>_xlfn.XLOOKUP(PROPERTIES[[#This Row],[VEHIDCODE]],CONTROL[VEHIDCODE],CONTROL[ENGLISH])</f>
        <v>GE 44-ton switcher</v>
      </c>
      <c r="F177" t="s">
        <v>541</v>
      </c>
      <c r="G177" s="40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17</v>
      </c>
      <c r="J177">
        <v>0</v>
      </c>
      <c r="K177">
        <v>5</v>
      </c>
      <c r="L177">
        <v>0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3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0">
        <v>57.83</v>
      </c>
      <c r="AA177" s="19">
        <f>IFERROR(PROPERTIES[[#This Row],[TE_STARTING_KN]]/(PROPERTIES[[#This Row],[WEIGHT]]*9.81),0)</f>
        <v>0.14737512742099895</v>
      </c>
      <c r="AB177" s="19">
        <v>0</v>
      </c>
      <c r="AC177" s="16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6">
        <v>0</v>
      </c>
      <c r="AF177" s="6">
        <v>0</v>
      </c>
      <c r="AG177" t="s">
        <v>1947</v>
      </c>
      <c r="AH177" t="s">
        <v>240</v>
      </c>
      <c r="AI177" t="s">
        <v>1950</v>
      </c>
      <c r="AJ177" s="2" t="s">
        <v>1950</v>
      </c>
      <c r="AK177" s="2" t="s">
        <v>244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44" t="b">
        <v>0</v>
      </c>
      <c r="AP177" s="48" t="b">
        <v>0</v>
      </c>
      <c r="AQ177" s="48" t="b">
        <v>0</v>
      </c>
      <c r="AR177" s="48">
        <v>0</v>
      </c>
      <c r="AS177" s="48" t="b">
        <v>0</v>
      </c>
      <c r="AT177" s="7" t="b">
        <v>0</v>
      </c>
      <c r="AU177" s="40" t="str" cm="1">
        <f t="array" ref="AU177">_xlfn.XLOOKUP(PROPERTIES[[#This Row],[VEHIDCODE]],GRAPHICS_PROPERTIES[VEHIDCODE],GRAPHICS_PROPERTIES[TEMPLATE_ID]&amp;GRAPHICS_PROPERTIES[TEMPLATE_AMENDMENT_CODE])</f>
        <v>TPL_01A</v>
      </c>
    </row>
    <row r="178" spans="1:47" x14ac:dyDescent="0.35">
      <c r="A178" s="2" t="s">
        <v>2817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0" t="str">
        <f>_xlfn.XLOOKUP(PROPERTIES[[#This Row],[VEHIDCODE]],CONTROL[VEHIDCODE],CONTROL[ENGLISH])</f>
        <v>ALCO S-2</v>
      </c>
      <c r="F178" t="s">
        <v>757</v>
      </c>
      <c r="G178" s="40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17</v>
      </c>
      <c r="J178">
        <v>0</v>
      </c>
      <c r="K178">
        <v>6</v>
      </c>
      <c r="L178">
        <v>0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3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0">
        <v>261</v>
      </c>
      <c r="AA178" s="19">
        <f>IFERROR(PROPERTIES[[#This Row],[TE_STARTING_KN]]/(PROPERTIES[[#This Row],[WEIGHT]]*9.81),0)</f>
        <v>0.25582215949188425</v>
      </c>
      <c r="AB178" s="19">
        <v>0</v>
      </c>
      <c r="AC178" s="16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6">
        <v>0</v>
      </c>
      <c r="AF178" s="6">
        <v>0</v>
      </c>
      <c r="AG178" t="s">
        <v>235</v>
      </c>
      <c r="AH178" t="s">
        <v>232</v>
      </c>
      <c r="AI178" t="s">
        <v>229</v>
      </c>
      <c r="AJ178" s="2" t="s">
        <v>229</v>
      </c>
      <c r="AK178" s="2" t="s">
        <v>244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44" t="b">
        <v>0</v>
      </c>
      <c r="AP178" s="48" t="b">
        <v>0</v>
      </c>
      <c r="AQ178" s="48" t="b">
        <v>0</v>
      </c>
      <c r="AR178" s="48">
        <v>0</v>
      </c>
      <c r="AS178" s="48" t="b">
        <v>0</v>
      </c>
      <c r="AT178" s="7" t="b">
        <v>0</v>
      </c>
      <c r="AU178" s="40" t="str" cm="1">
        <f t="array" ref="AU178">_xlfn.XLOOKUP(PROPERTIES[[#This Row],[VEHIDCODE]],GRAPHICS_PROPERTIES[VEHIDCODE],GRAPHICS_PROPERTIES[TEMPLATE_ID]&amp;GRAPHICS_PROPERTIES[TEMPLATE_AMENDMENT_CODE])</f>
        <v>TPL_01A</v>
      </c>
    </row>
    <row r="179" spans="1:47" x14ac:dyDescent="0.35">
      <c r="A179" s="2" t="s">
        <v>2818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0" t="str">
        <f>_xlfn.XLOOKUP(PROPERTIES[[#This Row],[VEHIDCODE]],CONTROL[VEHIDCODE],CONTROL[ENGLISH])</f>
        <v>EMD F3</v>
      </c>
      <c r="F179" t="s">
        <v>757</v>
      </c>
      <c r="G179" s="40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17</v>
      </c>
      <c r="J179">
        <v>0</v>
      </c>
      <c r="K179">
        <v>7</v>
      </c>
      <c r="L179">
        <v>0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3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0">
        <v>250</v>
      </c>
      <c r="AA179" s="19">
        <f>IFERROR(PROPERTIES[[#This Row],[TE_STARTING_KN]]/(PROPERTIES[[#This Row],[WEIGHT]]*9.81),0)</f>
        <v>0.1833395668786072</v>
      </c>
      <c r="AB179" s="19">
        <v>0</v>
      </c>
      <c r="AC179" s="16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6">
        <v>0</v>
      </c>
      <c r="AF179" s="6">
        <v>0</v>
      </c>
      <c r="AG179" t="s">
        <v>235</v>
      </c>
      <c r="AH179" t="s">
        <v>229</v>
      </c>
      <c r="AI179" t="s">
        <v>229</v>
      </c>
      <c r="AJ179" s="2" t="s">
        <v>229</v>
      </c>
      <c r="AK179" s="2" t="s">
        <v>244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44" t="b">
        <v>0</v>
      </c>
      <c r="AP179" s="48" t="b">
        <v>0</v>
      </c>
      <c r="AQ179" s="48" t="b">
        <v>0</v>
      </c>
      <c r="AR179" s="48">
        <v>0</v>
      </c>
      <c r="AS179" s="48" t="b">
        <v>0</v>
      </c>
      <c r="AT179" s="7" t="b">
        <v>0</v>
      </c>
      <c r="AU179" s="40" t="str" cm="1">
        <f t="array" ref="AU179">_xlfn.XLOOKUP(PROPERTIES[[#This Row],[VEHIDCODE]],GRAPHICS_PROPERTIES[VEHIDCODE],GRAPHICS_PROPERTIES[TEMPLATE_ID]&amp;GRAPHICS_PROPERTIES[TEMPLATE_AMENDMENT_CODE])</f>
        <v>TPL_17B</v>
      </c>
    </row>
    <row r="180" spans="1:47" x14ac:dyDescent="0.35">
      <c r="A180" s="2" t="s">
        <v>2819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0" t="str">
        <f>_xlfn.XLOOKUP(PROPERTIES[[#This Row],[VEHIDCODE]],CONTROL[VEHIDCODE],CONTROL[ENGLISH])</f>
        <v>EMD E8</v>
      </c>
      <c r="F180" t="s">
        <v>757</v>
      </c>
      <c r="G180" s="40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17</v>
      </c>
      <c r="J180">
        <v>0</v>
      </c>
      <c r="K180">
        <v>8</v>
      </c>
      <c r="L180">
        <v>0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3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0">
        <v>251</v>
      </c>
      <c r="AA180" s="19">
        <f>IFERROR(PROPERTIES[[#This Row],[TE_STARTING_KN]]/(PROPERTIES[[#This Row],[WEIGHT]]*9.81),0)</f>
        <v>0.17892403213504129</v>
      </c>
      <c r="AB180" s="19">
        <v>0</v>
      </c>
      <c r="AC180" s="16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6">
        <v>0</v>
      </c>
      <c r="AF180" s="6">
        <v>0</v>
      </c>
      <c r="AG180" t="s">
        <v>235</v>
      </c>
      <c r="AH180" t="s">
        <v>229</v>
      </c>
      <c r="AI180" t="s">
        <v>229</v>
      </c>
      <c r="AJ180" s="2" t="s">
        <v>229</v>
      </c>
      <c r="AK180" s="2" t="s">
        <v>244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44" t="b">
        <v>0</v>
      </c>
      <c r="AP180" s="48" t="b">
        <v>0</v>
      </c>
      <c r="AQ180" s="48" t="b">
        <v>0</v>
      </c>
      <c r="AR180" s="48">
        <v>0</v>
      </c>
      <c r="AS180" s="48" t="b">
        <v>0</v>
      </c>
      <c r="AT180" s="7" t="b">
        <v>0</v>
      </c>
      <c r="AU180" s="40" t="str" cm="1">
        <f t="array" ref="AU180">_xlfn.XLOOKUP(PROPERTIES[[#This Row],[VEHIDCODE]],GRAPHICS_PROPERTIES[VEHIDCODE],GRAPHICS_PROPERTIES[TEMPLATE_ID]&amp;GRAPHICS_PROPERTIES[TEMPLATE_AMENDMENT_CODE])</f>
        <v>TPL_17B</v>
      </c>
    </row>
    <row r="181" spans="1:47" x14ac:dyDescent="0.35">
      <c r="A181" s="2" t="s">
        <v>2820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0" t="str">
        <f>_xlfn.XLOOKUP(PROPERTIES[[#This Row],[VEHIDCODE]],CONTROL[VEHIDCODE],CONTROL[ENGLISH])</f>
        <v>ALCO RS-3</v>
      </c>
      <c r="F181" t="s">
        <v>558</v>
      </c>
      <c r="G181" s="40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17</v>
      </c>
      <c r="J181">
        <v>0</v>
      </c>
      <c r="K181">
        <v>7</v>
      </c>
      <c r="L181">
        <v>0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3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0">
        <v>274.8</v>
      </c>
      <c r="AA181" s="19">
        <f>IFERROR(PROPERTIES[[#This Row],[TE_STARTING_KN]]/(PROPERTIES[[#This Row],[WEIGHT]]*9.81),0)</f>
        <v>0.25010921799912628</v>
      </c>
      <c r="AB181" s="19">
        <v>0</v>
      </c>
      <c r="AC181" s="16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6">
        <v>0</v>
      </c>
      <c r="AF181" s="6">
        <v>0</v>
      </c>
      <c r="AG181" t="s">
        <v>240</v>
      </c>
      <c r="AH181" t="s">
        <v>231</v>
      </c>
      <c r="AI181" t="s">
        <v>229</v>
      </c>
      <c r="AJ181" s="2" t="s">
        <v>229</v>
      </c>
      <c r="AK181" s="2" t="s">
        <v>244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44" t="b">
        <v>0</v>
      </c>
      <c r="AP181" s="48" t="b">
        <v>0</v>
      </c>
      <c r="AQ181" s="48" t="b">
        <v>0</v>
      </c>
      <c r="AR181" s="48">
        <v>0</v>
      </c>
      <c r="AS181" s="48" t="b">
        <v>0</v>
      </c>
      <c r="AT181" s="7" t="b">
        <v>0</v>
      </c>
      <c r="AU181" s="40" t="str" cm="1">
        <f t="array" ref="AU181">_xlfn.XLOOKUP(PROPERTIES[[#This Row],[VEHIDCODE]],GRAPHICS_PROPERTIES[VEHIDCODE],GRAPHICS_PROPERTIES[TEMPLATE_ID]&amp;GRAPHICS_PROPERTIES[TEMPLATE_AMENDMENT_CODE])</f>
        <v>TPL_01A</v>
      </c>
    </row>
    <row r="182" spans="1:47" x14ac:dyDescent="0.35">
      <c r="A182" s="2" t="s">
        <v>2821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0" t="str">
        <f>_xlfn.XLOOKUP(PROPERTIES[[#This Row],[VEHIDCODE]],CONTROL[VEHIDCODE],CONTROL[ENGLISH])</f>
        <v>English Electric 'Bakkie'</v>
      </c>
      <c r="F182" t="s">
        <v>692</v>
      </c>
      <c r="G182" s="40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17</v>
      </c>
      <c r="J182">
        <v>0</v>
      </c>
      <c r="K182">
        <v>5</v>
      </c>
      <c r="L182">
        <v>0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3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0">
        <v>143</v>
      </c>
      <c r="AA182" s="19">
        <f>IFERROR(PROPERTIES[[#This Row],[TE_STARTING_KN]]/(PROPERTIES[[#This Row],[WEIGHT]]*9.81),0)</f>
        <v>0.31014813368902766</v>
      </c>
      <c r="AB182" s="19">
        <v>0</v>
      </c>
      <c r="AC182" s="16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6">
        <v>0</v>
      </c>
      <c r="AF182" s="6">
        <v>0</v>
      </c>
      <c r="AG182" t="s">
        <v>1950</v>
      </c>
      <c r="AH182" t="s">
        <v>229</v>
      </c>
      <c r="AI182" t="s">
        <v>229</v>
      </c>
      <c r="AJ182" s="2" t="s">
        <v>229</v>
      </c>
      <c r="AK182" s="2" t="s">
        <v>244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44" t="b">
        <v>0</v>
      </c>
      <c r="AP182" s="48" t="b">
        <v>0</v>
      </c>
      <c r="AQ182" s="48" t="b">
        <v>0</v>
      </c>
      <c r="AR182" s="48">
        <v>0</v>
      </c>
      <c r="AS182" s="48" t="b">
        <v>0</v>
      </c>
      <c r="AT182" s="7" t="b">
        <v>0</v>
      </c>
      <c r="AU182" s="40" t="str" cm="1">
        <f t="array" ref="AU182">_xlfn.XLOOKUP(PROPERTIES[[#This Row],[VEHIDCODE]],GRAPHICS_PROPERTIES[VEHIDCODE],GRAPHICS_PROPERTIES[TEMPLATE_ID]&amp;GRAPHICS_PROPERTIES[TEMPLATE_AMENDMENT_CODE])</f>
        <v>TPL_03C</v>
      </c>
    </row>
    <row r="183" spans="1:47" x14ac:dyDescent="0.35">
      <c r="A183" s="2" t="s">
        <v>2822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0" t="str">
        <f>_xlfn.XLOOKUP(PROPERTIES[[#This Row],[VEHIDCODE]],CONTROL[VEHIDCODE],CONTROL[ENGLISH])</f>
        <v>Baldwin RF-16 'Sharknose'</v>
      </c>
      <c r="F183" t="s">
        <v>757</v>
      </c>
      <c r="G183" s="40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17</v>
      </c>
      <c r="J183">
        <v>0</v>
      </c>
      <c r="K183">
        <v>7</v>
      </c>
      <c r="L183">
        <v>0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3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0">
        <v>216.18</v>
      </c>
      <c r="AA183" s="19">
        <f>IFERROR(PROPERTIES[[#This Row],[TE_STARTING_KN]]/(PROPERTIES[[#This Row],[WEIGHT]]*9.81),0)</f>
        <v>0.18212146485707786</v>
      </c>
      <c r="AB183" s="19">
        <v>0</v>
      </c>
      <c r="AC183" s="16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6">
        <v>0</v>
      </c>
      <c r="AF183" s="6">
        <v>0</v>
      </c>
      <c r="AG183" t="s">
        <v>235</v>
      </c>
      <c r="AH183" t="s">
        <v>229</v>
      </c>
      <c r="AI183" t="s">
        <v>229</v>
      </c>
      <c r="AJ183" s="2" t="s">
        <v>229</v>
      </c>
      <c r="AK183" s="2" t="s">
        <v>244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44" t="b">
        <v>0</v>
      </c>
      <c r="AP183" s="48" t="b">
        <v>0</v>
      </c>
      <c r="AQ183" s="48" t="b">
        <v>0</v>
      </c>
      <c r="AR183" s="48">
        <v>0</v>
      </c>
      <c r="AS183" s="48" t="b">
        <v>0</v>
      </c>
      <c r="AT183" s="7" t="b">
        <v>0</v>
      </c>
      <c r="AU183" s="40" t="str" cm="1">
        <f t="array" ref="AU183">_xlfn.XLOOKUP(PROPERTIES[[#This Row],[VEHIDCODE]],GRAPHICS_PROPERTIES[VEHIDCODE],GRAPHICS_PROPERTIES[TEMPLATE_ID]&amp;GRAPHICS_PROPERTIES[TEMPLATE_AMENDMENT_CODE])</f>
        <v>TPL_17B</v>
      </c>
    </row>
    <row r="184" spans="1:47" x14ac:dyDescent="0.35">
      <c r="A184" s="2" t="s">
        <v>2823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0" t="str">
        <f>_xlfn.XLOOKUP(PROPERTIES[[#This Row],[VEHIDCODE]],CONTROL[VEHIDCODE],CONTROL[ENGLISH])</f>
        <v>AFE 1500</v>
      </c>
      <c r="F184" t="s">
        <v>758</v>
      </c>
      <c r="G184" s="40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17</v>
      </c>
      <c r="J184">
        <v>0</v>
      </c>
      <c r="K184">
        <v>8</v>
      </c>
      <c r="L184">
        <v>0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3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0">
        <v>255</v>
      </c>
      <c r="AA184" s="19">
        <f>IFERROR(PROPERTIES[[#This Row],[TE_STARTING_KN]]/(PROPERTIES[[#This Row],[WEIGHT]]*9.81),0)</f>
        <v>0.23208824814329401</v>
      </c>
      <c r="AB184" s="19">
        <v>0</v>
      </c>
      <c r="AC184" s="16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6">
        <v>0</v>
      </c>
      <c r="AF184" s="6">
        <v>0</v>
      </c>
      <c r="AG184" t="s">
        <v>237</v>
      </c>
      <c r="AH184" t="s">
        <v>229</v>
      </c>
      <c r="AI184" t="s">
        <v>229</v>
      </c>
      <c r="AJ184" s="2" t="s">
        <v>229</v>
      </c>
      <c r="AK184" s="2" t="s">
        <v>244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44" t="b">
        <v>0</v>
      </c>
      <c r="AP184" s="48" t="b">
        <v>0</v>
      </c>
      <c r="AQ184" s="48" t="b">
        <v>0</v>
      </c>
      <c r="AR184" s="48">
        <v>0</v>
      </c>
      <c r="AS184" s="48" t="b">
        <v>0</v>
      </c>
      <c r="AT184" s="7" t="b">
        <v>0</v>
      </c>
      <c r="AU184" s="40" t="str" cm="1">
        <f t="array" ref="AU184">_xlfn.XLOOKUP(PROPERTIES[[#This Row],[VEHIDCODE]],GRAPHICS_PROPERTIES[VEHIDCODE],GRAPHICS_PROPERTIES[TEMPLATE_ID]&amp;GRAPHICS_PROPERTIES[TEMPLATE_AMENDMENT_CODE])</f>
        <v>TPL_01A</v>
      </c>
    </row>
    <row r="185" spans="1:47" x14ac:dyDescent="0.35">
      <c r="A185" s="2" t="s">
        <v>2824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0" t="str">
        <f>_xlfn.XLOOKUP(PROPERTIES[[#This Row],[VEHIDCODE]],CONTROL[VEHIDCODE],CONTROL[ENGLISH])</f>
        <v>FM H-24-66 'Trainmaster'</v>
      </c>
      <c r="F185" t="s">
        <v>565</v>
      </c>
      <c r="G185" s="40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17</v>
      </c>
      <c r="J185">
        <v>0</v>
      </c>
      <c r="K185">
        <v>8</v>
      </c>
      <c r="L185">
        <v>0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3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0">
        <v>498.2</v>
      </c>
      <c r="AA185" s="19">
        <f>IFERROR(PROPERTIES[[#This Row],[TE_STARTING_KN]]/(PROPERTIES[[#This Row],[WEIGHT]]*9.81),0)</f>
        <v>0.29873478443365115</v>
      </c>
      <c r="AB185" s="19">
        <v>0</v>
      </c>
      <c r="AC185" s="16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6">
        <v>0</v>
      </c>
      <c r="AF185" s="6">
        <v>0</v>
      </c>
      <c r="AG185" t="s">
        <v>235</v>
      </c>
      <c r="AH185" t="s">
        <v>229</v>
      </c>
      <c r="AI185" t="s">
        <v>229</v>
      </c>
      <c r="AJ185" s="2" t="s">
        <v>229</v>
      </c>
      <c r="AK185" s="2" t="s">
        <v>244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44" t="b">
        <v>0</v>
      </c>
      <c r="AP185" s="48" t="b">
        <v>0</v>
      </c>
      <c r="AQ185" s="48" t="b">
        <v>0</v>
      </c>
      <c r="AR185" s="48">
        <v>0</v>
      </c>
      <c r="AS185" s="48" t="b">
        <v>0</v>
      </c>
      <c r="AT185" s="7" t="b">
        <v>0</v>
      </c>
      <c r="AU185" s="40" t="str" cm="1">
        <f t="array" ref="AU185">_xlfn.XLOOKUP(PROPERTIES[[#This Row],[VEHIDCODE]],GRAPHICS_PROPERTIES[VEHIDCODE],GRAPHICS_PROPERTIES[TEMPLATE_ID]&amp;GRAPHICS_PROPERTIES[TEMPLATE_AMENDMENT_CODE])</f>
        <v>TPL_01A</v>
      </c>
    </row>
    <row r="186" spans="1:47" x14ac:dyDescent="0.35">
      <c r="A186" s="2" t="s">
        <v>2825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0" t="str">
        <f>_xlfn.XLOOKUP(PROPERTIES[[#This Row],[VEHIDCODE]],CONTROL[VEHIDCODE],CONTROL[ENGLISH])</f>
        <v>BR Class 08 0-6-0DE</v>
      </c>
      <c r="F186" t="s">
        <v>657</v>
      </c>
      <c r="G186" s="40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17</v>
      </c>
      <c r="J186">
        <v>0</v>
      </c>
      <c r="K186">
        <v>5</v>
      </c>
      <c r="L186">
        <v>0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3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0">
        <v>160</v>
      </c>
      <c r="AA186" s="19">
        <f>IFERROR(PROPERTIES[[#This Row],[TE_STARTING_KN]]/(PROPERTIES[[#This Row],[WEIGHT]]*9.81),0)</f>
        <v>0.32619775739041795</v>
      </c>
      <c r="AB186" s="19">
        <v>0</v>
      </c>
      <c r="AC186" s="16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6">
        <v>0</v>
      </c>
      <c r="AF186" s="6">
        <v>0</v>
      </c>
      <c r="AG186" t="s">
        <v>233</v>
      </c>
      <c r="AH186" t="s">
        <v>234</v>
      </c>
      <c r="AI186" t="s">
        <v>229</v>
      </c>
      <c r="AJ186" s="2" t="s">
        <v>229</v>
      </c>
      <c r="AK186" s="2" t="s">
        <v>244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44" t="b">
        <v>0</v>
      </c>
      <c r="AP186" s="48" t="b">
        <v>0</v>
      </c>
      <c r="AQ186" s="48" t="b">
        <v>0</v>
      </c>
      <c r="AR186" s="48">
        <v>0</v>
      </c>
      <c r="AS186" s="48" t="b">
        <v>0</v>
      </c>
      <c r="AT186" s="7" t="b">
        <v>0</v>
      </c>
      <c r="AU186" s="40" t="str" cm="1">
        <f t="array" ref="AU186">_xlfn.XLOOKUP(PROPERTIES[[#This Row],[VEHIDCODE]],GRAPHICS_PROPERTIES[VEHIDCODE],GRAPHICS_PROPERTIES[TEMPLATE_ID]&amp;GRAPHICS_PROPERTIES[TEMPLATE_AMENDMENT_CODE])</f>
        <v>TPL_03C</v>
      </c>
    </row>
    <row r="187" spans="1:47" x14ac:dyDescent="0.35">
      <c r="A187" s="2" t="s">
        <v>2826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0" t="str">
        <f>_xlfn.XLOOKUP(PROPERTIES[[#This Row],[VEHIDCODE]],CONTROL[VEHIDCODE],CONTROL[ENGLISH])</f>
        <v>Jenbacher Werke 2060</v>
      </c>
      <c r="F187" t="s">
        <v>540</v>
      </c>
      <c r="G187" s="40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17</v>
      </c>
      <c r="J187">
        <v>0</v>
      </c>
      <c r="K187">
        <v>5</v>
      </c>
      <c r="L187">
        <v>0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3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0">
        <v>79</v>
      </c>
      <c r="AA187" s="19">
        <f>IFERROR(PROPERTIES[[#This Row],[TE_STARTING_KN]]/(PROPERTIES[[#This Row],[WEIGHT]]*9.81),0)</f>
        <v>0.28760739769914079</v>
      </c>
      <c r="AB187" s="19">
        <v>0</v>
      </c>
      <c r="AC187" s="16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6">
        <v>0</v>
      </c>
      <c r="AF187" s="6">
        <v>0</v>
      </c>
      <c r="AG187" t="s">
        <v>230</v>
      </c>
      <c r="AH187" t="s">
        <v>236</v>
      </c>
      <c r="AI187" t="s">
        <v>229</v>
      </c>
      <c r="AJ187" s="2" t="s">
        <v>229</v>
      </c>
      <c r="AK187" s="2" t="s">
        <v>244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44" t="b">
        <v>0</v>
      </c>
      <c r="AP187" s="48" t="b">
        <v>0</v>
      </c>
      <c r="AQ187" s="48" t="b">
        <v>0</v>
      </c>
      <c r="AR187" s="48">
        <v>0</v>
      </c>
      <c r="AS187" s="48" t="b">
        <v>0</v>
      </c>
      <c r="AT187" s="7" t="b">
        <v>0</v>
      </c>
      <c r="AU187" s="40" t="str" cm="1">
        <f t="array" ref="AU187">_xlfn.XLOOKUP(PROPERTIES[[#This Row],[VEHIDCODE]],GRAPHICS_PROPERTIES[VEHIDCODE],GRAPHICS_PROPERTIES[TEMPLATE_ID]&amp;GRAPHICS_PROPERTIES[TEMPLATE_AMENDMENT_CODE])</f>
        <v>TPL_01A</v>
      </c>
    </row>
    <row r="188" spans="1:47" x14ac:dyDescent="0.35">
      <c r="A188" s="2" t="s">
        <v>2827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0" t="str">
        <f>_xlfn.XLOOKUP(PROPERTIES[[#This Row],[VEHIDCODE]],CONTROL[VEHIDCODE],CONTROL[ENGLISH])</f>
        <v>EMD SW1200</v>
      </c>
      <c r="F188" t="s">
        <v>565</v>
      </c>
      <c r="G188" s="40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17</v>
      </c>
      <c r="J188">
        <v>0</v>
      </c>
      <c r="K188">
        <v>6</v>
      </c>
      <c r="L188">
        <v>0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3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0">
        <v>0</v>
      </c>
      <c r="AA188" s="19">
        <f>IFERROR(PROPERTIES[[#This Row],[TE_STARTING_KN]]/(PROPERTIES[[#This Row],[WEIGHT]]*9.81),0)</f>
        <v>0</v>
      </c>
      <c r="AB188" s="19">
        <v>0.14000000000000001</v>
      </c>
      <c r="AC188" s="16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6">
        <v>0</v>
      </c>
      <c r="AF188" s="6">
        <v>0</v>
      </c>
      <c r="AG188" t="s">
        <v>240</v>
      </c>
      <c r="AH188" t="s">
        <v>229</v>
      </c>
      <c r="AI188" t="s">
        <v>229</v>
      </c>
      <c r="AJ188" s="2" t="s">
        <v>229</v>
      </c>
      <c r="AK188" s="2" t="s">
        <v>244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44" t="b">
        <v>0</v>
      </c>
      <c r="AP188" s="48" t="b">
        <v>0</v>
      </c>
      <c r="AQ188" s="48" t="b">
        <v>0</v>
      </c>
      <c r="AR188" s="48">
        <v>0</v>
      </c>
      <c r="AS188" s="48" t="b">
        <v>0</v>
      </c>
      <c r="AT188" s="7" t="b">
        <v>0</v>
      </c>
      <c r="AU188" s="40" t="str" cm="1">
        <f t="array" ref="AU188">_xlfn.XLOOKUP(PROPERTIES[[#This Row],[VEHIDCODE]],GRAPHICS_PROPERTIES[VEHIDCODE],GRAPHICS_PROPERTIES[TEMPLATE_ID]&amp;GRAPHICS_PROPERTIES[TEMPLATE_AMENDMENT_CODE])</f>
        <v>TPL_01A</v>
      </c>
    </row>
    <row r="189" spans="1:47" x14ac:dyDescent="0.35">
      <c r="A189" s="2" t="s">
        <v>2828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0" t="str">
        <f>_xlfn.XLOOKUP(PROPERTIES[[#This Row],[VEHIDCODE]],CONTROL[VEHIDCODE],CONTROL[ENGLISH])</f>
        <v>EMD FP9</v>
      </c>
      <c r="F189" t="s">
        <v>565</v>
      </c>
      <c r="G189" s="40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17</v>
      </c>
      <c r="J189">
        <v>0</v>
      </c>
      <c r="K189">
        <v>8</v>
      </c>
      <c r="L189">
        <v>0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3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0">
        <v>0</v>
      </c>
      <c r="AA189" s="19">
        <f>IFERROR(PROPERTIES[[#This Row],[TE_STARTING_KN]]/(PROPERTIES[[#This Row],[WEIGHT]]*9.81),0)</f>
        <v>0</v>
      </c>
      <c r="AB189" s="19">
        <v>0.19</v>
      </c>
      <c r="AC189" s="16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6">
        <v>0</v>
      </c>
      <c r="AF189" s="6">
        <v>0</v>
      </c>
      <c r="AG189" t="s">
        <v>235</v>
      </c>
      <c r="AH189" t="s">
        <v>238</v>
      </c>
      <c r="AI189" t="s">
        <v>229</v>
      </c>
      <c r="AJ189" s="2" t="s">
        <v>229</v>
      </c>
      <c r="AK189" s="2" t="s">
        <v>244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44" t="b">
        <v>0</v>
      </c>
      <c r="AP189" s="48" t="b">
        <v>0</v>
      </c>
      <c r="AQ189" s="48" t="b">
        <v>0</v>
      </c>
      <c r="AR189" s="48">
        <v>0</v>
      </c>
      <c r="AS189" s="48" t="b">
        <v>0</v>
      </c>
      <c r="AT189" s="7" t="b">
        <v>0</v>
      </c>
      <c r="AU189" s="40" t="str" cm="1">
        <f t="array" ref="AU189">_xlfn.XLOOKUP(PROPERTIES[[#This Row],[VEHIDCODE]],GRAPHICS_PROPERTIES[VEHIDCODE],GRAPHICS_PROPERTIES[TEMPLATE_ID]&amp;GRAPHICS_PROPERTIES[TEMPLATE_AMENDMENT_CODE])</f>
        <v>TPL_17B</v>
      </c>
    </row>
    <row r="190" spans="1:47" x14ac:dyDescent="0.35">
      <c r="A190" s="2" t="s">
        <v>2829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0" t="str">
        <f>_xlfn.XLOOKUP(PROPERTIES[[#This Row],[VEHIDCODE]],CONTROL[VEHIDCODE],CONTROL[ENGLISH])</f>
        <v>Ganz-MAVAG DVM2 'M44'</v>
      </c>
      <c r="F190" t="s">
        <v>626</v>
      </c>
      <c r="G190" s="40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17</v>
      </c>
      <c r="J190">
        <v>0</v>
      </c>
      <c r="K190">
        <v>6</v>
      </c>
      <c r="L190">
        <v>0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3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0">
        <v>166.5</v>
      </c>
      <c r="AA190" s="19">
        <f>IFERROR(PROPERTIES[[#This Row],[TE_STARTING_KN]]/(PROPERTIES[[#This Row],[WEIGHT]]*9.81),0)</f>
        <v>0.27374963006806746</v>
      </c>
      <c r="AB190" s="19">
        <v>0</v>
      </c>
      <c r="AC190" s="16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6">
        <v>0</v>
      </c>
      <c r="AF190" s="6">
        <v>0</v>
      </c>
      <c r="AG190" t="s">
        <v>236</v>
      </c>
      <c r="AH190" t="s">
        <v>229</v>
      </c>
      <c r="AI190" t="s">
        <v>229</v>
      </c>
      <c r="AJ190" s="2" t="s">
        <v>229</v>
      </c>
      <c r="AK190" s="2" t="s">
        <v>244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44" t="b">
        <v>0</v>
      </c>
      <c r="AP190" s="48" t="b">
        <v>0</v>
      </c>
      <c r="AQ190" s="48" t="b">
        <v>0</v>
      </c>
      <c r="AR190" s="48">
        <v>0</v>
      </c>
      <c r="AS190" s="48" t="b">
        <v>0</v>
      </c>
      <c r="AT190" s="7" t="b">
        <v>0</v>
      </c>
      <c r="AU190" s="40" t="str" cm="1">
        <f t="array" ref="AU190">_xlfn.XLOOKUP(PROPERTIES[[#This Row],[VEHIDCODE]],GRAPHICS_PROPERTIES[VEHIDCODE],GRAPHICS_PROPERTIES[TEMPLATE_ID]&amp;GRAPHICS_PROPERTIES[TEMPLATE_AMENDMENT_CODE])</f>
        <v>TPL_01A</v>
      </c>
    </row>
    <row r="191" spans="1:47" x14ac:dyDescent="0.35">
      <c r="A191" s="2" t="s">
        <v>3439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0" t="str">
        <f>_xlfn.XLOOKUP(PROPERTIES[[#This Row],[VEHIDCODE]],CONTROL[VEHIDCODE],CONTROL[ENGLISH])</f>
        <v>Raba M 030 'M28 Nyünyüke'</v>
      </c>
      <c r="F191" t="s">
        <v>626</v>
      </c>
      <c r="G191" s="40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17</v>
      </c>
      <c r="J191">
        <v>0</v>
      </c>
      <c r="K191">
        <v>4</v>
      </c>
      <c r="L191">
        <v>0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3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0">
        <v>0</v>
      </c>
      <c r="AA191" s="19">
        <f>IFERROR(PROPERTIES[[#This Row],[TE_STARTING_KN]]/(PROPERTIES[[#This Row],[WEIGHT]]*9.81),0)</f>
        <v>0</v>
      </c>
      <c r="AB191" s="19">
        <v>0.32</v>
      </c>
      <c r="AC191" s="16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6">
        <v>0</v>
      </c>
      <c r="AF191" s="6">
        <v>0</v>
      </c>
      <c r="AG191" t="s">
        <v>236</v>
      </c>
      <c r="AH191" t="s">
        <v>229</v>
      </c>
      <c r="AI191" t="s">
        <v>229</v>
      </c>
      <c r="AJ191" s="2" t="s">
        <v>229</v>
      </c>
      <c r="AK191" s="2" t="s">
        <v>244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44" t="b">
        <v>0</v>
      </c>
      <c r="AP191" s="48" t="b">
        <v>0</v>
      </c>
      <c r="AQ191" s="48" t="b">
        <v>0</v>
      </c>
      <c r="AR191" s="48">
        <v>0</v>
      </c>
      <c r="AS191" s="48" t="b">
        <v>0</v>
      </c>
      <c r="AT191" s="7" t="b">
        <v>0</v>
      </c>
      <c r="AU191" s="40" t="str" cm="1">
        <f t="array" ref="AU191">_xlfn.XLOOKUP(PROPERTIES[[#This Row],[VEHIDCODE]],GRAPHICS_PROPERTIES[VEHIDCODE],GRAPHICS_PROPERTIES[TEMPLATE_ID]&amp;GRAPHICS_PROPERTIES[TEMPLATE_AMENDMENT_CODE])</f>
        <v>TPL_01A</v>
      </c>
    </row>
    <row r="192" spans="1:47" x14ac:dyDescent="0.35">
      <c r="A192" s="2" t="s">
        <v>3440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0" t="str">
        <f>_xlfn.XLOOKUP(PROPERTIES[[#This Row],[VEHIDCODE]],CONTROL[VEHIDCODE],CONTROL[ENGLISH])</f>
        <v>Cockerill-Sambre HLD serie 83</v>
      </c>
      <c r="F192" t="s">
        <v>548</v>
      </c>
      <c r="G192" s="40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17</v>
      </c>
      <c r="J192">
        <v>0</v>
      </c>
      <c r="K192">
        <v>5</v>
      </c>
      <c r="L192">
        <v>0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3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0">
        <v>196</v>
      </c>
      <c r="AA192" s="19">
        <f>IFERROR(PROPERTIES[[#This Row],[TE_STARTING_KN]]/(PROPERTIES[[#This Row],[WEIGHT]]*9.81),0)</f>
        <v>0.35051952000286135</v>
      </c>
      <c r="AB192" s="19">
        <v>0</v>
      </c>
      <c r="AC192" s="16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6">
        <v>0</v>
      </c>
      <c r="AF192" s="6">
        <v>0</v>
      </c>
      <c r="AG192" t="s">
        <v>230</v>
      </c>
      <c r="AH192" t="s">
        <v>229</v>
      </c>
      <c r="AI192" t="s">
        <v>229</v>
      </c>
      <c r="AJ192" s="2" t="s">
        <v>229</v>
      </c>
      <c r="AK192" s="2" t="s">
        <v>244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44" t="b">
        <v>0</v>
      </c>
      <c r="AP192" s="48" t="b">
        <v>0</v>
      </c>
      <c r="AQ192" s="48" t="b">
        <v>0</v>
      </c>
      <c r="AR192" s="48">
        <v>0</v>
      </c>
      <c r="AS192" s="48" t="b">
        <v>0</v>
      </c>
      <c r="AT192" s="7" t="b">
        <v>0</v>
      </c>
      <c r="AU192" s="40" t="str" cm="1">
        <f t="array" ref="AU192">_xlfn.XLOOKUP(PROPERTIES[[#This Row],[VEHIDCODE]],GRAPHICS_PROPERTIES[VEHIDCODE],GRAPHICS_PROPERTIES[TEMPLATE_ID]&amp;GRAPHICS_PROPERTIES[TEMPLATE_AMENDMENT_CODE])</f>
        <v>TPL_03C</v>
      </c>
    </row>
    <row r="193" spans="1:47" x14ac:dyDescent="0.35">
      <c r="A193" s="2" t="s">
        <v>2830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0" t="str">
        <f>_xlfn.XLOOKUP(PROPERTIES[[#This Row],[VEHIDCODE]],CONTROL[VEHIDCODE],CONTROL[ENGLISH])</f>
        <v>Krauss-Maffei V200</v>
      </c>
      <c r="F193" t="s">
        <v>584</v>
      </c>
      <c r="G193" s="40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17</v>
      </c>
      <c r="J193">
        <v>0</v>
      </c>
      <c r="K193">
        <v>8</v>
      </c>
      <c r="L193">
        <v>0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3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0">
        <v>234</v>
      </c>
      <c r="AA193" s="19">
        <f>IFERROR(PROPERTIES[[#This Row],[TE_STARTING_KN]]/(PROPERTIES[[#This Row],[WEIGHT]]*9.81),0)</f>
        <v>0.29448408653301616</v>
      </c>
      <c r="AB193" s="19">
        <v>0</v>
      </c>
      <c r="AC193" s="16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6">
        <v>0</v>
      </c>
      <c r="AF193" s="6">
        <v>0</v>
      </c>
      <c r="AG193" t="s">
        <v>230</v>
      </c>
      <c r="AH193" t="s">
        <v>231</v>
      </c>
      <c r="AI193" t="s">
        <v>229</v>
      </c>
      <c r="AJ193" s="2" t="s">
        <v>229</v>
      </c>
      <c r="AK193" s="2" t="s">
        <v>244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44" t="b">
        <v>0</v>
      </c>
      <c r="AP193" s="48" t="b">
        <v>0</v>
      </c>
      <c r="AQ193" s="48" t="b">
        <v>0</v>
      </c>
      <c r="AR193" s="48">
        <v>0</v>
      </c>
      <c r="AS193" s="48" t="b">
        <v>0</v>
      </c>
      <c r="AT193" s="7" t="b">
        <v>0</v>
      </c>
      <c r="AU193" s="40" t="str" cm="1">
        <f t="array" ref="AU193">_xlfn.XLOOKUP(PROPERTIES[[#This Row],[VEHIDCODE]],GRAPHICS_PROPERTIES[VEHIDCODE],GRAPHICS_PROPERTIES[TEMPLATE_ID]&amp;GRAPHICS_PROPERTIES[TEMPLATE_AMENDMENT_CODE])</f>
        <v>TPL_01A</v>
      </c>
    </row>
    <row r="194" spans="1:47" x14ac:dyDescent="0.35">
      <c r="A194" s="2" t="s">
        <v>2831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0" t="str">
        <f>_xlfn.XLOOKUP(PROPERTIES[[#This Row],[VEHIDCODE]],CONTROL[VEHIDCODE],CONTROL[ENGLISH])</f>
        <v>EMD FL9</v>
      </c>
      <c r="F194" t="s">
        <v>757</v>
      </c>
      <c r="G194" s="40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17</v>
      </c>
      <c r="J194">
        <v>0</v>
      </c>
      <c r="K194">
        <v>8</v>
      </c>
      <c r="L194">
        <v>0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3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0">
        <v>253.28</v>
      </c>
      <c r="AA194" s="19">
        <f>IFERROR(PROPERTIES[[#This Row],[TE_STARTING_KN]]/(PROPERTIES[[#This Row],[WEIGHT]]*9.81),0)</f>
        <v>0.19860424998039677</v>
      </c>
      <c r="AB194" s="19">
        <v>0</v>
      </c>
      <c r="AC194" s="16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6">
        <v>0</v>
      </c>
      <c r="AF194" s="6">
        <v>0</v>
      </c>
      <c r="AG194" t="s">
        <v>235</v>
      </c>
      <c r="AH194" t="s">
        <v>229</v>
      </c>
      <c r="AI194" t="s">
        <v>229</v>
      </c>
      <c r="AJ194" s="2" t="s">
        <v>229</v>
      </c>
      <c r="AK194" s="2" t="s">
        <v>244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44" t="b">
        <v>0</v>
      </c>
      <c r="AP194" s="48" t="b">
        <v>0</v>
      </c>
      <c r="AQ194" s="48" t="b">
        <v>0</v>
      </c>
      <c r="AR194" s="48">
        <v>0</v>
      </c>
      <c r="AS194" s="48" t="b">
        <v>0</v>
      </c>
      <c r="AT194" s="7" t="b">
        <v>0</v>
      </c>
      <c r="AU194" s="40" t="str" cm="1">
        <f t="array" ref="AU194">_xlfn.XLOOKUP(PROPERTIES[[#This Row],[VEHIDCODE]],GRAPHICS_PROPERTIES[VEHIDCODE],GRAPHICS_PROPERTIES[TEMPLATE_ID]&amp;GRAPHICS_PROPERTIES[TEMPLATE_AMENDMENT_CODE])</f>
        <v>TPL_01A</v>
      </c>
    </row>
    <row r="195" spans="1:47" x14ac:dyDescent="0.35">
      <c r="A195" s="2" t="s">
        <v>2832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0" t="str">
        <f>_xlfn.XLOOKUP(PROPERTIES[[#This Row],[VEHIDCODE]],CONTROL[VEHIDCODE],CONTROL[ENGLISH])</f>
        <v>CKD T 435.0</v>
      </c>
      <c r="F195" t="s">
        <v>583</v>
      </c>
      <c r="G195" s="40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17</v>
      </c>
      <c r="J195">
        <v>0</v>
      </c>
      <c r="K195">
        <v>6</v>
      </c>
      <c r="L195">
        <v>0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3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0">
        <v>160</v>
      </c>
      <c r="AA195" s="19">
        <f>IFERROR(PROPERTIES[[#This Row],[TE_STARTING_KN]]/(PROPERTIES[[#This Row],[WEIGHT]]*9.81),0)</f>
        <v>0.2673752109757524</v>
      </c>
      <c r="AB195" s="19">
        <v>0</v>
      </c>
      <c r="AC195" s="16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6">
        <v>0</v>
      </c>
      <c r="AF195" s="6">
        <v>0</v>
      </c>
      <c r="AG195" t="s">
        <v>1948</v>
      </c>
      <c r="AH195" t="s">
        <v>230</v>
      </c>
      <c r="AI195" t="s">
        <v>229</v>
      </c>
      <c r="AJ195" s="2" t="s">
        <v>229</v>
      </c>
      <c r="AK195" s="2" t="s">
        <v>244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44" t="b">
        <v>0</v>
      </c>
      <c r="AP195" s="48" t="b">
        <v>0</v>
      </c>
      <c r="AQ195" s="48" t="b">
        <v>0</v>
      </c>
      <c r="AR195" s="48">
        <v>0</v>
      </c>
      <c r="AS195" s="48" t="b">
        <v>0</v>
      </c>
      <c r="AT195" s="7" t="b">
        <v>0</v>
      </c>
      <c r="AU195" s="40" t="str" cm="1">
        <f t="array" ref="AU195">_xlfn.XLOOKUP(PROPERTIES[[#This Row],[VEHIDCODE]],GRAPHICS_PROPERTIES[VEHIDCODE],GRAPHICS_PROPERTIES[TEMPLATE_ID]&amp;GRAPHICS_PROPERTIES[TEMPLATE_AMENDMENT_CODE])</f>
        <v>TPL_01A</v>
      </c>
    </row>
    <row r="196" spans="1:47" x14ac:dyDescent="0.35">
      <c r="A196" s="2" t="s">
        <v>2833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0" t="str">
        <f>_xlfn.XLOOKUP(PROPERTIES[[#This Row],[VEHIDCODE]],CONTROL[VEHIDCODE],CONTROL[ENGLISH])</f>
        <v>Valmet/Lokomo Dr12</v>
      </c>
      <c r="F196" t="s">
        <v>597</v>
      </c>
      <c r="G196" s="40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17</v>
      </c>
      <c r="J196">
        <v>0</v>
      </c>
      <c r="K196">
        <v>8</v>
      </c>
      <c r="L196">
        <v>0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3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0">
        <v>275</v>
      </c>
      <c r="AA196" s="19">
        <f>IFERROR(PROPERTIES[[#This Row],[TE_STARTING_KN]]/(PROPERTIES[[#This Row],[WEIGHT]]*9.81),0)</f>
        <v>0.2297755719322872</v>
      </c>
      <c r="AB196" s="19">
        <v>0</v>
      </c>
      <c r="AC196" s="16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6">
        <v>0</v>
      </c>
      <c r="AF196" s="6">
        <v>0</v>
      </c>
      <c r="AG196" t="s">
        <v>234</v>
      </c>
      <c r="AH196" t="s">
        <v>229</v>
      </c>
      <c r="AI196" t="s">
        <v>229</v>
      </c>
      <c r="AJ196" s="2" t="s">
        <v>229</v>
      </c>
      <c r="AK196" s="2" t="s">
        <v>244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44" t="b">
        <v>0</v>
      </c>
      <c r="AP196" s="48" t="b">
        <v>0</v>
      </c>
      <c r="AQ196" s="48" t="b">
        <v>0</v>
      </c>
      <c r="AR196" s="48">
        <v>0</v>
      </c>
      <c r="AS196" s="48" t="b">
        <v>0</v>
      </c>
      <c r="AT196" s="7" t="b">
        <v>0</v>
      </c>
      <c r="AU196" s="40" t="str" cm="1">
        <f t="array" ref="AU196">_xlfn.XLOOKUP(PROPERTIES[[#This Row],[VEHIDCODE]],GRAPHICS_PROPERTIES[VEHIDCODE],GRAPHICS_PROPERTIES[TEMPLATE_ID]&amp;GRAPHICS_PROPERTIES[TEMPLATE_AMENDMENT_CODE])</f>
        <v>TPL_01A</v>
      </c>
    </row>
    <row r="197" spans="1:47" x14ac:dyDescent="0.35">
      <c r="A197" s="2" t="s">
        <v>2834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0" t="str">
        <f>_xlfn.XLOOKUP(PROPERTIES[[#This Row],[VEHIDCODE]],CONTROL[VEHIDCODE],CONTROL[ENGLISH])</f>
        <v>Electroputre 060-DA</v>
      </c>
      <c r="F197" t="s">
        <v>714</v>
      </c>
      <c r="G197" s="40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17</v>
      </c>
      <c r="J197">
        <v>0</v>
      </c>
      <c r="K197">
        <v>8</v>
      </c>
      <c r="L197">
        <v>0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3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0">
        <v>0</v>
      </c>
      <c r="AA197" s="19">
        <f>IFERROR(PROPERTIES[[#This Row],[TE_STARTING_KN]]/(PROPERTIES[[#This Row],[WEIGHT]]*9.81),0)</f>
        <v>0</v>
      </c>
      <c r="AB197" s="19">
        <v>0.27</v>
      </c>
      <c r="AC197" s="16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6">
        <v>0</v>
      </c>
      <c r="AF197" s="6">
        <v>0</v>
      </c>
      <c r="AG197" t="s">
        <v>1948</v>
      </c>
      <c r="AH197" t="s">
        <v>231</v>
      </c>
      <c r="AI197" t="s">
        <v>230</v>
      </c>
      <c r="AJ197" s="2" t="s">
        <v>229</v>
      </c>
      <c r="AK197" s="2" t="s">
        <v>244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44" t="b">
        <v>0</v>
      </c>
      <c r="AP197" s="48" t="b">
        <v>0</v>
      </c>
      <c r="AQ197" s="48" t="b">
        <v>0</v>
      </c>
      <c r="AR197" s="48">
        <v>0</v>
      </c>
      <c r="AS197" s="48" t="b">
        <v>0</v>
      </c>
      <c r="AT197" s="7" t="b">
        <v>0</v>
      </c>
      <c r="AU197" s="40" t="str" cm="1">
        <f t="array" ref="AU197">_xlfn.XLOOKUP(PROPERTIES[[#This Row],[VEHIDCODE]],GRAPHICS_PROPERTIES[VEHIDCODE],GRAPHICS_PROPERTIES[TEMPLATE_ID]&amp;GRAPHICS_PROPERTIES[TEMPLATE_AMENDMENT_CODE])</f>
        <v>TPL_01A</v>
      </c>
    </row>
    <row r="198" spans="1:47" x14ac:dyDescent="0.35">
      <c r="A198" s="2" t="s">
        <v>2835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0" t="str">
        <f>_xlfn.XLOOKUP(PROPERTIES[[#This Row],[VEHIDCODE]],CONTROL[VEHIDCODE],CONTROL[ENGLISH])</f>
        <v>EMD GL8</v>
      </c>
      <c r="F198" t="s">
        <v>757</v>
      </c>
      <c r="G198" s="40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17</v>
      </c>
      <c r="J198">
        <v>0</v>
      </c>
      <c r="K198">
        <v>5</v>
      </c>
      <c r="L198">
        <v>0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3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0">
        <v>152</v>
      </c>
      <c r="AA198" s="19">
        <f>IFERROR(PROPERTIES[[#This Row],[TE_STARTING_KN]]/(PROPERTIES[[#This Row],[WEIGHT]]*9.81),0)</f>
        <v>0.24209989806320081</v>
      </c>
      <c r="AB198" s="19">
        <v>0</v>
      </c>
      <c r="AC198" s="16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6">
        <v>0</v>
      </c>
      <c r="AF198" s="6">
        <v>0</v>
      </c>
      <c r="AG198" t="s">
        <v>237</v>
      </c>
      <c r="AH198" t="s">
        <v>1947</v>
      </c>
      <c r="AI198" t="s">
        <v>233</v>
      </c>
      <c r="AJ198" s="2" t="s">
        <v>234</v>
      </c>
      <c r="AK198" s="2" t="s">
        <v>244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44" t="b">
        <v>0</v>
      </c>
      <c r="AP198" s="48" t="b">
        <v>0</v>
      </c>
      <c r="AQ198" s="48" t="b">
        <v>0</v>
      </c>
      <c r="AR198" s="48">
        <v>0</v>
      </c>
      <c r="AS198" s="48" t="b">
        <v>0</v>
      </c>
      <c r="AT198" s="7" t="b">
        <v>0</v>
      </c>
      <c r="AU198" s="40" t="str" cm="1">
        <f t="array" ref="AU198">_xlfn.XLOOKUP(PROPERTIES[[#This Row],[VEHIDCODE]],GRAPHICS_PROPERTIES[VEHIDCODE],GRAPHICS_PROPERTIES[TEMPLATE_ID]&amp;GRAPHICS_PROPERTIES[TEMPLATE_AMENDMENT_CODE])</f>
        <v>TPL_03F</v>
      </c>
    </row>
    <row r="199" spans="1:47" x14ac:dyDescent="0.35">
      <c r="A199" s="2" t="s">
        <v>2836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0" t="str">
        <f>_xlfn.XLOOKUP(PROPERTIES[[#This Row],[VEHIDCODE]],CONTROL[VEHIDCODE],CONTROL[ENGLISH])</f>
        <v>Krauss-Maffei ML 4000</v>
      </c>
      <c r="F199" t="s">
        <v>558</v>
      </c>
      <c r="G199" s="40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17</v>
      </c>
      <c r="J199">
        <v>0</v>
      </c>
      <c r="K199">
        <v>8</v>
      </c>
      <c r="L199">
        <v>0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3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0">
        <v>400</v>
      </c>
      <c r="AA199" s="19">
        <f>IFERROR(PROPERTIES[[#This Row],[TE_STARTING_KN]]/(PROPERTIES[[#This Row],[WEIGHT]]*9.81),0)</f>
        <v>0.26137640816539898</v>
      </c>
      <c r="AB199" s="19">
        <v>0</v>
      </c>
      <c r="AC199" s="16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6">
        <v>0</v>
      </c>
      <c r="AF199" s="6">
        <v>0</v>
      </c>
      <c r="AG199" t="s">
        <v>240</v>
      </c>
      <c r="AH199" t="s">
        <v>229</v>
      </c>
      <c r="AI199" t="s">
        <v>229</v>
      </c>
      <c r="AJ199" s="2" t="s">
        <v>229</v>
      </c>
      <c r="AK199" s="2" t="s">
        <v>244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44" t="b">
        <v>0</v>
      </c>
      <c r="AP199" s="48" t="b">
        <v>0</v>
      </c>
      <c r="AQ199" s="48" t="b">
        <v>0</v>
      </c>
      <c r="AR199" s="48">
        <v>0</v>
      </c>
      <c r="AS199" s="48" t="b">
        <v>0</v>
      </c>
      <c r="AT199" s="7" t="b">
        <v>0</v>
      </c>
      <c r="AU199" s="40" t="str" cm="1">
        <f t="array" ref="AU199">_xlfn.XLOOKUP(PROPERTIES[[#This Row],[VEHIDCODE]],GRAPHICS_PROPERTIES[VEHIDCODE],GRAPHICS_PROPERTIES[TEMPLATE_ID]&amp;GRAPHICS_PROPERTIES[TEMPLATE_AMENDMENT_CODE])</f>
        <v>TPL_01A</v>
      </c>
    </row>
    <row r="200" spans="1:47" x14ac:dyDescent="0.35">
      <c r="A200" s="2" t="s">
        <v>2837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0" t="str">
        <f>_xlfn.XLOOKUP(PROPERTIES[[#This Row],[VEHIDCODE]],CONTROL[VEHIDCODE],CONTROL[ENGLISH])</f>
        <v>Kolomna TEP60</v>
      </c>
      <c r="F200" t="s">
        <v>716</v>
      </c>
      <c r="G200" s="40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17</v>
      </c>
      <c r="J200">
        <v>0</v>
      </c>
      <c r="K200">
        <v>8</v>
      </c>
      <c r="L200">
        <v>0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3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0">
        <v>245</v>
      </c>
      <c r="AA200" s="19">
        <f>IFERROR(PROPERTIES[[#This Row],[TE_STARTING_KN]]/(PROPERTIES[[#This Row],[WEIGHT]]*9.81),0)</f>
        <v>0.19211166000156826</v>
      </c>
      <c r="AB200" s="19">
        <v>0</v>
      </c>
      <c r="AC200" s="16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6">
        <v>0</v>
      </c>
      <c r="AF200" s="6">
        <v>0</v>
      </c>
      <c r="AG200" t="s">
        <v>1951</v>
      </c>
      <c r="AH200" t="s">
        <v>229</v>
      </c>
      <c r="AI200" t="s">
        <v>229</v>
      </c>
      <c r="AJ200" s="2" t="s">
        <v>229</v>
      </c>
      <c r="AK200" s="2" t="s">
        <v>244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44" t="b">
        <v>0</v>
      </c>
      <c r="AP200" s="48" t="b">
        <v>0</v>
      </c>
      <c r="AQ200" s="48" t="b">
        <v>0</v>
      </c>
      <c r="AR200" s="48">
        <v>0</v>
      </c>
      <c r="AS200" s="48" t="b">
        <v>0</v>
      </c>
      <c r="AT200" s="7" t="b">
        <v>0</v>
      </c>
      <c r="AU200" s="40" t="str" cm="1">
        <f t="array" ref="AU200">_xlfn.XLOOKUP(PROPERTIES[[#This Row],[VEHIDCODE]],GRAPHICS_PROPERTIES[VEHIDCODE],GRAPHICS_PROPERTIES[TEMPLATE_ID]&amp;GRAPHICS_PROPERTIES[TEMPLATE_AMENDMENT_CODE])</f>
        <v>TPL_01A</v>
      </c>
    </row>
    <row r="201" spans="1:47" x14ac:dyDescent="0.35">
      <c r="A201" s="2" t="s">
        <v>2838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0" t="str">
        <f>_xlfn.XLOOKUP(PROPERTIES[[#This Row],[VEHIDCODE]],CONTROL[VEHIDCODE],CONTROL[ENGLISH])</f>
        <v>BN/ACEC 62</v>
      </c>
      <c r="F201" t="s">
        <v>548</v>
      </c>
      <c r="G201" s="40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17</v>
      </c>
      <c r="J201">
        <v>0</v>
      </c>
      <c r="K201">
        <v>8</v>
      </c>
      <c r="L201">
        <v>0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3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0">
        <v>212</v>
      </c>
      <c r="AA201" s="19">
        <f>IFERROR(PROPERTIES[[#This Row],[TE_STARTING_KN]]/(PROPERTIES[[#This Row],[WEIGHT]]*9.81),0)</f>
        <v>0.27494403851291588</v>
      </c>
      <c r="AB201" s="19">
        <v>0</v>
      </c>
      <c r="AC201" s="16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6">
        <v>0</v>
      </c>
      <c r="AF201" s="6">
        <v>0</v>
      </c>
      <c r="AG201" t="s">
        <v>230</v>
      </c>
      <c r="AH201" t="s">
        <v>229</v>
      </c>
      <c r="AI201" t="s">
        <v>229</v>
      </c>
      <c r="AJ201" s="2" t="s">
        <v>229</v>
      </c>
      <c r="AK201" s="2" t="s">
        <v>244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44" t="b">
        <v>0</v>
      </c>
      <c r="AP201" s="48" t="b">
        <v>0</v>
      </c>
      <c r="AQ201" s="48" t="b">
        <v>0</v>
      </c>
      <c r="AR201" s="48">
        <v>0</v>
      </c>
      <c r="AS201" s="48" t="b">
        <v>0</v>
      </c>
      <c r="AT201" s="7" t="b">
        <v>0</v>
      </c>
      <c r="AU201" s="40" t="str" cm="1">
        <f t="array" ref="AU201">_xlfn.XLOOKUP(PROPERTIES[[#This Row],[VEHIDCODE]],GRAPHICS_PROPERTIES[VEHIDCODE],GRAPHICS_PROPERTIES[TEMPLATE_ID]&amp;GRAPHICS_PROPERTIES[TEMPLATE_AMENDMENT_CODE])</f>
        <v>TPL_01A</v>
      </c>
    </row>
    <row r="202" spans="1:47" x14ac:dyDescent="0.35">
      <c r="A202" s="2" t="s">
        <v>2839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0" t="str">
        <f>_xlfn.XLOOKUP(PROPERTIES[[#This Row],[VEHIDCODE]],CONTROL[VEHIDCODE],CONTROL[ENGLISH])</f>
        <v>MaK 100</v>
      </c>
      <c r="F202" t="s">
        <v>586</v>
      </c>
      <c r="G202" s="40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17</v>
      </c>
      <c r="J202">
        <v>0</v>
      </c>
      <c r="K202">
        <v>7</v>
      </c>
      <c r="L202">
        <v>0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3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0">
        <v>110</v>
      </c>
      <c r="AA202" s="19">
        <f>IFERROR(PROPERTIES[[#This Row],[TE_STARTING_KN]]/(PROPERTIES[[#This Row],[WEIGHT]]*9.81),0)</f>
        <v>0.24917884245101368</v>
      </c>
      <c r="AB202" s="19">
        <v>0</v>
      </c>
      <c r="AC202" s="16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6">
        <v>0</v>
      </c>
      <c r="AF202" s="6">
        <v>0</v>
      </c>
      <c r="AG202" t="s">
        <v>234</v>
      </c>
      <c r="AH202" t="s">
        <v>229</v>
      </c>
      <c r="AI202" t="s">
        <v>229</v>
      </c>
      <c r="AJ202" s="2" t="s">
        <v>229</v>
      </c>
      <c r="AK202" s="2" t="s">
        <v>244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44" t="b">
        <v>0</v>
      </c>
      <c r="AP202" s="48" t="b">
        <v>0</v>
      </c>
      <c r="AQ202" s="48" t="b">
        <v>0</v>
      </c>
      <c r="AR202" s="48">
        <v>0</v>
      </c>
      <c r="AS202" s="48" t="b">
        <v>0</v>
      </c>
      <c r="AT202" s="7" t="b">
        <v>0</v>
      </c>
      <c r="AU202" s="40" t="str" cm="1">
        <f t="array" ref="AU202">_xlfn.XLOOKUP(PROPERTIES[[#This Row],[VEHIDCODE]],GRAPHICS_PROPERTIES[VEHIDCODE],GRAPHICS_PROPERTIES[TEMPLATE_ID]&amp;GRAPHICS_PROPERTIES[TEMPLATE_AMENDMENT_CODE])</f>
        <v>TPL_01A</v>
      </c>
    </row>
    <row r="203" spans="1:47" x14ac:dyDescent="0.35">
      <c r="A203" s="2" t="s">
        <v>2840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0" t="str">
        <f>_xlfn.XLOOKUP(PROPERTIES[[#This Row],[VEHIDCODE]],CONTROL[VEHIDCODE],CONTROL[ENGLISH])</f>
        <v>ALCO DL560C 'WDM-2'</v>
      </c>
      <c r="F203" t="s">
        <v>631</v>
      </c>
      <c r="G203" s="40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17</v>
      </c>
      <c r="J203">
        <v>0</v>
      </c>
      <c r="K203">
        <v>7</v>
      </c>
      <c r="L203">
        <v>0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3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0">
        <v>300</v>
      </c>
      <c r="AA203" s="19">
        <f>IFERROR(PROPERTIES[[#This Row],[TE_STARTING_KN]]/(PROPERTIES[[#This Row],[WEIGHT]]*9.81),0)</f>
        <v>0.27062867040134231</v>
      </c>
      <c r="AB203" s="19">
        <v>0</v>
      </c>
      <c r="AC203" s="16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6">
        <v>0</v>
      </c>
      <c r="AF203" s="6">
        <v>0</v>
      </c>
      <c r="AG203" t="s">
        <v>238</v>
      </c>
      <c r="AH203" t="s">
        <v>229</v>
      </c>
      <c r="AI203" t="s">
        <v>229</v>
      </c>
      <c r="AJ203" s="2" t="s">
        <v>229</v>
      </c>
      <c r="AK203" s="2" t="s">
        <v>244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44" t="b">
        <v>0</v>
      </c>
      <c r="AP203" s="48" t="b">
        <v>0</v>
      </c>
      <c r="AQ203" s="48" t="b">
        <v>0</v>
      </c>
      <c r="AR203" s="48">
        <v>0</v>
      </c>
      <c r="AS203" s="48" t="b">
        <v>0</v>
      </c>
      <c r="AT203" s="7" t="b">
        <v>0</v>
      </c>
      <c r="AU203" s="40" t="str" cm="1">
        <f t="array" ref="AU203">_xlfn.XLOOKUP(PROPERTIES[[#This Row],[VEHIDCODE]],GRAPHICS_PROPERTIES[VEHIDCODE],GRAPHICS_PROPERTIES[TEMPLATE_ID]&amp;GRAPHICS_PROPERTIES[TEMPLATE_AMENDMENT_CODE])</f>
        <v>TPL_01A</v>
      </c>
    </row>
    <row r="204" spans="1:47" x14ac:dyDescent="0.35">
      <c r="A204" s="2" t="s">
        <v>2841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0" t="str">
        <f>_xlfn.XLOOKUP(PROPERTIES[[#This Row],[VEHIDCODE]],CONTROL[VEHIDCODE],CONTROL[ENGLISH])</f>
        <v>BR 14 0-6-0DH</v>
      </c>
      <c r="F204" t="s">
        <v>603</v>
      </c>
      <c r="G204" s="40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17</v>
      </c>
      <c r="J204">
        <v>0</v>
      </c>
      <c r="K204">
        <v>6</v>
      </c>
      <c r="L204">
        <v>0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3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0">
        <v>137.5</v>
      </c>
      <c r="AA204" s="19">
        <f>IFERROR(PROPERTIES[[#This Row],[TE_STARTING_KN]]/(PROPERTIES[[#This Row],[WEIGHT]]*9.81),0)</f>
        <v>0.28604714056876573</v>
      </c>
      <c r="AB204" s="19">
        <v>0</v>
      </c>
      <c r="AC204" s="16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6">
        <v>0</v>
      </c>
      <c r="AF204" s="6">
        <v>0</v>
      </c>
      <c r="AG204" t="s">
        <v>234</v>
      </c>
      <c r="AH204" t="s">
        <v>229</v>
      </c>
      <c r="AI204" t="s">
        <v>229</v>
      </c>
      <c r="AJ204" s="2" t="s">
        <v>229</v>
      </c>
      <c r="AK204" s="2" t="s">
        <v>244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44" t="b">
        <v>0</v>
      </c>
      <c r="AP204" s="48" t="b">
        <v>0</v>
      </c>
      <c r="AQ204" s="48" t="b">
        <v>0</v>
      </c>
      <c r="AR204" s="48">
        <v>0</v>
      </c>
      <c r="AS204" s="48" t="b">
        <v>0</v>
      </c>
      <c r="AT204" s="7" t="b">
        <v>0</v>
      </c>
      <c r="AU204" s="40" t="str" cm="1">
        <f t="array" ref="AU204">_xlfn.XLOOKUP(PROPERTIES[[#This Row],[VEHIDCODE]],GRAPHICS_PROPERTIES[VEHIDCODE],GRAPHICS_PROPERTIES[TEMPLATE_ID]&amp;GRAPHICS_PROPERTIES[TEMPLATE_AMENDMENT_CODE])</f>
        <v>TPL_03C</v>
      </c>
    </row>
    <row r="205" spans="1:47" x14ac:dyDescent="0.35">
      <c r="A205" s="2" t="s">
        <v>2842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0" t="str">
        <f>_xlfn.XLOOKUP(PROPERTIES[[#This Row],[VEHIDCODE]],CONTROL[VEHIDCODE],CONTROL[ENGLISH])</f>
        <v>CKD T-669</v>
      </c>
      <c r="F205" t="s">
        <v>716</v>
      </c>
      <c r="G205" s="40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17</v>
      </c>
      <c r="J205">
        <v>0</v>
      </c>
      <c r="K205">
        <v>8</v>
      </c>
      <c r="L205">
        <v>0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3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0">
        <v>362</v>
      </c>
      <c r="AA205" s="19">
        <f>IFERROR(PROPERTIES[[#This Row],[TE_STARTING_KN]]/(PROPERTIES[[#This Row],[WEIGHT]]*9.81),0)</f>
        <v>0.29286604210151607</v>
      </c>
      <c r="AB205" s="19">
        <v>0</v>
      </c>
      <c r="AC205" s="16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6">
        <v>0</v>
      </c>
      <c r="AF205" s="6">
        <v>0</v>
      </c>
      <c r="AG205" t="s">
        <v>1951</v>
      </c>
      <c r="AH205" t="s">
        <v>229</v>
      </c>
      <c r="AI205" t="s">
        <v>229</v>
      </c>
      <c r="AJ205" s="2" t="s">
        <v>229</v>
      </c>
      <c r="AK205" s="2" t="s">
        <v>244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44" t="b">
        <v>0</v>
      </c>
      <c r="AP205" s="48" t="b">
        <v>0</v>
      </c>
      <c r="AQ205" s="48" t="b">
        <v>0</v>
      </c>
      <c r="AR205" s="48">
        <v>0</v>
      </c>
      <c r="AS205" s="48" t="b">
        <v>0</v>
      </c>
      <c r="AT205" s="7" t="b">
        <v>0</v>
      </c>
      <c r="AU205" s="40" t="str" cm="1">
        <f t="array" ref="AU205">_xlfn.XLOOKUP(PROPERTIES[[#This Row],[VEHIDCODE]],GRAPHICS_PROPERTIES[VEHIDCODE],GRAPHICS_PROPERTIES[TEMPLATE_ID]&amp;GRAPHICS_PROPERTIES[TEMPLATE_AMENDMENT_CODE])</f>
        <v>TPL_01A</v>
      </c>
    </row>
    <row r="206" spans="1:47" x14ac:dyDescent="0.35">
      <c r="A206" s="2" t="s">
        <v>2843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0" t="str">
        <f>_xlfn.XLOOKUP(PROPERTIES[[#This Row],[VEHIDCODE]],CONTROL[VEHIDCODE],CONTROL[ENGLISH])</f>
        <v>UGOFE GM-EMD J16CW/AC</v>
      </c>
      <c r="F206" t="s">
        <v>538</v>
      </c>
      <c r="G206" s="40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17</v>
      </c>
      <c r="J206">
        <v>0</v>
      </c>
      <c r="K206">
        <v>8</v>
      </c>
      <c r="L206">
        <v>0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3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0">
        <v>255</v>
      </c>
      <c r="AA206" s="19">
        <f>IFERROR(PROPERTIES[[#This Row],[TE_STARTING_KN]]/(PROPERTIES[[#This Row],[WEIGHT]]*9.81),0)</f>
        <v>0.23208824814329401</v>
      </c>
      <c r="AB206" s="19">
        <v>0</v>
      </c>
      <c r="AC206" s="16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6">
        <v>0</v>
      </c>
      <c r="AF206" s="6">
        <v>0</v>
      </c>
      <c r="AG206" t="s">
        <v>237</v>
      </c>
      <c r="AH206" t="s">
        <v>229</v>
      </c>
      <c r="AI206" t="s">
        <v>229</v>
      </c>
      <c r="AJ206" s="2" t="s">
        <v>229</v>
      </c>
      <c r="AK206" s="2" t="s">
        <v>244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44" t="b">
        <v>0</v>
      </c>
      <c r="AP206" s="48" t="b">
        <v>0</v>
      </c>
      <c r="AQ206" s="48" t="b">
        <v>0</v>
      </c>
      <c r="AR206" s="48">
        <v>0</v>
      </c>
      <c r="AS206" s="48" t="b">
        <v>0</v>
      </c>
      <c r="AT206" s="7" t="b">
        <v>0</v>
      </c>
      <c r="AU206" s="40" t="str" cm="1">
        <f t="array" ref="AU206">_xlfn.XLOOKUP(PROPERTIES[[#This Row],[VEHIDCODE]],GRAPHICS_PROPERTIES[VEHIDCODE],GRAPHICS_PROPERTIES[TEMPLATE_ID]&amp;GRAPHICS_PROPERTIES[TEMPLATE_AMENDMENT_CODE])</f>
        <v>TPL_01A</v>
      </c>
    </row>
    <row r="207" spans="1:47" x14ac:dyDescent="0.35">
      <c r="A207" s="2" t="s">
        <v>2844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0" t="str">
        <f>_xlfn.XLOOKUP(PROPERTIES[[#This Row],[VEHIDCODE]],CONTROL[VEHIDCODE],CONTROL[ENGLISH])</f>
        <v>LTZ M62</v>
      </c>
      <c r="F207" t="s">
        <v>716</v>
      </c>
      <c r="G207" s="40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17</v>
      </c>
      <c r="J207">
        <v>0</v>
      </c>
      <c r="K207">
        <v>8</v>
      </c>
      <c r="L207">
        <v>0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3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0">
        <v>314</v>
      </c>
      <c r="AA207" s="19">
        <f>IFERROR(PROPERTIES[[#This Row],[TE_STARTING_KN]]/(PROPERTIES[[#This Row],[WEIGHT]]*9.81),0)</f>
        <v>0.27593237020633415</v>
      </c>
      <c r="AB207" s="19">
        <v>0</v>
      </c>
      <c r="AC207" s="16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6">
        <v>0</v>
      </c>
      <c r="AF207" s="6">
        <v>0</v>
      </c>
      <c r="AG207" t="s">
        <v>1951</v>
      </c>
      <c r="AH207" t="s">
        <v>237</v>
      </c>
      <c r="AI207" t="s">
        <v>229</v>
      </c>
      <c r="AJ207" s="2" t="s">
        <v>229</v>
      </c>
      <c r="AK207" s="2" t="s">
        <v>244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44" t="b">
        <v>0</v>
      </c>
      <c r="AP207" s="48" t="b">
        <v>0</v>
      </c>
      <c r="AQ207" s="48" t="b">
        <v>0</v>
      </c>
      <c r="AR207" s="48">
        <v>0</v>
      </c>
      <c r="AS207" s="48" t="b">
        <v>0</v>
      </c>
      <c r="AT207" s="7" t="b">
        <v>0</v>
      </c>
      <c r="AU207" s="40" t="str" cm="1">
        <f t="array" ref="AU207">_xlfn.XLOOKUP(PROPERTIES[[#This Row],[VEHIDCODE]],GRAPHICS_PROPERTIES[VEHIDCODE],GRAPHICS_PROPERTIES[TEMPLATE_ID]&amp;GRAPHICS_PROPERTIES[TEMPLATE_AMENDMENT_CODE])</f>
        <v>TPL_01A</v>
      </c>
    </row>
    <row r="208" spans="1:47" x14ac:dyDescent="0.35">
      <c r="A208" s="2" t="s">
        <v>2845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0" t="str">
        <f>_xlfn.XLOOKUP(PROPERTIES[[#This Row],[VEHIDCODE]],CONTROL[VEHIDCODE],CONTROL[ENGLISH])</f>
        <v>EMD/Clyde J26C</v>
      </c>
      <c r="F208" t="s">
        <v>541</v>
      </c>
      <c r="G208" s="40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17</v>
      </c>
      <c r="J208">
        <v>0</v>
      </c>
      <c r="K208">
        <v>8</v>
      </c>
      <c r="L208">
        <v>0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3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0">
        <v>315.47000000000003</v>
      </c>
      <c r="AA208" s="19">
        <f>IFERROR(PROPERTIES[[#This Row],[TE_STARTING_KN]]/(PROPERTIES[[#This Row],[WEIGHT]]*9.81),0)</f>
        <v>0.29234547307941799</v>
      </c>
      <c r="AB208" s="19">
        <v>0</v>
      </c>
      <c r="AC208" s="16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6">
        <v>0</v>
      </c>
      <c r="AF208" s="6">
        <v>0</v>
      </c>
      <c r="AG208" t="s">
        <v>232</v>
      </c>
      <c r="AH208" t="s">
        <v>229</v>
      </c>
      <c r="AI208" t="s">
        <v>229</v>
      </c>
      <c r="AJ208" s="2" t="s">
        <v>229</v>
      </c>
      <c r="AK208" s="2" t="s">
        <v>244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44" t="b">
        <v>0</v>
      </c>
      <c r="AP208" s="48" t="b">
        <v>0</v>
      </c>
      <c r="AQ208" s="48" t="b">
        <v>0</v>
      </c>
      <c r="AR208" s="48">
        <v>0</v>
      </c>
      <c r="AS208" s="48" t="b">
        <v>0</v>
      </c>
      <c r="AT208" s="7" t="b">
        <v>0</v>
      </c>
      <c r="AU208" s="40" t="str" cm="1">
        <f t="array" ref="AU208">_xlfn.XLOOKUP(PROPERTIES[[#This Row],[VEHIDCODE]],GRAPHICS_PROPERTIES[VEHIDCODE],GRAPHICS_PROPERTIES[TEMPLATE_ID]&amp;GRAPHICS_PROPERTIES[TEMPLATE_AMENDMENT_CODE])</f>
        <v>TPL_01A</v>
      </c>
    </row>
    <row r="209" spans="1:47" x14ac:dyDescent="0.35">
      <c r="A209" s="2" t="s">
        <v>2846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0" t="str">
        <f>_xlfn.XLOOKUP(PROPERTIES[[#This Row],[VEHIDCODE]],CONTROL[VEHIDCODE],CONTROL[ENGLISH])</f>
        <v>GE G22</v>
      </c>
      <c r="F209" t="s">
        <v>592</v>
      </c>
      <c r="G209" s="40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17</v>
      </c>
      <c r="J209">
        <v>0</v>
      </c>
      <c r="K209">
        <v>8</v>
      </c>
      <c r="L209">
        <v>0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3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0">
        <v>265</v>
      </c>
      <c r="AA209" s="19">
        <f>IFERROR(PROPERTIES[[#This Row],[TE_STARTING_KN]]/(PROPERTIES[[#This Row],[WEIGHT]]*9.81),0)</f>
        <v>0.25012270170272211</v>
      </c>
      <c r="AB209" s="19">
        <v>0</v>
      </c>
      <c r="AC209" s="16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6">
        <v>0</v>
      </c>
      <c r="AF209" s="6">
        <v>0</v>
      </c>
      <c r="AG209" t="s">
        <v>233</v>
      </c>
      <c r="AH209" t="s">
        <v>234</v>
      </c>
      <c r="AI209" t="s">
        <v>238</v>
      </c>
      <c r="AJ209" s="2" t="s">
        <v>229</v>
      </c>
      <c r="AK209" s="2" t="s">
        <v>244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44" t="b">
        <v>0</v>
      </c>
      <c r="AP209" s="48" t="b">
        <v>0</v>
      </c>
      <c r="AQ209" s="48" t="b">
        <v>0</v>
      </c>
      <c r="AR209" s="48">
        <v>0</v>
      </c>
      <c r="AS209" s="48" t="b">
        <v>0</v>
      </c>
      <c r="AT209" s="7" t="b">
        <v>0</v>
      </c>
      <c r="AU209" s="40" t="str" cm="1">
        <f t="array" ref="AU209">_xlfn.XLOOKUP(PROPERTIES[[#This Row],[VEHIDCODE]],GRAPHICS_PROPERTIES[VEHIDCODE],GRAPHICS_PROPERTIES[TEMPLATE_ID]&amp;GRAPHICS_PROPERTIES[TEMPLATE_AMENDMENT_CODE])</f>
        <v>TPL_01A</v>
      </c>
    </row>
    <row r="210" spans="1:47" x14ac:dyDescent="0.35">
      <c r="A210" s="2" t="s">
        <v>2847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0" t="str">
        <f>_xlfn.XLOOKUP(PROPERTIES[[#This Row],[VEHIDCODE]],CONTROL[VEHIDCODE],CONTROL[ENGLISH])</f>
        <v>EMD DDA40X</v>
      </c>
      <c r="F210" t="s">
        <v>757</v>
      </c>
      <c r="G210" s="40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17</v>
      </c>
      <c r="J210">
        <v>0</v>
      </c>
      <c r="K210">
        <v>8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3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0">
        <v>506.8</v>
      </c>
      <c r="AA210" s="19">
        <f>IFERROR(PROPERTIES[[#This Row],[TE_STARTING_KN]]/(PROPERTIES[[#This Row],[WEIGHT]]*9.81),0)</f>
        <v>0.20915615314456454</v>
      </c>
      <c r="AB210" s="19">
        <v>0</v>
      </c>
      <c r="AC210" s="16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6">
        <v>0</v>
      </c>
      <c r="AF210" s="6">
        <v>2</v>
      </c>
      <c r="AG210" t="s">
        <v>235</v>
      </c>
      <c r="AH210" t="s">
        <v>229</v>
      </c>
      <c r="AI210" t="s">
        <v>229</v>
      </c>
      <c r="AJ210" s="2" t="s">
        <v>229</v>
      </c>
      <c r="AK210" s="2" t="s">
        <v>244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44" t="b">
        <v>0</v>
      </c>
      <c r="AP210" s="48" t="b">
        <v>0</v>
      </c>
      <c r="AQ210" s="48" t="b">
        <v>0</v>
      </c>
      <c r="AR210" s="48">
        <v>0</v>
      </c>
      <c r="AS210" s="48" t="b">
        <v>0</v>
      </c>
      <c r="AT210" s="7" t="b">
        <v>0</v>
      </c>
      <c r="AU210" s="40" t="str" cm="1">
        <f t="array" ref="AU210">_xlfn.XLOOKUP(PROPERTIES[[#This Row],[VEHIDCODE]],GRAPHICS_PROPERTIES[VEHIDCODE],GRAPHICS_PROPERTIES[TEMPLATE_ID]&amp;GRAPHICS_PROPERTIES[TEMPLATE_AMENDMENT_CODE])</f>
        <v>TPL_16A</v>
      </c>
    </row>
    <row r="211" spans="1:47" x14ac:dyDescent="0.35">
      <c r="A211" s="2" t="s">
        <v>2848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0" t="str">
        <f>_xlfn.XLOOKUP(PROPERTIES[[#This Row],[VEHIDCODE]],CONTROL[VEHIDCODE],CONTROL[ENGLISH])</f>
        <v>EMD/Clyde GL26C</v>
      </c>
      <c r="F211" t="s">
        <v>541</v>
      </c>
      <c r="G211" s="40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17</v>
      </c>
      <c r="J211">
        <v>0</v>
      </c>
      <c r="K211">
        <v>8</v>
      </c>
      <c r="L211">
        <v>0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3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0">
        <v>286</v>
      </c>
      <c r="AA211" s="19">
        <f>IFERROR(PROPERTIES[[#This Row],[TE_STARTING_KN]]/(PROPERTIES[[#This Row],[WEIGHT]]*9.81),0)</f>
        <v>0.29748902619151635</v>
      </c>
      <c r="AB211" s="19">
        <v>0</v>
      </c>
      <c r="AC211" s="16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6">
        <v>0</v>
      </c>
      <c r="AF211" s="6">
        <v>0</v>
      </c>
      <c r="AG211" t="s">
        <v>232</v>
      </c>
      <c r="AH211" t="s">
        <v>229</v>
      </c>
      <c r="AI211" t="s">
        <v>229</v>
      </c>
      <c r="AJ211" s="2" t="s">
        <v>229</v>
      </c>
      <c r="AK211" s="2" t="s">
        <v>244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44" t="b">
        <v>0</v>
      </c>
      <c r="AP211" s="48" t="b">
        <v>0</v>
      </c>
      <c r="AQ211" s="48" t="b">
        <v>0</v>
      </c>
      <c r="AR211" s="48">
        <v>0</v>
      </c>
      <c r="AS211" s="48" t="b">
        <v>0</v>
      </c>
      <c r="AT211" s="7" t="b">
        <v>0</v>
      </c>
      <c r="AU211" s="40" t="str" cm="1">
        <f t="array" ref="AU211">_xlfn.XLOOKUP(PROPERTIES[[#This Row],[VEHIDCODE]],GRAPHICS_PROPERTIES[VEHIDCODE],GRAPHICS_PROPERTIES[TEMPLATE_ID]&amp;GRAPHICS_PROPERTIES[TEMPLATE_AMENDMENT_CODE])</f>
        <v>TPL_01A</v>
      </c>
    </row>
    <row r="212" spans="1:47" x14ac:dyDescent="0.35">
      <c r="A212" s="2" t="s">
        <v>2849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0" t="str">
        <f>_xlfn.XLOOKUP(PROPERTIES[[#This Row],[VEHIDCODE]],CONTROL[VEHIDCODE],CONTROL[ENGLISH])</f>
        <v>EMD G26</v>
      </c>
      <c r="F212" t="s">
        <v>757</v>
      </c>
      <c r="G212" s="40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17</v>
      </c>
      <c r="J212">
        <v>0</v>
      </c>
      <c r="K212">
        <v>8</v>
      </c>
      <c r="L212">
        <v>0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3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0">
        <v>0</v>
      </c>
      <c r="AA212" s="19">
        <f>IFERROR(PROPERTIES[[#This Row],[TE_STARTING_KN]]/(PROPERTIES[[#This Row],[WEIGHT]]*9.81),0)</f>
        <v>0</v>
      </c>
      <c r="AB212" s="19">
        <v>0.26</v>
      </c>
      <c r="AC212" s="16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6">
        <v>0</v>
      </c>
      <c r="AF212" s="6">
        <v>0</v>
      </c>
      <c r="AG212" t="s">
        <v>236</v>
      </c>
      <c r="AH212" t="s">
        <v>233</v>
      </c>
      <c r="AI212" t="s">
        <v>1947</v>
      </c>
      <c r="AJ212" s="2" t="s">
        <v>237</v>
      </c>
      <c r="AK212" s="2" t="s">
        <v>244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44" t="b">
        <v>0</v>
      </c>
      <c r="AP212" s="48" t="b">
        <v>0</v>
      </c>
      <c r="AQ212" s="48" t="b">
        <v>0</v>
      </c>
      <c r="AR212" s="48">
        <v>0</v>
      </c>
      <c r="AS212" s="48" t="b">
        <v>0</v>
      </c>
      <c r="AT212" s="7" t="b">
        <v>0</v>
      </c>
      <c r="AU212" s="40" t="str" cm="1">
        <f t="array" ref="AU212">_xlfn.XLOOKUP(PROPERTIES[[#This Row],[VEHIDCODE]],GRAPHICS_PROPERTIES[VEHIDCODE],GRAPHICS_PROPERTIES[TEMPLATE_ID]&amp;GRAPHICS_PROPERTIES[TEMPLATE_AMENDMENT_CODE])</f>
        <v>TPL_01A</v>
      </c>
    </row>
    <row r="213" spans="1:47" x14ac:dyDescent="0.35">
      <c r="A213" s="2" t="s">
        <v>2850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0" t="str">
        <f>_xlfn.XLOOKUP(PROPERTIES[[#This Row],[VEHIDCODE]],CONTROL[VEHIDCODE],CONTROL[ENGLISH])</f>
        <v>Henschel TGOJ V4</v>
      </c>
      <c r="F213" t="s">
        <v>722</v>
      </c>
      <c r="G213" s="40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17</v>
      </c>
      <c r="J213">
        <v>0</v>
      </c>
      <c r="K213">
        <v>6</v>
      </c>
      <c r="L213">
        <v>0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3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0">
        <v>0</v>
      </c>
      <c r="AA213" s="19">
        <f>IFERROR(PROPERTIES[[#This Row],[TE_STARTING_KN]]/(PROPERTIES[[#This Row],[WEIGHT]]*9.81),0)</f>
        <v>0</v>
      </c>
      <c r="AB213" s="19">
        <v>0.3</v>
      </c>
      <c r="AC213" s="16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6">
        <v>0</v>
      </c>
      <c r="AF213" s="6">
        <v>0</v>
      </c>
      <c r="AG213" t="s">
        <v>234</v>
      </c>
      <c r="AH213" t="s">
        <v>229</v>
      </c>
      <c r="AI213" t="s">
        <v>229</v>
      </c>
      <c r="AJ213" s="2" t="s">
        <v>229</v>
      </c>
      <c r="AK213" s="2" t="s">
        <v>244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44" t="b">
        <v>0</v>
      </c>
      <c r="AP213" s="48" t="b">
        <v>0</v>
      </c>
      <c r="AQ213" s="48" t="b">
        <v>0</v>
      </c>
      <c r="AR213" s="48">
        <v>0</v>
      </c>
      <c r="AS213" s="48" t="b">
        <v>0</v>
      </c>
      <c r="AT213" s="7" t="b">
        <v>0</v>
      </c>
      <c r="AU213" s="40" t="str" cm="1">
        <f t="array" ref="AU213">_xlfn.XLOOKUP(PROPERTIES[[#This Row],[VEHIDCODE]],GRAPHICS_PROPERTIES[VEHIDCODE],GRAPHICS_PROPERTIES[TEMPLATE_ID]&amp;GRAPHICS_PROPERTIES[TEMPLATE_AMENDMENT_CODE])</f>
        <v>TPL_01A</v>
      </c>
    </row>
    <row r="214" spans="1:47" x14ac:dyDescent="0.35">
      <c r="A214" s="2" t="s">
        <v>2851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0" t="str">
        <f>_xlfn.XLOOKUP(PROPERTIES[[#This Row],[VEHIDCODE]],CONTROL[VEHIDCODE],CONTROL[ENGLISH])</f>
        <v>MLW M420W</v>
      </c>
      <c r="F214" t="s">
        <v>565</v>
      </c>
      <c r="G214" s="40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17</v>
      </c>
      <c r="J214">
        <v>0</v>
      </c>
      <c r="K214">
        <v>8</v>
      </c>
      <c r="L214">
        <v>0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3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0">
        <v>268.67</v>
      </c>
      <c r="AA214" s="19">
        <f>IFERROR(PROPERTIES[[#This Row],[TE_STARTING_KN]]/(PROPERTIES[[#This Row],[WEIGHT]]*9.81),0)</f>
        <v>0.21909887869520897</v>
      </c>
      <c r="AB214" s="19">
        <v>0</v>
      </c>
      <c r="AC214" s="16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6">
        <v>0</v>
      </c>
      <c r="AF214" s="6">
        <v>0</v>
      </c>
      <c r="AG214" t="s">
        <v>240</v>
      </c>
      <c r="AH214" t="s">
        <v>229</v>
      </c>
      <c r="AI214" t="s">
        <v>229</v>
      </c>
      <c r="AJ214" s="2" t="s">
        <v>229</v>
      </c>
      <c r="AK214" s="2" t="s">
        <v>244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44" t="b">
        <v>0</v>
      </c>
      <c r="AP214" s="48" t="b">
        <v>0</v>
      </c>
      <c r="AQ214" s="48" t="b">
        <v>0</v>
      </c>
      <c r="AR214" s="48">
        <v>0</v>
      </c>
      <c r="AS214" s="48" t="b">
        <v>0</v>
      </c>
      <c r="AT214" s="7" t="b">
        <v>0</v>
      </c>
      <c r="AU214" s="40" t="str" cm="1">
        <f t="array" ref="AU214">_xlfn.XLOOKUP(PROPERTIES[[#This Row],[VEHIDCODE]],GRAPHICS_PROPERTIES[VEHIDCODE],GRAPHICS_PROPERTIES[TEMPLATE_ID]&amp;GRAPHICS_PROPERTIES[TEMPLATE_AMENDMENT_CODE])</f>
        <v>TPL_01A</v>
      </c>
    </row>
    <row r="215" spans="1:47" x14ac:dyDescent="0.35">
      <c r="A215" s="2" t="s">
        <v>2852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0" t="str">
        <f>_xlfn.XLOOKUP(PROPERTIES[[#This Row],[VEHIDCODE]],CONTROL[VEHIDCODE],CONTROL[ENGLISH])</f>
        <v>EMD SDP-40F</v>
      </c>
      <c r="F215" t="s">
        <v>757</v>
      </c>
      <c r="G215" s="40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17</v>
      </c>
      <c r="J215">
        <v>0</v>
      </c>
      <c r="K215">
        <v>8</v>
      </c>
      <c r="L215">
        <v>0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3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0">
        <v>289</v>
      </c>
      <c r="AA215" s="19">
        <f>IFERROR(PROPERTIES[[#This Row],[TE_STARTING_KN]]/(PROPERTIES[[#This Row],[WEIGHT]]*9.81),0)</f>
        <v>0.22488347301009251</v>
      </c>
      <c r="AB215" s="19">
        <v>0</v>
      </c>
      <c r="AC215" s="16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6">
        <v>0</v>
      </c>
      <c r="AF215" s="6">
        <v>0</v>
      </c>
      <c r="AG215" t="s">
        <v>235</v>
      </c>
      <c r="AH215" t="s">
        <v>229</v>
      </c>
      <c r="AI215" t="s">
        <v>229</v>
      </c>
      <c r="AJ215" s="2" t="s">
        <v>229</v>
      </c>
      <c r="AK215" s="2" t="s">
        <v>244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44" t="b">
        <v>0</v>
      </c>
      <c r="AP215" s="48" t="b">
        <v>0</v>
      </c>
      <c r="AQ215" s="48" t="b">
        <v>0</v>
      </c>
      <c r="AR215" s="48">
        <v>0</v>
      </c>
      <c r="AS215" s="48" t="b">
        <v>0</v>
      </c>
      <c r="AT215" s="7" t="b">
        <v>0</v>
      </c>
      <c r="AU215" s="40" t="str" cm="1">
        <f t="array" ref="AU215">_xlfn.XLOOKUP(PROPERTIES[[#This Row],[VEHIDCODE]],GRAPHICS_PROPERTIES[VEHIDCODE],GRAPHICS_PROPERTIES[TEMPLATE_ID]&amp;GRAPHICS_PROPERTIES[TEMPLATE_AMENDMENT_CODE])</f>
        <v>TPL_03F</v>
      </c>
    </row>
    <row r="216" spans="1:47" x14ac:dyDescent="0.35">
      <c r="A216" s="2" t="s">
        <v>2853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0" t="str">
        <f>_xlfn.XLOOKUP(PROPERTIES[[#This Row],[VEHIDCODE]],CONTROL[VEHIDCODE],CONTROL[ENGLISH])</f>
        <v>Sifang DFH3</v>
      </c>
      <c r="F216" t="s">
        <v>575</v>
      </c>
      <c r="G216" s="40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17</v>
      </c>
      <c r="J216">
        <v>0</v>
      </c>
      <c r="K216">
        <v>7</v>
      </c>
      <c r="L216">
        <v>0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3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0">
        <v>271</v>
      </c>
      <c r="AA216" s="19">
        <f>IFERROR(PROPERTIES[[#This Row],[TE_STARTING_KN]]/(PROPERTIES[[#This Row],[WEIGHT]]*9.81),0)</f>
        <v>0.30027035411957625</v>
      </c>
      <c r="AB216" s="19">
        <v>0</v>
      </c>
      <c r="AC216" s="16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6">
        <v>0</v>
      </c>
      <c r="AF216" s="6">
        <v>0</v>
      </c>
      <c r="AG216" t="s">
        <v>238</v>
      </c>
      <c r="AH216" t="s">
        <v>229</v>
      </c>
      <c r="AI216" t="s">
        <v>229</v>
      </c>
      <c r="AJ216" s="2" t="s">
        <v>229</v>
      </c>
      <c r="AK216" s="2" t="s">
        <v>244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44" t="b">
        <v>0</v>
      </c>
      <c r="AP216" s="48" t="b">
        <v>0</v>
      </c>
      <c r="AQ216" s="48" t="b">
        <v>0</v>
      </c>
      <c r="AR216" s="48">
        <v>0</v>
      </c>
      <c r="AS216" s="48" t="b">
        <v>0</v>
      </c>
      <c r="AT216" s="7" t="b">
        <v>0</v>
      </c>
      <c r="AU216" s="40" t="str" cm="1">
        <f t="array" ref="AU216">_xlfn.XLOOKUP(PROPERTIES[[#This Row],[VEHIDCODE]],GRAPHICS_PROPERTIES[VEHIDCODE],GRAPHICS_PROPERTIES[TEMPLATE_ID]&amp;GRAPHICS_PROPERTIES[TEMPLATE_AMENDMENT_CODE])</f>
        <v>TPL_01A</v>
      </c>
    </row>
    <row r="217" spans="1:47" x14ac:dyDescent="0.35">
      <c r="A217" s="2" t="s">
        <v>2854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0" t="str">
        <f>_xlfn.XLOOKUP(PROPERTIES[[#This Row],[VEHIDCODE]],CONTROL[VEHIDCODE],CONTROL[ENGLISH])</f>
        <v>EMD F40PH</v>
      </c>
      <c r="F217" t="s">
        <v>757</v>
      </c>
      <c r="G217" s="40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17</v>
      </c>
      <c r="J217">
        <v>0</v>
      </c>
      <c r="K217">
        <v>7</v>
      </c>
      <c r="L217">
        <v>0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3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0">
        <v>289</v>
      </c>
      <c r="AA217" s="19">
        <f>IFERROR(PROPERTIES[[#This Row],[TE_STARTING_KN]]/(PROPERTIES[[#This Row],[WEIGHT]]*9.81),0)</f>
        <v>0.2561716083854097</v>
      </c>
      <c r="AB217" s="19">
        <v>0</v>
      </c>
      <c r="AC217" s="16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6">
        <v>0</v>
      </c>
      <c r="AF217" s="6">
        <v>0</v>
      </c>
      <c r="AG217" t="s">
        <v>240</v>
      </c>
      <c r="AH217" t="s">
        <v>229</v>
      </c>
      <c r="AI217" t="s">
        <v>229</v>
      </c>
      <c r="AJ217" s="2" t="s">
        <v>229</v>
      </c>
      <c r="AK217" s="2" t="s">
        <v>244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44" t="b">
        <v>0</v>
      </c>
      <c r="AP217" s="48" t="b">
        <v>0</v>
      </c>
      <c r="AQ217" s="48" t="b">
        <v>0</v>
      </c>
      <c r="AR217" s="48">
        <v>0</v>
      </c>
      <c r="AS217" s="48" t="b">
        <v>0</v>
      </c>
      <c r="AT217" s="7" t="b">
        <v>0</v>
      </c>
      <c r="AU217" s="40" t="str" cm="1">
        <f t="array" ref="AU217">_xlfn.XLOOKUP(PROPERTIES[[#This Row],[VEHIDCODE]],GRAPHICS_PROPERTIES[VEHIDCODE],GRAPHICS_PROPERTIES[TEMPLATE_ID]&amp;GRAPHICS_PROPERTIES[TEMPLATE_AMENDMENT_CODE])</f>
        <v>TPL_03F</v>
      </c>
    </row>
    <row r="218" spans="1:47" x14ac:dyDescent="0.35">
      <c r="A218" s="2" t="s">
        <v>2855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0" t="str">
        <f>_xlfn.XLOOKUP(PROPERTIES[[#This Row],[VEHIDCODE]],CONTROL[VEHIDCODE],CONTROL[ENGLISH])</f>
        <v>Sorefame/Alsthom 1900</v>
      </c>
      <c r="F218" t="s">
        <v>710</v>
      </c>
      <c r="G218" s="40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17</v>
      </c>
      <c r="J218">
        <v>0</v>
      </c>
      <c r="K218">
        <v>8</v>
      </c>
      <c r="L218">
        <v>0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3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0">
        <v>388.3</v>
      </c>
      <c r="AA218" s="19">
        <f>IFERROR(PROPERTIES[[#This Row],[TE_STARTING_KN]]/(PROPERTIES[[#This Row],[WEIGHT]]*9.81),0)</f>
        <v>0.34419181846385671</v>
      </c>
      <c r="AB218" s="19">
        <v>0</v>
      </c>
      <c r="AC218" s="16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6">
        <v>0</v>
      </c>
      <c r="AF218" s="6">
        <v>0</v>
      </c>
      <c r="AG218" t="s">
        <v>231</v>
      </c>
      <c r="AH218" t="s">
        <v>229</v>
      </c>
      <c r="AI218" t="s">
        <v>229</v>
      </c>
      <c r="AJ218" s="2" t="s">
        <v>229</v>
      </c>
      <c r="AK218" s="2" t="s">
        <v>244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44" t="b">
        <v>0</v>
      </c>
      <c r="AP218" s="48" t="b">
        <v>0</v>
      </c>
      <c r="AQ218" s="48" t="b">
        <v>0</v>
      </c>
      <c r="AR218" s="48">
        <v>0</v>
      </c>
      <c r="AS218" s="48" t="b">
        <v>0</v>
      </c>
      <c r="AT218" s="7" t="b">
        <v>0</v>
      </c>
      <c r="AU218" s="40" t="str" cm="1">
        <f t="array" ref="AU218">_xlfn.XLOOKUP(PROPERTIES[[#This Row],[VEHIDCODE]],GRAPHICS_PROPERTIES[VEHIDCODE],GRAPHICS_PROPERTIES[TEMPLATE_ID]&amp;GRAPHICS_PROPERTIES[TEMPLATE_AMENDMENT_CODE])</f>
        <v>TPL_01A</v>
      </c>
    </row>
    <row r="219" spans="1:47" x14ac:dyDescent="0.35">
      <c r="A219" s="2" t="s">
        <v>2856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0" t="str">
        <f>_xlfn.XLOOKUP(PROPERTIES[[#This Row],[VEHIDCODE]],CONTROL[VEHIDCODE],CONTROL[ENGLISH])</f>
        <v>Valmet Oy Dr16</v>
      </c>
      <c r="F219" t="s">
        <v>597</v>
      </c>
      <c r="G219" s="40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17</v>
      </c>
      <c r="J219">
        <v>0</v>
      </c>
      <c r="K219">
        <v>8</v>
      </c>
      <c r="L219">
        <v>0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3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0">
        <v>270</v>
      </c>
      <c r="AA219" s="19">
        <f>IFERROR(PROPERTIES[[#This Row],[TE_STARTING_KN]]/(PROPERTIES[[#This Row],[WEIGHT]]*9.81),0)</f>
        <v>0.33564555829044523</v>
      </c>
      <c r="AB219" s="19">
        <v>0</v>
      </c>
      <c r="AC219" s="16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6">
        <v>0</v>
      </c>
      <c r="AF219" s="6">
        <v>0</v>
      </c>
      <c r="AG219" t="s">
        <v>234</v>
      </c>
      <c r="AH219" t="s">
        <v>229</v>
      </c>
      <c r="AI219" t="s">
        <v>229</v>
      </c>
      <c r="AJ219" s="2" t="s">
        <v>229</v>
      </c>
      <c r="AK219" s="2" t="s">
        <v>244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44" t="b">
        <v>0</v>
      </c>
      <c r="AP219" s="48" t="b">
        <v>0</v>
      </c>
      <c r="AQ219" s="48" t="b">
        <v>0</v>
      </c>
      <c r="AR219" s="48">
        <v>0</v>
      </c>
      <c r="AS219" s="48" t="b">
        <v>0</v>
      </c>
      <c r="AT219" s="7" t="b">
        <v>0</v>
      </c>
      <c r="AU219" s="40" t="str" cm="1">
        <f t="array" ref="AU219">_xlfn.XLOOKUP(PROPERTIES[[#This Row],[VEHIDCODE]],GRAPHICS_PROPERTIES[VEHIDCODE],GRAPHICS_PROPERTIES[TEMPLATE_ID]&amp;GRAPHICS_PROPERTIES[TEMPLATE_AMENDMENT_CODE])</f>
        <v>TPL_01A</v>
      </c>
    </row>
    <row r="220" spans="1:47" x14ac:dyDescent="0.35">
      <c r="A220" s="2" t="s">
        <v>2857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0" t="str">
        <f>_xlfn.XLOOKUP(PROPERTIES[[#This Row],[VEHIDCODE]],CONTROL[VEHIDCODE],CONTROL[ENGLISH])</f>
        <v>Kolomna TEP80</v>
      </c>
      <c r="F220" t="s">
        <v>716</v>
      </c>
      <c r="G220" s="40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17</v>
      </c>
      <c r="J220">
        <v>0</v>
      </c>
      <c r="K220">
        <v>8</v>
      </c>
      <c r="L220">
        <v>0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3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0">
        <v>240</v>
      </c>
      <c r="AA220" s="19">
        <f>IFERROR(PROPERTIES[[#This Row],[TE_STARTING_KN]]/(PROPERTIES[[#This Row],[WEIGHT]]*9.81),0)</f>
        <v>0.13591573224600745</v>
      </c>
      <c r="AB220" s="19">
        <v>0</v>
      </c>
      <c r="AC220" s="16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6">
        <v>0</v>
      </c>
      <c r="AF220" s="6">
        <v>0</v>
      </c>
      <c r="AG220" t="s">
        <v>1948</v>
      </c>
      <c r="AH220" t="s">
        <v>229</v>
      </c>
      <c r="AI220" t="s">
        <v>229</v>
      </c>
      <c r="AJ220" s="2" t="s">
        <v>229</v>
      </c>
      <c r="AK220" s="2" t="s">
        <v>244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44" t="b">
        <v>0</v>
      </c>
      <c r="AP220" s="48" t="b">
        <v>0</v>
      </c>
      <c r="AQ220" s="48" t="b">
        <v>0</v>
      </c>
      <c r="AR220" s="48">
        <v>0</v>
      </c>
      <c r="AS220" s="48" t="b">
        <v>0</v>
      </c>
      <c r="AT220" s="7" t="b">
        <v>0</v>
      </c>
      <c r="AU220" s="40" t="str" cm="1">
        <f t="array" ref="AU220">_xlfn.XLOOKUP(PROPERTIES[[#This Row],[VEHIDCODE]],GRAPHICS_PROPERTIES[VEHIDCODE],GRAPHICS_PROPERTIES[TEMPLATE_ID]&amp;GRAPHICS_PROPERTIES[TEMPLATE_AMENDMENT_CODE])</f>
        <v>TPL_01A</v>
      </c>
    </row>
    <row r="221" spans="1:47" x14ac:dyDescent="0.35">
      <c r="A221" s="2" t="s">
        <v>2858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0" t="str">
        <f>_xlfn.XLOOKUP(PROPERTIES[[#This Row],[VEHIDCODE]],CONTROL[VEHIDCODE],CONTROL[ENGLISH])</f>
        <v>EMD/Clyde JT46C</v>
      </c>
      <c r="F221" t="s">
        <v>541</v>
      </c>
      <c r="G221" s="40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17</v>
      </c>
      <c r="J221">
        <v>0</v>
      </c>
      <c r="K221">
        <v>8</v>
      </c>
      <c r="L221">
        <v>0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3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0">
        <v>323</v>
      </c>
      <c r="AA221" s="19">
        <f>IFERROR(PROPERTIES[[#This Row],[TE_STARTING_KN]]/(PROPERTIES[[#This Row],[WEIGHT]]*9.81),0)</f>
        <v>0.25723114169215083</v>
      </c>
      <c r="AB221" s="19">
        <v>0</v>
      </c>
      <c r="AC221" s="16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6">
        <v>0</v>
      </c>
      <c r="AF221" s="6">
        <v>0</v>
      </c>
      <c r="AG221" t="s">
        <v>232</v>
      </c>
      <c r="AH221" t="s">
        <v>229</v>
      </c>
      <c r="AI221" t="s">
        <v>229</v>
      </c>
      <c r="AJ221" s="2" t="s">
        <v>229</v>
      </c>
      <c r="AK221" s="2" t="s">
        <v>244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44" t="b">
        <v>0</v>
      </c>
      <c r="AP221" s="48" t="b">
        <v>0</v>
      </c>
      <c r="AQ221" s="48" t="b">
        <v>0</v>
      </c>
      <c r="AR221" s="48">
        <v>0</v>
      </c>
      <c r="AS221" s="48" t="b">
        <v>0</v>
      </c>
      <c r="AT221" s="7" t="b">
        <v>0</v>
      </c>
      <c r="AU221" s="40" t="str" cm="1">
        <f t="array" ref="AU221">_xlfn.XLOOKUP(PROPERTIES[[#This Row],[VEHIDCODE]],GRAPHICS_PROPERTIES[VEHIDCODE],GRAPHICS_PROPERTIES[TEMPLATE_ID]&amp;GRAPHICS_PROPERTIES[TEMPLATE_AMENDMENT_CODE])</f>
        <v>TPL_01A</v>
      </c>
    </row>
    <row r="222" spans="1:47" x14ac:dyDescent="0.35">
      <c r="A222" s="2" t="s">
        <v>2859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0" t="str">
        <f>_xlfn.XLOOKUP(PROPERTIES[[#This Row],[VEHIDCODE]],CONTROL[VEHIDCODE],CONTROL[ENGLISH])</f>
        <v>GE P42DC 'Genesis'</v>
      </c>
      <c r="F222" t="s">
        <v>757</v>
      </c>
      <c r="G222" s="40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17</v>
      </c>
      <c r="J222">
        <v>0</v>
      </c>
      <c r="K222">
        <v>8</v>
      </c>
      <c r="L222">
        <v>0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3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0">
        <v>280.25</v>
      </c>
      <c r="AA222" s="19">
        <f>IFERROR(PROPERTIES[[#This Row],[TE_STARTING_KN]]/(PROPERTIES[[#This Row],[WEIGHT]]*9.81),0)</f>
        <v>0.23493246687054029</v>
      </c>
      <c r="AB222" s="19">
        <v>0</v>
      </c>
      <c r="AC222" s="16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6">
        <v>0</v>
      </c>
      <c r="AF222" s="6">
        <v>0</v>
      </c>
      <c r="AG222" t="s">
        <v>235</v>
      </c>
      <c r="AH222" t="s">
        <v>229</v>
      </c>
      <c r="AI222" t="s">
        <v>229</v>
      </c>
      <c r="AJ222" s="2" t="s">
        <v>229</v>
      </c>
      <c r="AK222" s="2" t="s">
        <v>244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44" t="b">
        <v>0</v>
      </c>
      <c r="AP222" s="48" t="b">
        <v>0</v>
      </c>
      <c r="AQ222" s="48" t="b">
        <v>0</v>
      </c>
      <c r="AR222" s="48">
        <v>0</v>
      </c>
      <c r="AS222" s="48" t="b">
        <v>0</v>
      </c>
      <c r="AT222" s="7" t="b">
        <v>0</v>
      </c>
      <c r="AU222" s="40" t="str" cm="1">
        <f t="array" ref="AU222">_xlfn.XLOOKUP(PROPERTIES[[#This Row],[VEHIDCODE]],GRAPHICS_PROPERTIES[VEHIDCODE],GRAPHICS_PROPERTIES[TEMPLATE_ID]&amp;GRAPHICS_PROPERTIES[TEMPLATE_AMENDMENT_CODE])</f>
        <v>TPL_03F</v>
      </c>
    </row>
    <row r="223" spans="1:47" x14ac:dyDescent="0.35">
      <c r="A223" s="2" t="s">
        <v>2860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0" t="str">
        <f>_xlfn.XLOOKUP(PROPERTIES[[#This Row],[VEHIDCODE]],CONTROL[VEHIDCODE],CONTROL[ENGLISH])</f>
        <v>Tulomsas TCDD DH7000</v>
      </c>
      <c r="F223" t="s">
        <v>1027</v>
      </c>
      <c r="G223" s="40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17</v>
      </c>
      <c r="J223">
        <v>0</v>
      </c>
      <c r="K223">
        <v>6</v>
      </c>
      <c r="L223">
        <v>0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3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0">
        <v>0</v>
      </c>
      <c r="AA223" s="19">
        <f>IFERROR(PROPERTIES[[#This Row],[TE_STARTING_KN]]/(PROPERTIES[[#This Row],[WEIGHT]]*9.81),0)</f>
        <v>0</v>
      </c>
      <c r="AB223" s="19">
        <v>0.28000000000000003</v>
      </c>
      <c r="AC223" s="16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6">
        <v>0</v>
      </c>
      <c r="AF223" s="6">
        <v>0</v>
      </c>
      <c r="AG223" t="s">
        <v>1948</v>
      </c>
      <c r="AH223" t="s">
        <v>229</v>
      </c>
      <c r="AI223" t="s">
        <v>229</v>
      </c>
      <c r="AJ223" s="2" t="s">
        <v>229</v>
      </c>
      <c r="AK223" s="2" t="s">
        <v>244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44" t="b">
        <v>0</v>
      </c>
      <c r="AP223" s="48" t="b">
        <v>0</v>
      </c>
      <c r="AQ223" s="48" t="b">
        <v>0</v>
      </c>
      <c r="AR223" s="48">
        <v>0</v>
      </c>
      <c r="AS223" s="48" t="b">
        <v>0</v>
      </c>
      <c r="AT223" s="7" t="b">
        <v>0</v>
      </c>
      <c r="AU223" s="40" t="str" cm="1">
        <f t="array" ref="AU223">_xlfn.XLOOKUP(PROPERTIES[[#This Row],[VEHIDCODE]],GRAPHICS_PROPERTIES[VEHIDCODE],GRAPHICS_PROPERTIES[TEMPLATE_ID]&amp;GRAPHICS_PROPERTIES[TEMPLATE_AMENDMENT_CODE])</f>
        <v>TPL_01A</v>
      </c>
    </row>
    <row r="224" spans="1:47" x14ac:dyDescent="0.35">
      <c r="A224" s="2" t="s">
        <v>2861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0" t="str">
        <f>_xlfn.XLOOKUP(PROPERTIES[[#This Row],[VEHIDCODE]],CONTROL[VEHIDCODE],CONTROL[ENGLISH])</f>
        <v>GE U20C</v>
      </c>
      <c r="F224" t="s">
        <v>538</v>
      </c>
      <c r="G224" s="40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17</v>
      </c>
      <c r="J224">
        <v>0</v>
      </c>
      <c r="K224">
        <v>8</v>
      </c>
      <c r="L224">
        <v>0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3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0">
        <v>245</v>
      </c>
      <c r="AA224" s="19">
        <f>IFERROR(PROPERTIES[[#This Row],[TE_STARTING_KN]]/(PROPERTIES[[#This Row],[WEIGHT]]*9.81),0)</f>
        <v>0.26015120625212368</v>
      </c>
      <c r="AB224" s="19">
        <v>0</v>
      </c>
      <c r="AC224" s="16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6">
        <v>0</v>
      </c>
      <c r="AF224" s="6">
        <v>0</v>
      </c>
      <c r="AG224" t="s">
        <v>237</v>
      </c>
      <c r="AH224" t="s">
        <v>233</v>
      </c>
      <c r="AI224" t="s">
        <v>238</v>
      </c>
      <c r="AJ224" s="2" t="s">
        <v>229</v>
      </c>
      <c r="AK224" s="2" t="s">
        <v>244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44" t="b">
        <v>0</v>
      </c>
      <c r="AP224" s="48" t="b">
        <v>0</v>
      </c>
      <c r="AQ224" s="48" t="b">
        <v>0</v>
      </c>
      <c r="AR224" s="48">
        <v>0</v>
      </c>
      <c r="AS224" s="48" t="b">
        <v>0</v>
      </c>
      <c r="AT224" s="7" t="b">
        <v>0</v>
      </c>
      <c r="AU224" s="40" t="str" cm="1">
        <f t="array" ref="AU224">_xlfn.XLOOKUP(PROPERTIES[[#This Row],[VEHIDCODE]],GRAPHICS_PROPERTIES[VEHIDCODE],GRAPHICS_PROPERTIES[TEMPLATE_ID]&amp;GRAPHICS_PROPERTIES[TEMPLATE_AMENDMENT_CODE])</f>
        <v>TPL_01A</v>
      </c>
    </row>
    <row r="225" spans="1:47" x14ac:dyDescent="0.35">
      <c r="A225" s="2" t="s">
        <v>3442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0" t="str">
        <f>_xlfn.XLOOKUP(PROPERTIES[[#This Row],[VEHIDCODE]],CONTROL[VEHIDCODE],CONTROL[ENGLISH])</f>
        <v>Vossloh Siemens serie 77/78</v>
      </c>
      <c r="F225" t="s">
        <v>548</v>
      </c>
      <c r="G225" s="40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17</v>
      </c>
      <c r="J225">
        <v>0</v>
      </c>
      <c r="K225">
        <v>7</v>
      </c>
      <c r="L225">
        <v>0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3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0">
        <v>291</v>
      </c>
      <c r="AA225" s="19">
        <f>IFERROR(PROPERTIES[[#This Row],[TE_STARTING_KN]]/(PROPERTIES[[#This Row],[WEIGHT]]*9.81),0)</f>
        <v>0.3295956506965681</v>
      </c>
      <c r="AB225" s="19">
        <v>0</v>
      </c>
      <c r="AC225" s="16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6">
        <v>0</v>
      </c>
      <c r="AF225" s="6">
        <v>0</v>
      </c>
      <c r="AG225" t="s">
        <v>230</v>
      </c>
      <c r="AH225" t="s">
        <v>229</v>
      </c>
      <c r="AI225" t="s">
        <v>229</v>
      </c>
      <c r="AJ225" s="2" t="s">
        <v>229</v>
      </c>
      <c r="AK225" s="2" t="s">
        <v>244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44" t="b">
        <v>0</v>
      </c>
      <c r="AP225" s="48" t="b">
        <v>0</v>
      </c>
      <c r="AQ225" s="48" t="b">
        <v>0</v>
      </c>
      <c r="AR225" s="48">
        <v>0</v>
      </c>
      <c r="AS225" s="48" t="b">
        <v>0</v>
      </c>
      <c r="AT225" s="7" t="b">
        <v>0</v>
      </c>
      <c r="AU225" s="40" t="str" cm="1">
        <f t="array" ref="AU225">_xlfn.XLOOKUP(PROPERTIES[[#This Row],[VEHIDCODE]],GRAPHICS_PROPERTIES[VEHIDCODE],GRAPHICS_PROPERTIES[TEMPLATE_ID]&amp;GRAPHICS_PROPERTIES[TEMPLATE_AMENDMENT_CODE])</f>
        <v>TPL_01A</v>
      </c>
    </row>
    <row r="226" spans="1:47" x14ac:dyDescent="0.35">
      <c r="A226" s="2" t="s">
        <v>2862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0" t="str">
        <f>_xlfn.XLOOKUP(PROPERTIES[[#This Row],[VEHIDCODE]],CONTROL[VEHIDCODE],CONTROL[ENGLISH])</f>
        <v>EMD JT42CWRM</v>
      </c>
      <c r="F226" t="s">
        <v>603</v>
      </c>
      <c r="G226" s="40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17</v>
      </c>
      <c r="J226">
        <v>0</v>
      </c>
      <c r="K226">
        <v>8</v>
      </c>
      <c r="L226">
        <v>0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3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0">
        <v>409</v>
      </c>
      <c r="AA226" s="19">
        <f>IFERROR(PROPERTIES[[#This Row],[TE_STARTING_KN]]/(PROPERTIES[[#This Row],[WEIGHT]]*9.81),0)</f>
        <v>0.33089008624176813</v>
      </c>
      <c r="AB226" s="19">
        <v>0</v>
      </c>
      <c r="AC226" s="16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6">
        <v>0</v>
      </c>
      <c r="AF226" s="6">
        <v>0</v>
      </c>
      <c r="AG226" t="s">
        <v>239</v>
      </c>
      <c r="AH226" t="s">
        <v>233</v>
      </c>
      <c r="AI226" t="s">
        <v>229</v>
      </c>
      <c r="AJ226" s="2" t="s">
        <v>229</v>
      </c>
      <c r="AK226" s="2" t="s">
        <v>244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44" t="b">
        <v>0</v>
      </c>
      <c r="AP226" s="48" t="b">
        <v>0</v>
      </c>
      <c r="AQ226" s="48" t="b">
        <v>0</v>
      </c>
      <c r="AR226" s="48">
        <v>0</v>
      </c>
      <c r="AS226" s="48" t="b">
        <v>0</v>
      </c>
      <c r="AT226" s="7" t="b">
        <v>0</v>
      </c>
      <c r="AU226" s="40" t="str" cm="1">
        <f t="array" ref="AU226">_xlfn.XLOOKUP(PROPERTIES[[#This Row],[VEHIDCODE]],GRAPHICS_PROPERTIES[VEHIDCODE],GRAPHICS_PROPERTIES[TEMPLATE_ID]&amp;GRAPHICS_PROPERTIES[TEMPLATE_AMENDMENT_CODE])</f>
        <v>TPL_01A</v>
      </c>
    </row>
    <row r="227" spans="1:47" x14ac:dyDescent="0.35">
      <c r="A227" s="2" t="s">
        <v>2863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0" t="str">
        <f>_xlfn.XLOOKUP(PROPERTIES[[#This Row],[VEHIDCODE]],CONTROL[VEHIDCODE],CONTROL[ENGLISH])</f>
        <v>EMD JT42HW-HS</v>
      </c>
      <c r="F227" t="s">
        <v>603</v>
      </c>
      <c r="G227" s="40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17</v>
      </c>
      <c r="J227">
        <v>0</v>
      </c>
      <c r="K227">
        <v>8</v>
      </c>
      <c r="L227">
        <v>0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3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0">
        <v>143</v>
      </c>
      <c r="AA227" s="19">
        <f>IFERROR(PROPERTIES[[#This Row],[TE_STARTING_KN]]/(PROPERTIES[[#This Row],[WEIGHT]]*9.81),0)</f>
        <v>0.16564729867482159</v>
      </c>
      <c r="AB227" s="19">
        <v>0</v>
      </c>
      <c r="AC227" s="16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6">
        <v>0</v>
      </c>
      <c r="AF227" s="6">
        <v>0</v>
      </c>
      <c r="AG227" t="s">
        <v>234</v>
      </c>
      <c r="AH227" t="s">
        <v>229</v>
      </c>
      <c r="AI227" t="s">
        <v>229</v>
      </c>
      <c r="AJ227" s="2" t="s">
        <v>229</v>
      </c>
      <c r="AK227" s="2" t="s">
        <v>244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44" t="b">
        <v>0</v>
      </c>
      <c r="AP227" s="48" t="b">
        <v>0</v>
      </c>
      <c r="AQ227" s="48" t="b">
        <v>0</v>
      </c>
      <c r="AR227" s="48">
        <v>0</v>
      </c>
      <c r="AS227" s="48" t="b">
        <v>0</v>
      </c>
      <c r="AT227" s="7" t="b">
        <v>0</v>
      </c>
      <c r="AU227" s="40" t="str" cm="1">
        <f t="array" ref="AU227">_xlfn.XLOOKUP(PROPERTIES[[#This Row],[VEHIDCODE]],GRAPHICS_PROPERTIES[VEHIDCODE],GRAPHICS_PROPERTIES[TEMPLATE_ID]&amp;GRAPHICS_PROPERTIES[TEMPLATE_AMENDMENT_CODE])</f>
        <v>TPL_01A</v>
      </c>
    </row>
    <row r="228" spans="1:47" x14ac:dyDescent="0.35">
      <c r="A228" s="2" t="s">
        <v>2864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0" t="str">
        <f>_xlfn.XLOOKUP(PROPERTIES[[#This Row],[VEHIDCODE]],CONTROL[VEHIDCODE],CONTROL[ENGLISH])</f>
        <v>Alstom DE43CA 'Prima'</v>
      </c>
      <c r="F228" t="s">
        <v>634</v>
      </c>
      <c r="G228" s="40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17</v>
      </c>
      <c r="J228">
        <v>0</v>
      </c>
      <c r="K228">
        <v>8</v>
      </c>
      <c r="L228">
        <v>0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3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0">
        <v>542</v>
      </c>
      <c r="AA228" s="19">
        <f>IFERROR(PROPERTIES[[#This Row],[TE_STARTING_KN]]/(PROPERTIES[[#This Row],[WEIGHT]]*9.81),0)</f>
        <v>0.44918491998375637</v>
      </c>
      <c r="AB228" s="19">
        <v>0</v>
      </c>
      <c r="AC228" s="16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6">
        <v>0</v>
      </c>
      <c r="AF228" s="6">
        <v>0</v>
      </c>
      <c r="AG228" t="s">
        <v>238</v>
      </c>
      <c r="AH228" t="s">
        <v>229</v>
      </c>
      <c r="AI228" t="s">
        <v>229</v>
      </c>
      <c r="AJ228" s="2" t="s">
        <v>229</v>
      </c>
      <c r="AK228" s="2" t="s">
        <v>244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44" t="b">
        <v>0</v>
      </c>
      <c r="AP228" s="48" t="b">
        <v>0</v>
      </c>
      <c r="AQ228" s="48" t="b">
        <v>0</v>
      </c>
      <c r="AR228" s="48">
        <v>0</v>
      </c>
      <c r="AS228" s="48" t="b">
        <v>0</v>
      </c>
      <c r="AT228" s="7" t="b">
        <v>0</v>
      </c>
      <c r="AU228" s="40" t="str" cm="1">
        <f t="array" ref="AU228">_xlfn.XLOOKUP(PROPERTIES[[#This Row],[VEHIDCODE]],GRAPHICS_PROPERTIES[VEHIDCODE],GRAPHICS_PROPERTIES[TEMPLATE_ID]&amp;GRAPHICS_PROPERTIES[TEMPLATE_AMENDMENT_CODE])</f>
        <v>TPL_01A</v>
      </c>
    </row>
    <row r="229" spans="1:47" x14ac:dyDescent="0.35">
      <c r="A229" s="2" t="s">
        <v>2865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0" t="str">
        <f>_xlfn.XLOOKUP(PROPERTIES[[#This Row],[VEHIDCODE]],CONTROL[VEHIDCODE],CONTROL[ENGLISH])</f>
        <v>LTZ TEP150</v>
      </c>
      <c r="F229" t="s">
        <v>754</v>
      </c>
      <c r="G229" s="40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17</v>
      </c>
      <c r="J229">
        <v>0</v>
      </c>
      <c r="K229">
        <v>8</v>
      </c>
      <c r="L229">
        <v>0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3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0">
        <v>310</v>
      </c>
      <c r="AA229" s="19">
        <f>IFERROR(PROPERTIES[[#This Row],[TE_STARTING_KN]]/(PROPERTIES[[#This Row],[WEIGHT]]*9.81),0)</f>
        <v>0.23407709442367952</v>
      </c>
      <c r="AB229" s="19">
        <v>0</v>
      </c>
      <c r="AC229" s="16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6">
        <v>0</v>
      </c>
      <c r="AF229" s="6">
        <v>0</v>
      </c>
      <c r="AG229" t="s">
        <v>236</v>
      </c>
      <c r="AH229" t="s">
        <v>229</v>
      </c>
      <c r="AI229" t="s">
        <v>229</v>
      </c>
      <c r="AJ229" s="2" t="s">
        <v>229</v>
      </c>
      <c r="AK229" s="2" t="s">
        <v>244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44" t="b">
        <v>0</v>
      </c>
      <c r="AP229" s="48" t="b">
        <v>0</v>
      </c>
      <c r="AQ229" s="48" t="b">
        <v>0</v>
      </c>
      <c r="AR229" s="48">
        <v>0</v>
      </c>
      <c r="AS229" s="48" t="b">
        <v>0</v>
      </c>
      <c r="AT229" s="7" t="b">
        <v>0</v>
      </c>
      <c r="AU229" s="40" t="str" cm="1">
        <f t="array" ref="AU229">_xlfn.XLOOKUP(PROPERTIES[[#This Row],[VEHIDCODE]],GRAPHICS_PROPERTIES[VEHIDCODE],GRAPHICS_PROPERTIES[TEMPLATE_ID]&amp;GRAPHICS_PROPERTIES[TEMPLATE_AMENDMENT_CODE])</f>
        <v>TPL_01A</v>
      </c>
    </row>
    <row r="230" spans="1:47" x14ac:dyDescent="0.35">
      <c r="A230" s="2" t="s">
        <v>2866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0" t="str">
        <f>_xlfn.XLOOKUP(PROPERTIES[[#This Row],[VEHIDCODE]],CONTROL[VEHIDCODE],CONTROL[ENGLISH])</f>
        <v>GE/CRRC Qishuyan ES59ACi</v>
      </c>
      <c r="F230" t="s">
        <v>575</v>
      </c>
      <c r="G230" s="40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17</v>
      </c>
      <c r="J230">
        <v>0</v>
      </c>
      <c r="K230">
        <v>8</v>
      </c>
      <c r="L230">
        <v>0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3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0">
        <v>620</v>
      </c>
      <c r="AA230" s="19">
        <f>IFERROR(PROPERTIES[[#This Row],[TE_STARTING_KN]]/(PROPERTIES[[#This Row],[WEIGHT]]*9.81),0)</f>
        <v>0.42133876996262315</v>
      </c>
      <c r="AB230" s="19">
        <v>0</v>
      </c>
      <c r="AC230" s="16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6">
        <v>0</v>
      </c>
      <c r="AF230" s="6">
        <v>0</v>
      </c>
      <c r="AG230" t="s">
        <v>238</v>
      </c>
      <c r="AH230" t="s">
        <v>229</v>
      </c>
      <c r="AI230" t="s">
        <v>229</v>
      </c>
      <c r="AJ230" s="2" t="s">
        <v>229</v>
      </c>
      <c r="AK230" s="2" t="s">
        <v>244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44" t="b">
        <v>0</v>
      </c>
      <c r="AP230" s="48" t="b">
        <v>0</v>
      </c>
      <c r="AQ230" s="48" t="b">
        <v>0</v>
      </c>
      <c r="AR230" s="48">
        <v>0</v>
      </c>
      <c r="AS230" s="48" t="b">
        <v>0</v>
      </c>
      <c r="AT230" s="7" t="b">
        <v>0</v>
      </c>
      <c r="AU230" s="40" t="str" cm="1">
        <f t="array" ref="AU230">_xlfn.XLOOKUP(PROPERTIES[[#This Row],[VEHIDCODE]],GRAPHICS_PROPERTIES[VEHIDCODE],GRAPHICS_PROPERTIES[TEMPLATE_ID]&amp;GRAPHICS_PROPERTIES[TEMPLATE_AMENDMENT_CODE])</f>
        <v>TPL_01A</v>
      </c>
    </row>
    <row r="231" spans="1:47" x14ac:dyDescent="0.35">
      <c r="A231" s="2" t="s">
        <v>2867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0" t="str">
        <f>_xlfn.XLOOKUP(PROPERTIES[[#This Row],[VEHIDCODE]],CONTROL[VEHIDCODE],CONTROL[ENGLISH])</f>
        <v>Voith Gravita 10 BB</v>
      </c>
      <c r="F231" t="s">
        <v>584</v>
      </c>
      <c r="G231" s="40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17</v>
      </c>
      <c r="J231">
        <v>0</v>
      </c>
      <c r="K231">
        <v>8</v>
      </c>
      <c r="L231">
        <v>0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3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0">
        <v>313</v>
      </c>
      <c r="AA231" s="19">
        <f>IFERROR(PROPERTIES[[#This Row],[TE_STARTING_KN]]/(PROPERTIES[[#This Row],[WEIGHT]]*9.81),0)</f>
        <v>0.39882772680937817</v>
      </c>
      <c r="AB231" s="19">
        <v>0</v>
      </c>
      <c r="AC231" s="16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6">
        <v>0</v>
      </c>
      <c r="AF231" s="6">
        <v>0</v>
      </c>
      <c r="AG231" t="s">
        <v>230</v>
      </c>
      <c r="AH231" t="s">
        <v>229</v>
      </c>
      <c r="AI231" t="s">
        <v>229</v>
      </c>
      <c r="AJ231" s="2" t="s">
        <v>229</v>
      </c>
      <c r="AK231" s="2" t="s">
        <v>244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44" t="b">
        <v>0</v>
      </c>
      <c r="AP231" s="48" t="b">
        <v>0</v>
      </c>
      <c r="AQ231" s="48" t="b">
        <v>0</v>
      </c>
      <c r="AR231" s="48">
        <v>0</v>
      </c>
      <c r="AS231" s="48" t="b">
        <v>0</v>
      </c>
      <c r="AT231" s="7" t="b">
        <v>0</v>
      </c>
      <c r="AU231" s="40" t="str" cm="1">
        <f t="array" ref="AU231">_xlfn.XLOOKUP(PROPERTIES[[#This Row],[VEHIDCODE]],GRAPHICS_PROPERTIES[VEHIDCODE],GRAPHICS_PROPERTIES[TEMPLATE_ID]&amp;GRAPHICS_PROPERTIES[TEMPLATE_AMENDMENT_CODE])</f>
        <v>TPL_01A</v>
      </c>
    </row>
    <row r="232" spans="1:47" x14ac:dyDescent="0.35">
      <c r="A232" s="2" t="s">
        <v>2868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0" t="str">
        <f>_xlfn.XLOOKUP(PROPERTIES[[#This Row],[VEHIDCODE]],CONTROL[VEHIDCODE],CONTROL[ENGLISH])</f>
        <v>Voronezh/VNIIZHT GT1</v>
      </c>
      <c r="F232" t="s">
        <v>716</v>
      </c>
      <c r="G232" s="40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17</v>
      </c>
      <c r="J232">
        <v>0</v>
      </c>
      <c r="K232">
        <v>8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3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0">
        <v>775</v>
      </c>
      <c r="AA232" s="19">
        <f>IFERROR(PROPERTIES[[#This Row],[TE_STARTING_KN]]/(PROPERTIES[[#This Row],[WEIGHT]]*9.81),0)</f>
        <v>0.26333673122663948</v>
      </c>
      <c r="AB232" s="19">
        <v>0</v>
      </c>
      <c r="AC232" s="16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6">
        <v>0</v>
      </c>
      <c r="AF232" s="6">
        <v>8</v>
      </c>
      <c r="AG232" t="s">
        <v>238</v>
      </c>
      <c r="AH232" t="s">
        <v>229</v>
      </c>
      <c r="AI232" t="s">
        <v>229</v>
      </c>
      <c r="AJ232" s="2" t="s">
        <v>229</v>
      </c>
      <c r="AK232" s="2" t="s">
        <v>244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45" t="s">
        <v>3644</v>
      </c>
      <c r="AP232" s="48" t="b">
        <v>0</v>
      </c>
      <c r="AQ232" s="48" t="b">
        <v>0</v>
      </c>
      <c r="AR232" s="48">
        <v>0</v>
      </c>
      <c r="AS232" s="48" t="b">
        <v>0</v>
      </c>
      <c r="AT232" s="7" t="b">
        <v>0</v>
      </c>
      <c r="AU232" s="40" t="str" cm="1">
        <f t="array" ref="AU232">_xlfn.XLOOKUP(PROPERTIES[[#This Row],[VEHIDCODE]],GRAPHICS_PROPERTIES[VEHIDCODE],GRAPHICS_PROPERTIES[TEMPLATE_ID]&amp;GRAPHICS_PROPERTIES[TEMPLATE_AMENDMENT_CODE])</f>
        <v>TPL_03D</v>
      </c>
    </row>
    <row r="233" spans="1:47" x14ac:dyDescent="0.35">
      <c r="A233" s="2" t="s">
        <v>2869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0" t="str">
        <f>_xlfn.XLOOKUP(PROPERTIES[[#This Row],[VEHIDCODE]],CONTROL[VEHIDCODE],CONTROL[ENGLISH])</f>
        <v>Siemens ER20 'Eurorunner'</v>
      </c>
      <c r="F233" t="s">
        <v>621</v>
      </c>
      <c r="G233" s="40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17</v>
      </c>
      <c r="J233">
        <v>0</v>
      </c>
      <c r="K233">
        <v>8</v>
      </c>
      <c r="L233">
        <v>0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3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0">
        <v>235</v>
      </c>
      <c r="AA233" s="19">
        <f>IFERROR(PROPERTIES[[#This Row],[TE_STARTING_KN]]/(PROPERTIES[[#This Row],[WEIGHT]]*9.81),0)</f>
        <v>0.29943934760448521</v>
      </c>
      <c r="AB233" s="19">
        <v>0</v>
      </c>
      <c r="AC233" s="16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6">
        <v>0</v>
      </c>
      <c r="AF233" s="6">
        <v>0</v>
      </c>
      <c r="AG233" t="s">
        <v>238</v>
      </c>
      <c r="AH233" t="s">
        <v>230</v>
      </c>
      <c r="AI233" t="s">
        <v>236</v>
      </c>
      <c r="AJ233" s="2" t="s">
        <v>229</v>
      </c>
      <c r="AK233" s="2" t="s">
        <v>244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44" t="b">
        <v>0</v>
      </c>
      <c r="AP233" s="48" t="b">
        <v>0</v>
      </c>
      <c r="AQ233" s="48" t="b">
        <v>0</v>
      </c>
      <c r="AR233" s="48">
        <v>0</v>
      </c>
      <c r="AS233" s="48" t="b">
        <v>0</v>
      </c>
      <c r="AT233" s="7" t="b">
        <v>0</v>
      </c>
      <c r="AU233" s="40" t="str" cm="1">
        <f t="array" ref="AU233">_xlfn.XLOOKUP(PROPERTIES[[#This Row],[VEHIDCODE]],GRAPHICS_PROPERTIES[VEHIDCODE],GRAPHICS_PROPERTIES[TEMPLATE_ID]&amp;GRAPHICS_PROPERTIES[TEMPLATE_AMENDMENT_CODE])</f>
        <v>TPL_01A</v>
      </c>
    </row>
    <row r="234" spans="1:47" x14ac:dyDescent="0.35">
      <c r="A234" s="2" t="s">
        <v>2870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0" t="str">
        <f>_xlfn.XLOOKUP(PROPERTIES[[#This Row],[VEHIDCODE]],CONTROL[VEHIDCODE],CONTROL[ENGLISH])</f>
        <v>Voith Maxima 40 CC</v>
      </c>
      <c r="F234" t="s">
        <v>584</v>
      </c>
      <c r="G234" s="40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17</v>
      </c>
      <c r="J234">
        <v>0</v>
      </c>
      <c r="K234">
        <v>8</v>
      </c>
      <c r="L234">
        <v>0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3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0">
        <v>408</v>
      </c>
      <c r="AA234" s="19">
        <f>IFERROR(PROPERTIES[[#This Row],[TE_STARTING_KN]]/(PROPERTIES[[#This Row],[WEIGHT]]*9.81),0)</f>
        <v>0.30807565975761692</v>
      </c>
      <c r="AB234" s="19">
        <v>0</v>
      </c>
      <c r="AC234" s="16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6">
        <v>0</v>
      </c>
      <c r="AF234" s="6">
        <v>0</v>
      </c>
      <c r="AG234" t="s">
        <v>230</v>
      </c>
      <c r="AH234" t="s">
        <v>236</v>
      </c>
      <c r="AI234" t="s">
        <v>229</v>
      </c>
      <c r="AJ234" s="2" t="s">
        <v>229</v>
      </c>
      <c r="AK234" s="2" t="s">
        <v>244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44" t="b">
        <v>0</v>
      </c>
      <c r="AP234" s="48" t="b">
        <v>0</v>
      </c>
      <c r="AQ234" s="48" t="b">
        <v>0</v>
      </c>
      <c r="AR234" s="48">
        <v>0</v>
      </c>
      <c r="AS234" s="48" t="b">
        <v>0</v>
      </c>
      <c r="AT234" s="7" t="b">
        <v>0</v>
      </c>
      <c r="AU234" s="40" t="str" cm="1">
        <f t="array" ref="AU234">_xlfn.XLOOKUP(PROPERTIES[[#This Row],[VEHIDCODE]],GRAPHICS_PROPERTIES[VEHIDCODE],GRAPHICS_PROPERTIES[TEMPLATE_ID]&amp;GRAPHICS_PROPERTIES[TEMPLATE_AMENDMENT_CODE])</f>
        <v>TPL_01A</v>
      </c>
    </row>
    <row r="235" spans="1:47" x14ac:dyDescent="0.35">
      <c r="A235" s="2" t="s">
        <v>2871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0" t="str">
        <f>_xlfn.XLOOKUP(PROPERTIES[[#This Row],[VEHIDCODE]],CONTROL[VEHIDCODE],CONTROL[ENGLISH])</f>
        <v>Hohenzollern Emch3</v>
      </c>
      <c r="F235" t="s">
        <v>716</v>
      </c>
      <c r="G235" s="40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17</v>
      </c>
      <c r="J235">
        <v>0</v>
      </c>
      <c r="K235">
        <v>7</v>
      </c>
      <c r="L235">
        <v>0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3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0">
        <f>150*1.3</f>
        <v>195</v>
      </c>
      <c r="AA235" s="19">
        <f>IFERROR(PROPERTIES[[#This Row],[TE_STARTING_KN]]/(PROPERTIES[[#This Row],[WEIGHT]]*9.81),0)</f>
        <v>0.22588268001112036</v>
      </c>
      <c r="AB235" s="19">
        <v>0</v>
      </c>
      <c r="AC235" s="16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6">
        <v>0</v>
      </c>
      <c r="AF235" s="6">
        <v>0</v>
      </c>
      <c r="AG235" t="s">
        <v>1948</v>
      </c>
      <c r="AH235" t="s">
        <v>229</v>
      </c>
      <c r="AI235" t="s">
        <v>229</v>
      </c>
      <c r="AJ235" s="2" t="s">
        <v>229</v>
      </c>
      <c r="AK235" s="2" t="s">
        <v>244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44" t="b">
        <v>0</v>
      </c>
      <c r="AP235" s="48" t="b">
        <v>0</v>
      </c>
      <c r="AQ235" s="48" t="b">
        <v>0</v>
      </c>
      <c r="AR235" s="48">
        <v>0</v>
      </c>
      <c r="AS235" s="48" t="b">
        <v>0</v>
      </c>
      <c r="AT235" s="7" t="b">
        <v>0</v>
      </c>
      <c r="AU235" s="40" t="str" cm="1">
        <f t="array" ref="AU235">_xlfn.XLOOKUP(PROPERTIES[[#This Row],[VEHIDCODE]],GRAPHICS_PROPERTIES[VEHIDCODE],GRAPHICS_PROPERTIES[TEMPLATE_ID]&amp;GRAPHICS_PROPERTIES[TEMPLATE_AMENDMENT_CODE])</f>
        <v>TPL_03C</v>
      </c>
    </row>
    <row r="236" spans="1:47" x14ac:dyDescent="0.35">
      <c r="A236" s="2" t="s">
        <v>2872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0" t="str">
        <f>_xlfn.XLOOKUP(PROPERTIES[[#This Row],[VEHIDCODE]],CONTROL[VEHIDCODE],CONTROL[ENGLISH])</f>
        <v>Canadian Locomotive Company V-1</v>
      </c>
      <c r="F236" t="s">
        <v>565</v>
      </c>
      <c r="G236" s="40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17</v>
      </c>
      <c r="J236">
        <v>0</v>
      </c>
      <c r="K236">
        <v>7</v>
      </c>
      <c r="L236">
        <v>0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3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0">
        <v>213.5</v>
      </c>
      <c r="AA236" s="19">
        <f>IFERROR(PROPERTIES[[#This Row],[TE_STARTING_KN]]/(PROPERTIES[[#This Row],[WEIGHT]]*9.81),0)</f>
        <v>6.4965691420572971E-2</v>
      </c>
      <c r="AB236" s="19">
        <v>0</v>
      </c>
      <c r="AC236" s="16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6">
        <v>0</v>
      </c>
      <c r="AF236" s="6">
        <v>7</v>
      </c>
      <c r="AG236" t="s">
        <v>235</v>
      </c>
      <c r="AH236" t="s">
        <v>229</v>
      </c>
      <c r="AI236" t="s">
        <v>229</v>
      </c>
      <c r="AJ236" s="2" t="s">
        <v>229</v>
      </c>
      <c r="AK236" s="2" t="s">
        <v>244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44" t="b">
        <v>0</v>
      </c>
      <c r="AP236" s="48" t="b">
        <v>0</v>
      </c>
      <c r="AQ236" s="48" t="b">
        <v>0</v>
      </c>
      <c r="AR236" s="48">
        <v>0</v>
      </c>
      <c r="AS236" s="48" t="b">
        <v>0</v>
      </c>
      <c r="AT236" s="7" t="b">
        <v>0</v>
      </c>
      <c r="AU236" s="40" t="str" cm="1">
        <f t="array" ref="AU236">_xlfn.XLOOKUP(PROPERTIES[[#This Row],[VEHIDCODE]],GRAPHICS_PROPERTIES[VEHIDCODE],GRAPHICS_PROPERTIES[TEMPLATE_ID]&amp;GRAPHICS_PROPERTIES[TEMPLATE_AMENDMENT_CODE])</f>
        <v>TPL_03D</v>
      </c>
    </row>
    <row r="237" spans="1:47" x14ac:dyDescent="0.35">
      <c r="A237" s="2" t="s">
        <v>2873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0" t="str">
        <f>_xlfn.XLOOKUP(PROPERTIES[[#This Row],[VEHIDCODE]],CONTROL[VEHIDCODE],CONTROL[ENGLISH])</f>
        <v>LMS 7051 Diesel Shunter</v>
      </c>
      <c r="F237" t="s">
        <v>603</v>
      </c>
      <c r="G237" s="40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17</v>
      </c>
      <c r="J237">
        <v>0</v>
      </c>
      <c r="K237">
        <v>4</v>
      </c>
      <c r="L237">
        <v>0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3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0">
        <v>46.8</v>
      </c>
      <c r="AA237" s="19">
        <f>IFERROR(PROPERTIES[[#This Row],[TE_STARTING_KN]]/(PROPERTIES[[#This Row],[WEIGHT]]*9.81),0)</f>
        <v>0.21684737281067554</v>
      </c>
      <c r="AB237" s="19">
        <v>0</v>
      </c>
      <c r="AC237" s="16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6">
        <v>0</v>
      </c>
      <c r="AF237" s="6">
        <v>0</v>
      </c>
      <c r="AG237" t="s">
        <v>234</v>
      </c>
      <c r="AH237" t="s">
        <v>229</v>
      </c>
      <c r="AI237" t="s">
        <v>229</v>
      </c>
      <c r="AJ237" s="2" t="s">
        <v>229</v>
      </c>
      <c r="AK237" s="2" t="s">
        <v>244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44" t="b">
        <v>0</v>
      </c>
      <c r="AP237" s="48" t="b">
        <v>0</v>
      </c>
      <c r="AQ237" s="48" t="b">
        <v>0</v>
      </c>
      <c r="AR237" s="48">
        <v>0</v>
      </c>
      <c r="AS237" s="48" t="b">
        <v>0</v>
      </c>
      <c r="AT237" s="7" t="b">
        <v>0</v>
      </c>
      <c r="AU237" s="40" t="str" cm="1">
        <f t="array" ref="AU237">_xlfn.XLOOKUP(PROPERTIES[[#This Row],[VEHIDCODE]],GRAPHICS_PROPERTIES[VEHIDCODE],GRAPHICS_PROPERTIES[TEMPLATE_ID]&amp;GRAPHICS_PROPERTIES[TEMPLATE_AMENDMENT_CODE])</f>
        <v>TPL_03C</v>
      </c>
    </row>
    <row r="238" spans="1:47" x14ac:dyDescent="0.35">
      <c r="A238" s="2" t="s">
        <v>2874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0" t="str">
        <f>_xlfn.XLOOKUP(PROPERTIES[[#This Row],[VEHIDCODE]],CONTROL[VEHIDCODE],CONTROL[ENGLISH])</f>
        <v>EMC TA</v>
      </c>
      <c r="F238" t="s">
        <v>757</v>
      </c>
      <c r="G238" s="40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17</v>
      </c>
      <c r="J238">
        <v>0</v>
      </c>
      <c r="K238">
        <v>8</v>
      </c>
      <c r="L238">
        <v>0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3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0">
        <v>125</v>
      </c>
      <c r="AA238" s="19">
        <f>IFERROR(PROPERTIES[[#This Row],[TE_STARTING_KN]]/(PROPERTIES[[#This Row],[WEIGHT]]*9.81),0)</f>
        <v>0.13002142753125714</v>
      </c>
      <c r="AB238" s="19">
        <v>0</v>
      </c>
      <c r="AC238" s="16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6">
        <v>0</v>
      </c>
      <c r="AF238" s="6">
        <v>0</v>
      </c>
      <c r="AG238" t="s">
        <v>235</v>
      </c>
      <c r="AH238" t="s">
        <v>229</v>
      </c>
      <c r="AI238" t="s">
        <v>229</v>
      </c>
      <c r="AJ238" s="2" t="s">
        <v>229</v>
      </c>
      <c r="AK238" s="2" t="s">
        <v>244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44" t="b">
        <v>0</v>
      </c>
      <c r="AP238" s="48" t="b">
        <v>0</v>
      </c>
      <c r="AQ238" s="48" t="b">
        <v>0</v>
      </c>
      <c r="AR238" s="48">
        <v>0</v>
      </c>
      <c r="AS238" s="48" t="b">
        <v>0</v>
      </c>
      <c r="AT238" s="7" t="b">
        <v>0</v>
      </c>
      <c r="AU238" s="40" t="str" cm="1">
        <f t="array" ref="AU238">_xlfn.XLOOKUP(PROPERTIES[[#This Row],[VEHIDCODE]],GRAPHICS_PROPERTIES[VEHIDCODE],GRAPHICS_PROPERTIES[TEMPLATE_ID]&amp;GRAPHICS_PROPERTIES[TEMPLATE_AMENDMENT_CODE])</f>
        <v>TPL_01A</v>
      </c>
    </row>
    <row r="239" spans="1:47" x14ac:dyDescent="0.35">
      <c r="A239" s="2" t="s">
        <v>2875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0" t="str">
        <f>_xlfn.XLOOKUP(PROPERTIES[[#This Row],[VEHIDCODE]],CONTROL[VEHIDCODE],CONTROL[ENGLISH])</f>
        <v>Baldwin VO-660</v>
      </c>
      <c r="F239" t="s">
        <v>757</v>
      </c>
      <c r="G239" s="40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17</v>
      </c>
      <c r="J239">
        <v>0</v>
      </c>
      <c r="K239">
        <v>6</v>
      </c>
      <c r="L239">
        <v>0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3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0">
        <v>226.84</v>
      </c>
      <c r="AA239" s="19">
        <f>IFERROR(PROPERTIES[[#This Row],[TE_STARTING_KN]]/(PROPERTIES[[#This Row],[WEIGHT]]*9.81),0)</f>
        <v>0.2513406905110136</v>
      </c>
      <c r="AB239" s="19">
        <v>0</v>
      </c>
      <c r="AC239" s="16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6">
        <v>0</v>
      </c>
      <c r="AF239" s="6">
        <v>0</v>
      </c>
      <c r="AG239" t="s">
        <v>235</v>
      </c>
      <c r="AH239" t="s">
        <v>229</v>
      </c>
      <c r="AI239" t="s">
        <v>229</v>
      </c>
      <c r="AJ239" s="2" t="s">
        <v>229</v>
      </c>
      <c r="AK239" s="2" t="s">
        <v>244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44" t="b">
        <v>0</v>
      </c>
      <c r="AP239" s="48" t="b">
        <v>0</v>
      </c>
      <c r="AQ239" s="48" t="b">
        <v>0</v>
      </c>
      <c r="AR239" s="48">
        <v>0</v>
      </c>
      <c r="AS239" s="48" t="b">
        <v>0</v>
      </c>
      <c r="AT239" s="7" t="b">
        <v>0</v>
      </c>
      <c r="AU239" s="40" t="str" cm="1">
        <f t="array" ref="AU239">_xlfn.XLOOKUP(PROPERTIES[[#This Row],[VEHIDCODE]],GRAPHICS_PROPERTIES[VEHIDCODE],GRAPHICS_PROPERTIES[TEMPLATE_ID]&amp;GRAPHICS_PROPERTIES[TEMPLATE_AMENDMENT_CODE])</f>
        <v>TPL_01A</v>
      </c>
    </row>
    <row r="240" spans="1:47" x14ac:dyDescent="0.35">
      <c r="A240" s="2" t="s">
        <v>2876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0" t="str">
        <f>_xlfn.XLOOKUP(PROPERTIES[[#This Row],[VEHIDCODE]],CONTROL[VEHIDCODE],CONTROL[ENGLISH])</f>
        <v>LMS No. 7080 'D3/7'</v>
      </c>
      <c r="F240" t="s">
        <v>603</v>
      </c>
      <c r="G240" s="40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17</v>
      </c>
      <c r="J240">
        <v>0</v>
      </c>
      <c r="K240">
        <v>5</v>
      </c>
      <c r="L240">
        <v>0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3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0">
        <v>160</v>
      </c>
      <c r="AA240" s="19">
        <f>IFERROR(PROPERTIES[[#This Row],[TE_STARTING_KN]]/(PROPERTIES[[#This Row],[WEIGHT]]*9.81),0)</f>
        <v>0.2965434158094708</v>
      </c>
      <c r="AB240" s="19">
        <v>0</v>
      </c>
      <c r="AC240" s="16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6">
        <v>0</v>
      </c>
      <c r="AF240" s="6">
        <v>0</v>
      </c>
      <c r="AG240" t="s">
        <v>234</v>
      </c>
      <c r="AH240" t="s">
        <v>229</v>
      </c>
      <c r="AI240" t="s">
        <v>229</v>
      </c>
      <c r="AJ240" s="2" t="s">
        <v>229</v>
      </c>
      <c r="AK240" s="2" t="s">
        <v>244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44" t="b">
        <v>0</v>
      </c>
      <c r="AP240" s="48" t="b">
        <v>0</v>
      </c>
      <c r="AQ240" s="48" t="b">
        <v>0</v>
      </c>
      <c r="AR240" s="48">
        <v>0</v>
      </c>
      <c r="AS240" s="48" t="b">
        <v>0</v>
      </c>
      <c r="AT240" s="7" t="b">
        <v>0</v>
      </c>
      <c r="AU240" s="40" t="str" cm="1">
        <f t="array" ref="AU240">_xlfn.XLOOKUP(PROPERTIES[[#This Row],[VEHIDCODE]],GRAPHICS_PROPERTIES[VEHIDCODE],GRAPHICS_PROPERTIES[TEMPLATE_ID]&amp;GRAPHICS_PROPERTIES[TEMPLATE_AMENDMENT_CODE])</f>
        <v>TPL_03C</v>
      </c>
    </row>
    <row r="241" spans="1:47" x14ac:dyDescent="0.35">
      <c r="A241" s="2" t="s">
        <v>2877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0" t="str">
        <f>_xlfn.XLOOKUP(PROPERTIES[[#This Row],[VEHIDCODE]],CONTROL[VEHIDCODE],CONTROL[ENGLISH])</f>
        <v>Queensland Railways DL</v>
      </c>
      <c r="F241" t="s">
        <v>541</v>
      </c>
      <c r="G241" s="40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17</v>
      </c>
      <c r="J241">
        <v>0</v>
      </c>
      <c r="K241">
        <v>5</v>
      </c>
      <c r="L241">
        <v>0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3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0">
        <v>31</v>
      </c>
      <c r="AA241" s="19">
        <f>IFERROR(PROPERTIES[[#This Row],[TE_STARTING_KN]]/(PROPERTIES[[#This Row],[WEIGHT]]*9.81),0)</f>
        <v>0.17555782081775964</v>
      </c>
      <c r="AB241" s="19">
        <v>0</v>
      </c>
      <c r="AC241" s="16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6">
        <v>0</v>
      </c>
      <c r="AF241" s="6">
        <v>0</v>
      </c>
      <c r="AG241" t="s">
        <v>232</v>
      </c>
      <c r="AH241" t="s">
        <v>229</v>
      </c>
      <c r="AI241" t="s">
        <v>229</v>
      </c>
      <c r="AJ241" s="2" t="s">
        <v>229</v>
      </c>
      <c r="AK241" s="2" t="s">
        <v>244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44" t="b">
        <v>0</v>
      </c>
      <c r="AP241" s="48" t="b">
        <v>0</v>
      </c>
      <c r="AQ241" s="48" t="b">
        <v>0</v>
      </c>
      <c r="AR241" s="48">
        <v>0</v>
      </c>
      <c r="AS241" s="48" t="b">
        <v>0</v>
      </c>
      <c r="AT241" s="7" t="b">
        <v>0</v>
      </c>
      <c r="AU241" s="40" t="str" cm="1">
        <f t="array" ref="AU241">_xlfn.XLOOKUP(PROPERTIES[[#This Row],[VEHIDCODE]],GRAPHICS_PROPERTIES[VEHIDCODE],GRAPHICS_PROPERTIES[TEMPLATE_ID]&amp;GRAPHICS_PROPERTIES[TEMPLATE_AMENDMENT_CODE])</f>
        <v>TPL_03C</v>
      </c>
    </row>
    <row r="242" spans="1:47" x14ac:dyDescent="0.35">
      <c r="A242" s="2" t="s">
        <v>2878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0" t="str">
        <f>_xlfn.XLOOKUP(PROPERTIES[[#This Row],[VEHIDCODE]],CONTROL[VEHIDCODE],CONTROL[ENGLISH])</f>
        <v>FM H-10-44</v>
      </c>
      <c r="F242" t="s">
        <v>757</v>
      </c>
      <c r="G242" s="40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17</v>
      </c>
      <c r="J242">
        <v>0</v>
      </c>
      <c r="K242">
        <v>6</v>
      </c>
      <c r="L242">
        <v>0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3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0">
        <v>179.9</v>
      </c>
      <c r="AA242" s="19">
        <f>IFERROR(PROPERTIES[[#This Row],[TE_STARTING_KN]]/(PROPERTIES[[#This Row],[WEIGHT]]*9.81),0)</f>
        <v>0.16824247865406017</v>
      </c>
      <c r="AB242" s="19">
        <v>0</v>
      </c>
      <c r="AC242" s="16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6">
        <v>0</v>
      </c>
      <c r="AF242" s="6">
        <v>0</v>
      </c>
      <c r="AG242" t="s">
        <v>235</v>
      </c>
      <c r="AH242" t="s">
        <v>229</v>
      </c>
      <c r="AI242" t="s">
        <v>229</v>
      </c>
      <c r="AJ242" s="2" t="s">
        <v>229</v>
      </c>
      <c r="AK242" s="2" t="s">
        <v>244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44" t="b">
        <v>0</v>
      </c>
      <c r="AP242" s="48" t="b">
        <v>0</v>
      </c>
      <c r="AQ242" s="48" t="b">
        <v>0</v>
      </c>
      <c r="AR242" s="48">
        <v>0</v>
      </c>
      <c r="AS242" s="48" t="b">
        <v>0</v>
      </c>
      <c r="AT242" s="7" t="b">
        <v>0</v>
      </c>
      <c r="AU242" s="40" t="str" cm="1">
        <f t="array" ref="AU242">_xlfn.XLOOKUP(PROPERTIES[[#This Row],[VEHIDCODE]],GRAPHICS_PROPERTIES[VEHIDCODE],GRAPHICS_PROPERTIES[TEMPLATE_ID]&amp;GRAPHICS_PROPERTIES[TEMPLATE_AMENDMENT_CODE])</f>
        <v>TPL_01A</v>
      </c>
    </row>
    <row r="243" spans="1:47" x14ac:dyDescent="0.35">
      <c r="A243" s="2" t="s">
        <v>2879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0" t="str">
        <f>_xlfn.XLOOKUP(PROPERTIES[[#This Row],[VEHIDCODE]],CONTROL[VEHIDCODE],CONTROL[ENGLISH])</f>
        <v>Baldwin DRS6-4-1000</v>
      </c>
      <c r="F243" t="s">
        <v>589</v>
      </c>
      <c r="G243" s="40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17</v>
      </c>
      <c r="J243">
        <v>0</v>
      </c>
      <c r="K243">
        <v>7</v>
      </c>
      <c r="L243">
        <v>0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3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0">
        <v>0</v>
      </c>
      <c r="AA243" s="19">
        <f>IFERROR(PROPERTIES[[#This Row],[TE_STARTING_KN]]/(PROPERTIES[[#This Row],[WEIGHT]]*9.81),0)</f>
        <v>0</v>
      </c>
      <c r="AB243" s="19">
        <v>0.14000000000000001</v>
      </c>
      <c r="AC243" s="16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6">
        <v>0</v>
      </c>
      <c r="AF243" s="6">
        <v>0</v>
      </c>
      <c r="AG243" t="s">
        <v>233</v>
      </c>
      <c r="AH243" t="s">
        <v>229</v>
      </c>
      <c r="AI243" t="s">
        <v>229</v>
      </c>
      <c r="AJ243" s="2" t="s">
        <v>229</v>
      </c>
      <c r="AK243" s="2" t="s">
        <v>244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44" t="b">
        <v>0</v>
      </c>
      <c r="AP243" s="48" t="b">
        <v>0</v>
      </c>
      <c r="AQ243" s="48" t="b">
        <v>0</v>
      </c>
      <c r="AR243" s="48">
        <v>0</v>
      </c>
      <c r="AS243" s="48" t="b">
        <v>0</v>
      </c>
      <c r="AT243" s="7" t="b">
        <v>0</v>
      </c>
      <c r="AU243" s="40" t="str" cm="1">
        <f t="array" ref="AU243">_xlfn.XLOOKUP(PROPERTIES[[#This Row],[VEHIDCODE]],GRAPHICS_PROPERTIES[VEHIDCODE],GRAPHICS_PROPERTIES[TEMPLATE_ID]&amp;GRAPHICS_PROPERTIES[TEMPLATE_AMENDMENT_CODE])</f>
        <v>TPL_01A</v>
      </c>
    </row>
    <row r="244" spans="1:47" x14ac:dyDescent="0.35">
      <c r="A244" s="2" t="s">
        <v>2880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0" t="str">
        <f>_xlfn.XLOOKUP(PROPERTIES[[#This Row],[VEHIDCODE]],CONTROL[VEHIDCODE],CONTROL[ENGLISH])</f>
        <v>CIE 113</v>
      </c>
      <c r="F244" t="s">
        <v>628</v>
      </c>
      <c r="G244" s="40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17</v>
      </c>
      <c r="J244">
        <v>0</v>
      </c>
      <c r="K244">
        <v>8</v>
      </c>
      <c r="L244">
        <v>0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3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0">
        <v>205</v>
      </c>
      <c r="AA244" s="19">
        <f>IFERROR(PROPERTIES[[#This Row],[TE_STARTING_KN]]/(PROPERTIES[[#This Row],[WEIGHT]]*9.81),0)</f>
        <v>0.25798819546695861</v>
      </c>
      <c r="AB244" s="19">
        <v>0</v>
      </c>
      <c r="AC244" s="16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6">
        <v>0</v>
      </c>
      <c r="AF244" s="6">
        <v>0</v>
      </c>
      <c r="AG244" t="s">
        <v>234</v>
      </c>
      <c r="AH244" t="s">
        <v>229</v>
      </c>
      <c r="AI244" t="s">
        <v>229</v>
      </c>
      <c r="AJ244" s="2" t="s">
        <v>229</v>
      </c>
      <c r="AK244" s="2" t="s">
        <v>244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44" t="b">
        <v>0</v>
      </c>
      <c r="AP244" s="48" t="b">
        <v>0</v>
      </c>
      <c r="AQ244" s="48" t="b">
        <v>0</v>
      </c>
      <c r="AR244" s="48">
        <v>0</v>
      </c>
      <c r="AS244" s="48" t="b">
        <v>0</v>
      </c>
      <c r="AT244" s="7" t="b">
        <v>0</v>
      </c>
      <c r="AU244" s="40" t="str" cm="1">
        <f t="array" ref="AU244">_xlfn.XLOOKUP(PROPERTIES[[#This Row],[VEHIDCODE]],GRAPHICS_PROPERTIES[VEHIDCODE],GRAPHICS_PROPERTIES[TEMPLATE_ID]&amp;GRAPHICS_PROPERTIES[TEMPLATE_AMENDMENT_CODE])</f>
        <v>TPL_01A</v>
      </c>
    </row>
    <row r="245" spans="1:47" x14ac:dyDescent="0.35">
      <c r="A245" s="2" t="s">
        <v>2881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0" t="str">
        <f>_xlfn.XLOOKUP(PROPERTIES[[#This Row],[VEHIDCODE]],CONTROL[VEHIDCODE],CONTROL[ENGLISH])</f>
        <v>Baldwin AS-616</v>
      </c>
      <c r="F245" t="s">
        <v>558</v>
      </c>
      <c r="G245" s="40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17</v>
      </c>
      <c r="J245">
        <v>0</v>
      </c>
      <c r="K245">
        <v>8</v>
      </c>
      <c r="L245">
        <v>0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3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0">
        <v>434</v>
      </c>
      <c r="AA245" s="19">
        <f>IFERROR(PROPERTIES[[#This Row],[TE_STARTING_KN]]/(PROPERTIES[[#This Row],[WEIGHT]]*9.81),0)</f>
        <v>0.29892277598699613</v>
      </c>
      <c r="AB245" s="19">
        <v>0</v>
      </c>
      <c r="AC245" s="16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6">
        <v>0</v>
      </c>
      <c r="AF245" s="6">
        <v>0</v>
      </c>
      <c r="AG245" t="s">
        <v>240</v>
      </c>
      <c r="AH245" t="s">
        <v>229</v>
      </c>
      <c r="AI245" t="s">
        <v>229</v>
      </c>
      <c r="AJ245" s="2" t="s">
        <v>229</v>
      </c>
      <c r="AK245" s="2" t="s">
        <v>244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44" t="b">
        <v>0</v>
      </c>
      <c r="AP245" s="48" t="b">
        <v>0</v>
      </c>
      <c r="AQ245" s="48" t="b">
        <v>0</v>
      </c>
      <c r="AR245" s="48">
        <v>0</v>
      </c>
      <c r="AS245" s="48" t="b">
        <v>0</v>
      </c>
      <c r="AT245" s="7" t="b">
        <v>0</v>
      </c>
      <c r="AU245" s="40" t="str" cm="1">
        <f t="array" ref="AU245">_xlfn.XLOOKUP(PROPERTIES[[#This Row],[VEHIDCODE]],GRAPHICS_PROPERTIES[VEHIDCODE],GRAPHICS_PROPERTIES[TEMPLATE_ID]&amp;GRAPHICS_PROPERTIES[TEMPLATE_AMENDMENT_CODE])</f>
        <v>TPL_01A</v>
      </c>
    </row>
    <row r="246" spans="1:47" x14ac:dyDescent="0.35">
      <c r="A246" s="2" t="s">
        <v>2882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0" t="str">
        <f>_xlfn.XLOOKUP(PROPERTIES[[#This Row],[VEHIDCODE]],CONTROL[VEHIDCODE],CONTROL[ENGLISH])</f>
        <v>FM H-16-44</v>
      </c>
      <c r="F246" t="s">
        <v>683</v>
      </c>
      <c r="G246" s="40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17</v>
      </c>
      <c r="J246">
        <v>0</v>
      </c>
      <c r="K246">
        <v>8</v>
      </c>
      <c r="L246">
        <v>0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3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0">
        <v>187.4</v>
      </c>
      <c r="AA246" s="19">
        <f>IFERROR(PROPERTIES[[#This Row],[TE_STARTING_KN]]/(PROPERTIES[[#This Row],[WEIGHT]]*9.81),0)</f>
        <v>0.16905270944403852</v>
      </c>
      <c r="AB246" s="19">
        <v>0</v>
      </c>
      <c r="AC246" s="16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6">
        <v>0</v>
      </c>
      <c r="AF246" s="6">
        <v>0</v>
      </c>
      <c r="AG246" t="s">
        <v>235</v>
      </c>
      <c r="AH246" t="s">
        <v>229</v>
      </c>
      <c r="AI246" t="s">
        <v>229</v>
      </c>
      <c r="AJ246" s="2" t="s">
        <v>229</v>
      </c>
      <c r="AK246" s="2" t="s">
        <v>244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44" t="b">
        <v>0</v>
      </c>
      <c r="AP246" s="48" t="b">
        <v>0</v>
      </c>
      <c r="AQ246" s="48" t="b">
        <v>0</v>
      </c>
      <c r="AR246" s="48">
        <v>0</v>
      </c>
      <c r="AS246" s="48" t="b">
        <v>0</v>
      </c>
      <c r="AT246" s="7" t="b">
        <v>0</v>
      </c>
      <c r="AU246" s="40" t="str" cm="1">
        <f t="array" ref="AU246">_xlfn.XLOOKUP(PROPERTIES[[#This Row],[VEHIDCODE]],GRAPHICS_PROPERTIES[VEHIDCODE],GRAPHICS_PROPERTIES[TEMPLATE_ID]&amp;GRAPHICS_PROPERTIES[TEMPLATE_AMENDMENT_CODE])</f>
        <v>TPL_01A</v>
      </c>
    </row>
    <row r="247" spans="1:47" x14ac:dyDescent="0.35">
      <c r="A247" s="2" t="s">
        <v>2883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0" t="str">
        <f>_xlfn.XLOOKUP(PROPERTIES[[#This Row],[VEHIDCODE]],CONTROL[VEHIDCODE],CONTROL[ENGLISH])</f>
        <v>Islington Railway Workshops SAR 900</v>
      </c>
      <c r="F247" t="s">
        <v>541</v>
      </c>
      <c r="G247" s="40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17</v>
      </c>
      <c r="J247">
        <v>0</v>
      </c>
      <c r="K247">
        <v>8</v>
      </c>
      <c r="L247">
        <v>0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3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0">
        <v>249.1</v>
      </c>
      <c r="AA247" s="19">
        <f>IFERROR(PROPERTIES[[#This Row],[TE_STARTING_KN]]/(PROPERTIES[[#This Row],[WEIGHT]]*9.81),0)</f>
        <v>0.20985501385834998</v>
      </c>
      <c r="AB247" s="19">
        <v>0</v>
      </c>
      <c r="AC247" s="16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6">
        <v>0</v>
      </c>
      <c r="AF247" s="6">
        <v>0</v>
      </c>
      <c r="AG247" t="s">
        <v>232</v>
      </c>
      <c r="AH247" t="s">
        <v>229</v>
      </c>
      <c r="AI247" t="s">
        <v>229</v>
      </c>
      <c r="AJ247" s="2" t="s">
        <v>229</v>
      </c>
      <c r="AK247" s="2" t="s">
        <v>244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44" t="b">
        <v>0</v>
      </c>
      <c r="AP247" s="48" t="b">
        <v>0</v>
      </c>
      <c r="AQ247" s="48" t="b">
        <v>0</v>
      </c>
      <c r="AR247" s="48">
        <v>0</v>
      </c>
      <c r="AS247" s="48" t="b">
        <v>0</v>
      </c>
      <c r="AT247" s="7" t="b">
        <v>0</v>
      </c>
      <c r="AU247" s="40" t="str" cm="1">
        <f t="array" ref="AU247">_xlfn.XLOOKUP(PROPERTIES[[#This Row],[VEHIDCODE]],GRAPHICS_PROPERTIES[VEHIDCODE],GRAPHICS_PROPERTIES[TEMPLATE_ID]&amp;GRAPHICS_PROPERTIES[TEMPLATE_AMENDMENT_CODE])</f>
        <v>TPL_01A</v>
      </c>
    </row>
    <row r="248" spans="1:47" x14ac:dyDescent="0.35">
      <c r="A248" s="2" t="s">
        <v>2884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0" t="str">
        <f>_xlfn.XLOOKUP(PROPERTIES[[#This Row],[VEHIDCODE]],CONTROL[VEHIDCODE],CONTROL[ENGLISH])</f>
        <v>EMD G12</v>
      </c>
      <c r="F248" t="s">
        <v>757</v>
      </c>
      <c r="G248" s="40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17</v>
      </c>
      <c r="J248">
        <v>0</v>
      </c>
      <c r="K248">
        <v>6</v>
      </c>
      <c r="L248">
        <v>0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3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0">
        <v>0</v>
      </c>
      <c r="AA248" s="19">
        <f>IFERROR(PROPERTIES[[#This Row],[TE_STARTING_KN]]/(PROPERTIES[[#This Row],[WEIGHT]]*9.81),0)</f>
        <v>0</v>
      </c>
      <c r="AB248" s="19">
        <v>0.24</v>
      </c>
      <c r="AC248" s="16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6">
        <v>0</v>
      </c>
      <c r="AF248" s="6">
        <v>0</v>
      </c>
      <c r="AG248" t="s">
        <v>1947</v>
      </c>
      <c r="AH248" t="s">
        <v>240</v>
      </c>
      <c r="AI248" t="s">
        <v>233</v>
      </c>
      <c r="AJ248" s="2" t="s">
        <v>1950</v>
      </c>
      <c r="AK248" s="2" t="s">
        <v>244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44" t="b">
        <v>0</v>
      </c>
      <c r="AP248" s="48" t="b">
        <v>0</v>
      </c>
      <c r="AQ248" s="48" t="b">
        <v>0</v>
      </c>
      <c r="AR248" s="48">
        <v>0</v>
      </c>
      <c r="AS248" s="48" t="b">
        <v>0</v>
      </c>
      <c r="AT248" s="7" t="b">
        <v>0</v>
      </c>
      <c r="AU248" s="40" t="str" cm="1">
        <f t="array" ref="AU248">_xlfn.XLOOKUP(PROPERTIES[[#This Row],[VEHIDCODE]],GRAPHICS_PROPERTIES[VEHIDCODE],GRAPHICS_PROPERTIES[TEMPLATE_ID]&amp;GRAPHICS_PROPERTIES[TEMPLATE_AMENDMENT_CODE])</f>
        <v>TPL_01A</v>
      </c>
    </row>
    <row r="249" spans="1:47" x14ac:dyDescent="0.35">
      <c r="A249" s="2" t="s">
        <v>2885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0" t="str">
        <f>_xlfn.XLOOKUP(PROPERTIES[[#This Row],[VEHIDCODE]],CONTROL[VEHIDCODE],CONTROL[ENGLISH])</f>
        <v>Metropolitan-Vickers/CIE 001</v>
      </c>
      <c r="F249" t="s">
        <v>628</v>
      </c>
      <c r="G249" s="40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17</v>
      </c>
      <c r="J249">
        <v>0</v>
      </c>
      <c r="K249">
        <v>7</v>
      </c>
      <c r="L249">
        <v>0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3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0">
        <v>275</v>
      </c>
      <c r="AA249" s="19">
        <f>IFERROR(PROPERTIES[[#This Row],[TE_STARTING_KN]]/(PROPERTIES[[#This Row],[WEIGHT]]*9.81),0)</f>
        <v>0.34186121677730535</v>
      </c>
      <c r="AB249" s="19">
        <v>0</v>
      </c>
      <c r="AC249" s="16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6">
        <v>0</v>
      </c>
      <c r="AF249" s="6">
        <v>0</v>
      </c>
      <c r="AG249" t="s">
        <v>234</v>
      </c>
      <c r="AH249" t="s">
        <v>229</v>
      </c>
      <c r="AI249" t="s">
        <v>229</v>
      </c>
      <c r="AJ249" s="2" t="s">
        <v>229</v>
      </c>
      <c r="AK249" s="2" t="s">
        <v>244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44" t="b">
        <v>0</v>
      </c>
      <c r="AP249" s="48" t="b">
        <v>0</v>
      </c>
      <c r="AQ249" s="48" t="b">
        <v>0</v>
      </c>
      <c r="AR249" s="48">
        <v>0</v>
      </c>
      <c r="AS249" s="48" t="b">
        <v>0</v>
      </c>
      <c r="AT249" s="7" t="b">
        <v>0</v>
      </c>
      <c r="AU249" s="40" t="str" cm="1">
        <f t="array" ref="AU249">_xlfn.XLOOKUP(PROPERTIES[[#This Row],[VEHIDCODE]],GRAPHICS_PROPERTIES[VEHIDCODE],GRAPHICS_PROPERTIES[TEMPLATE_ID]&amp;GRAPHICS_PROPERTIES[TEMPLATE_AMENDMENT_CODE])</f>
        <v>TPL_01A</v>
      </c>
    </row>
    <row r="250" spans="1:47" x14ac:dyDescent="0.35">
      <c r="A250" s="2" t="s">
        <v>2886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0" t="str">
        <f>_xlfn.XLOOKUP(PROPERTIES[[#This Row],[VEHIDCODE]],CONTROL[VEHIDCODE],CONTROL[ENGLISH])</f>
        <v>Fiat Grandi Motori D.341</v>
      </c>
      <c r="F250" t="s">
        <v>636</v>
      </c>
      <c r="G250" s="40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17</v>
      </c>
      <c r="J250">
        <v>0</v>
      </c>
      <c r="K250">
        <v>8</v>
      </c>
      <c r="L250">
        <v>0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3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0">
        <v>0</v>
      </c>
      <c r="AA250" s="19">
        <f>IFERROR(PROPERTIES[[#This Row],[TE_STARTING_KN]]/(PROPERTIES[[#This Row],[WEIGHT]]*9.81),0)</f>
        <v>0</v>
      </c>
      <c r="AB250" s="19">
        <v>0.26</v>
      </c>
      <c r="AC250" s="16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6">
        <v>0</v>
      </c>
      <c r="AF250" s="6">
        <v>0</v>
      </c>
      <c r="AG250" t="s">
        <v>231</v>
      </c>
      <c r="AH250" t="s">
        <v>229</v>
      </c>
      <c r="AI250" t="s">
        <v>229</v>
      </c>
      <c r="AJ250" s="2" t="s">
        <v>229</v>
      </c>
      <c r="AK250" s="2" t="s">
        <v>244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44" t="b">
        <v>0</v>
      </c>
      <c r="AP250" s="48" t="b">
        <v>0</v>
      </c>
      <c r="AQ250" s="48" t="b">
        <v>0</v>
      </c>
      <c r="AR250" s="48">
        <v>0</v>
      </c>
      <c r="AS250" s="48" t="b">
        <v>0</v>
      </c>
      <c r="AT250" s="7" t="b">
        <v>0</v>
      </c>
      <c r="AU250" s="40" t="str" cm="1">
        <f t="array" ref="AU250">_xlfn.XLOOKUP(PROPERTIES[[#This Row],[VEHIDCODE]],GRAPHICS_PROPERTIES[VEHIDCODE],GRAPHICS_PROPERTIES[TEMPLATE_ID]&amp;GRAPHICS_PROPERTIES[TEMPLATE_AMENDMENT_CODE])</f>
        <v>TPL_01A</v>
      </c>
    </row>
    <row r="251" spans="1:47" x14ac:dyDescent="0.35">
      <c r="A251" s="2" t="s">
        <v>2887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0" t="str">
        <f>_xlfn.XLOOKUP(PROPERTIES[[#This Row],[VEHIDCODE]],CONTROL[VEHIDCODE],CONTROL[ENGLISH])</f>
        <v>ALCO/AE Goodwin DL-500B</v>
      </c>
      <c r="F251" t="s">
        <v>541</v>
      </c>
      <c r="G251" s="40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17</v>
      </c>
      <c r="J251">
        <v>0</v>
      </c>
      <c r="K251">
        <v>8</v>
      </c>
      <c r="L251">
        <v>0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3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0">
        <v>254</v>
      </c>
      <c r="AA251" s="19">
        <f>IFERROR(PROPERTIES[[#This Row],[TE_STARTING_KN]]/(PROPERTIES[[#This Row],[WEIGHT]]*9.81),0)</f>
        <v>0.23117809815057522</v>
      </c>
      <c r="AB251" s="19">
        <v>0</v>
      </c>
      <c r="AC251" s="16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6">
        <v>0</v>
      </c>
      <c r="AF251" s="6">
        <v>0</v>
      </c>
      <c r="AG251" t="s">
        <v>232</v>
      </c>
      <c r="AH251" t="s">
        <v>229</v>
      </c>
      <c r="AI251" t="s">
        <v>229</v>
      </c>
      <c r="AJ251" s="2" t="s">
        <v>229</v>
      </c>
      <c r="AK251" s="2" t="s">
        <v>244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44" t="b">
        <v>0</v>
      </c>
      <c r="AP251" s="48" t="b">
        <v>0</v>
      </c>
      <c r="AQ251" s="48" t="b">
        <v>1</v>
      </c>
      <c r="AR251" s="48">
        <v>0</v>
      </c>
      <c r="AS251" s="48" t="b">
        <v>0</v>
      </c>
      <c r="AT251" s="7" t="b">
        <v>1</v>
      </c>
      <c r="AU251" s="40" t="str" cm="1">
        <f t="array" ref="AU251">_xlfn.XLOOKUP(PROPERTIES[[#This Row],[VEHIDCODE]],GRAPHICS_PROPERTIES[VEHIDCODE],GRAPHICS_PROPERTIES[TEMPLATE_ID]&amp;GRAPHICS_PROPERTIES[TEMPLATE_AMENDMENT_CODE])</f>
        <v>TPL_01A</v>
      </c>
    </row>
    <row r="252" spans="1:47" x14ac:dyDescent="0.35">
      <c r="A252" s="2" t="s">
        <v>2888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0" t="str">
        <f>_xlfn.XLOOKUP(PROPERTIES[[#This Row],[VEHIDCODE]],CONTROL[VEHIDCODE],CONTROL[ENGLISH])</f>
        <v>Henschel DH-1420</v>
      </c>
      <c r="F252" t="s">
        <v>773</v>
      </c>
      <c r="G252" s="40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17</v>
      </c>
      <c r="J252">
        <v>0</v>
      </c>
      <c r="K252">
        <v>8</v>
      </c>
      <c r="L252">
        <v>0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3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0">
        <v>197.2</v>
      </c>
      <c r="AA252" s="19">
        <f>IFERROR(PROPERTIES[[#This Row],[TE_STARTING_KN]]/(PROPERTIES[[#This Row],[WEIGHT]]*9.81),0)</f>
        <v>0.26449916841032239</v>
      </c>
      <c r="AB252" s="19">
        <v>0</v>
      </c>
      <c r="AC252" s="16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6">
        <v>0</v>
      </c>
      <c r="AF252" s="6">
        <v>0</v>
      </c>
      <c r="AG252" t="s">
        <v>233</v>
      </c>
      <c r="AH252" t="s">
        <v>229</v>
      </c>
      <c r="AI252" t="s">
        <v>229</v>
      </c>
      <c r="AJ252" s="2" t="s">
        <v>229</v>
      </c>
      <c r="AK252" s="2" t="s">
        <v>244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44" t="b">
        <v>0</v>
      </c>
      <c r="AP252" s="48" t="b">
        <v>0</v>
      </c>
      <c r="AQ252" s="48" t="b">
        <v>0</v>
      </c>
      <c r="AR252" s="48">
        <v>0</v>
      </c>
      <c r="AS252" s="48" t="b">
        <v>0</v>
      </c>
      <c r="AT252" s="7" t="b">
        <v>0</v>
      </c>
      <c r="AU252" s="40" t="str" cm="1">
        <f t="array" ref="AU252">_xlfn.XLOOKUP(PROPERTIES[[#This Row],[VEHIDCODE]],GRAPHICS_PROPERTIES[VEHIDCODE],GRAPHICS_PROPERTIES[TEMPLATE_ID]&amp;GRAPHICS_PROPERTIES[TEMPLATE_AMENDMENT_CODE])</f>
        <v>TPL_01A</v>
      </c>
    </row>
    <row r="253" spans="1:47" x14ac:dyDescent="0.35">
      <c r="A253" s="2" t="s">
        <v>2889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0" t="str">
        <f>_xlfn.XLOOKUP(PROPERTIES[[#This Row],[VEHIDCODE]],CONTROL[VEHIDCODE],CONTROL[ENGLISH])</f>
        <v>EMD SD18</v>
      </c>
      <c r="F253" t="s">
        <v>757</v>
      </c>
      <c r="G253" s="40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17</v>
      </c>
      <c r="J253">
        <v>0</v>
      </c>
      <c r="K253">
        <v>8</v>
      </c>
      <c r="L253">
        <v>0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3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0">
        <v>433</v>
      </c>
      <c r="AA253" s="19">
        <f>IFERROR(PROPERTIES[[#This Row],[TE_STARTING_KN]]/(PROPERTIES[[#This Row],[WEIGHT]]*9.81),0)</f>
        <v>0.2493708138242425</v>
      </c>
      <c r="AB253" s="19">
        <v>0</v>
      </c>
      <c r="AC253" s="16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6">
        <v>0</v>
      </c>
      <c r="AF253" s="6">
        <v>0</v>
      </c>
      <c r="AG253" t="s">
        <v>238</v>
      </c>
      <c r="AH253" t="s">
        <v>240</v>
      </c>
      <c r="AI253" t="s">
        <v>229</v>
      </c>
      <c r="AJ253" s="2" t="s">
        <v>229</v>
      </c>
      <c r="AK253" s="2" t="s">
        <v>244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44" t="b">
        <v>0</v>
      </c>
      <c r="AP253" s="48" t="b">
        <v>0</v>
      </c>
      <c r="AQ253" s="48" t="b">
        <v>0</v>
      </c>
      <c r="AR253" s="48">
        <v>0</v>
      </c>
      <c r="AS253" s="48" t="b">
        <v>0</v>
      </c>
      <c r="AT253" s="7" t="b">
        <v>0</v>
      </c>
      <c r="AU253" s="40" t="str" cm="1">
        <f t="array" ref="AU253">_xlfn.XLOOKUP(PROPERTIES[[#This Row],[VEHIDCODE]],GRAPHICS_PROPERTIES[VEHIDCODE],GRAPHICS_PROPERTIES[TEMPLATE_ID]&amp;GRAPHICS_PROPERTIES[TEMPLATE_AMENDMENT_CODE])</f>
        <v>TPL_01A</v>
      </c>
    </row>
    <row r="254" spans="1:47" x14ac:dyDescent="0.35">
      <c r="A254" s="2" t="s">
        <v>2890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0" t="str">
        <f>_xlfn.XLOOKUP(PROPERTIES[[#This Row],[VEHIDCODE]],CONTROL[VEHIDCODE],CONTROL[ENGLISH])</f>
        <v>Fiat Grandi Motori D.345</v>
      </c>
      <c r="F254" t="s">
        <v>636</v>
      </c>
      <c r="G254" s="40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17</v>
      </c>
      <c r="J254">
        <v>0</v>
      </c>
      <c r="K254">
        <v>8</v>
      </c>
      <c r="L254">
        <v>0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3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0">
        <v>0</v>
      </c>
      <c r="AA254" s="19">
        <f>IFERROR(PROPERTIES[[#This Row],[TE_STARTING_KN]]/(PROPERTIES[[#This Row],[WEIGHT]]*9.81),0)</f>
        <v>0</v>
      </c>
      <c r="AB254" s="19">
        <v>0.3</v>
      </c>
      <c r="AC254" s="16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6">
        <v>0</v>
      </c>
      <c r="AF254" s="6">
        <v>0</v>
      </c>
      <c r="AG254" t="s">
        <v>231</v>
      </c>
      <c r="AH254" t="s">
        <v>229</v>
      </c>
      <c r="AI254" t="s">
        <v>229</v>
      </c>
      <c r="AJ254" s="2" t="s">
        <v>229</v>
      </c>
      <c r="AK254" s="2" t="s">
        <v>244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44" t="b">
        <v>0</v>
      </c>
      <c r="AP254" s="48" t="b">
        <v>0</v>
      </c>
      <c r="AQ254" s="48" t="b">
        <v>0</v>
      </c>
      <c r="AR254" s="48">
        <v>0</v>
      </c>
      <c r="AS254" s="48" t="b">
        <v>0</v>
      </c>
      <c r="AT254" s="7" t="b">
        <v>0</v>
      </c>
      <c r="AU254" s="40" t="str" cm="1">
        <f t="array" ref="AU254">_xlfn.XLOOKUP(PROPERTIES[[#This Row],[VEHIDCODE]],GRAPHICS_PROPERTIES[VEHIDCODE],GRAPHICS_PROPERTIES[TEMPLATE_ID]&amp;GRAPHICS_PROPERTIES[TEMPLATE_AMENDMENT_CODE])</f>
        <v>TPL_01A</v>
      </c>
    </row>
    <row r="255" spans="1:47" x14ac:dyDescent="0.35">
      <c r="A255" s="2" t="s">
        <v>2891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0" t="str">
        <f>_xlfn.XLOOKUP(PROPERTIES[[#This Row],[VEHIDCODE]],CONTROL[VEHIDCODE],CONTROL[ENGLISH])</f>
        <v>Henschel Di4</v>
      </c>
      <c r="F255" t="s">
        <v>693</v>
      </c>
      <c r="G255" s="40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17</v>
      </c>
      <c r="J255">
        <v>0</v>
      </c>
      <c r="K255">
        <v>8</v>
      </c>
      <c r="L255">
        <v>0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3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0">
        <v>360</v>
      </c>
      <c r="AA255" s="19">
        <f>IFERROR(PROPERTIES[[#This Row],[TE_STARTING_KN]]/(PROPERTIES[[#This Row],[WEIGHT]]*9.81),0)</f>
        <v>0.3058103975535168</v>
      </c>
      <c r="AB255" s="19">
        <v>0</v>
      </c>
      <c r="AC255" s="16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6">
        <v>0</v>
      </c>
      <c r="AF255" s="6">
        <v>0</v>
      </c>
      <c r="AG255" t="s">
        <v>234</v>
      </c>
      <c r="AH255" t="s">
        <v>229</v>
      </c>
      <c r="AI255" t="s">
        <v>229</v>
      </c>
      <c r="AJ255" s="2" t="s">
        <v>229</v>
      </c>
      <c r="AK255" s="2" t="s">
        <v>244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44" t="b">
        <v>0</v>
      </c>
      <c r="AP255" s="48" t="b">
        <v>0</v>
      </c>
      <c r="AQ255" s="48" t="b">
        <v>0</v>
      </c>
      <c r="AR255" s="48">
        <v>0</v>
      </c>
      <c r="AS255" s="48" t="b">
        <v>0</v>
      </c>
      <c r="AT255" s="7" t="b">
        <v>0</v>
      </c>
      <c r="AU255" s="40" t="str" cm="1">
        <f t="array" ref="AU255">_xlfn.XLOOKUP(PROPERTIES[[#This Row],[VEHIDCODE]],GRAPHICS_PROPERTIES[VEHIDCODE],GRAPHICS_PROPERTIES[TEMPLATE_ID]&amp;GRAPHICS_PROPERTIES[TEMPLATE_AMENDMENT_CODE])</f>
        <v>TPL_01A</v>
      </c>
    </row>
    <row r="256" spans="1:47" x14ac:dyDescent="0.35">
      <c r="A256" s="2" t="s">
        <v>2892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0" t="str">
        <f>_xlfn.XLOOKUP(PROPERTIES[[#This Row],[VEHIDCODE]],CONTROL[VEHIDCODE],CONTROL[ENGLISH])</f>
        <v>Qishuyan DF8</v>
      </c>
      <c r="F256" t="s">
        <v>575</v>
      </c>
      <c r="G256" s="40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17</v>
      </c>
      <c r="J256">
        <v>0</v>
      </c>
      <c r="K256">
        <v>8</v>
      </c>
      <c r="L256">
        <v>0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3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0">
        <v>480</v>
      </c>
      <c r="AA256" s="19">
        <f>IFERROR(PROPERTIES[[#This Row],[TE_STARTING_KN]]/(PROPERTIES[[#This Row],[WEIGHT]]*9.81),0)</f>
        <v>0.32619775739041795</v>
      </c>
      <c r="AB256" s="19">
        <v>0</v>
      </c>
      <c r="AC256" s="16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6">
        <v>0</v>
      </c>
      <c r="AF256" s="6">
        <v>0</v>
      </c>
      <c r="AG256" t="s">
        <v>238</v>
      </c>
      <c r="AH256" t="s">
        <v>229</v>
      </c>
      <c r="AI256" t="s">
        <v>229</v>
      </c>
      <c r="AJ256" s="2" t="s">
        <v>229</v>
      </c>
      <c r="AK256" s="2" t="s">
        <v>244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44" t="b">
        <v>0</v>
      </c>
      <c r="AP256" s="48" t="b">
        <v>0</v>
      </c>
      <c r="AQ256" s="48" t="b">
        <v>0</v>
      </c>
      <c r="AR256" s="48">
        <v>0</v>
      </c>
      <c r="AS256" s="48" t="b">
        <v>0</v>
      </c>
      <c r="AT256" s="7" t="b">
        <v>0</v>
      </c>
      <c r="AU256" s="40" t="str" cm="1">
        <f t="array" ref="AU256">_xlfn.XLOOKUP(PROPERTIES[[#This Row],[VEHIDCODE]],GRAPHICS_PROPERTIES[VEHIDCODE],GRAPHICS_PROPERTIES[TEMPLATE_ID]&amp;GRAPHICS_PROPERTIES[TEMPLATE_AMENDMENT_CODE])</f>
        <v>TPL_01A</v>
      </c>
    </row>
    <row r="257" spans="1:47" x14ac:dyDescent="0.35">
      <c r="A257" s="2" t="s">
        <v>3451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0" t="str">
        <f>_xlfn.XLOOKUP(PROPERTIES[[#This Row],[VEHIDCODE]],CONTROL[VEHIDCODE],CONTROL[ENGLISH])</f>
        <v>EMD/Clyde JT26C-2SS</v>
      </c>
      <c r="F257" t="s">
        <v>541</v>
      </c>
      <c r="G257" s="40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17</v>
      </c>
      <c r="J257">
        <v>0</v>
      </c>
      <c r="K257">
        <v>8</v>
      </c>
      <c r="L257">
        <v>0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3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0">
        <v>337</v>
      </c>
      <c r="AA257" s="19">
        <f>IFERROR(PROPERTIES[[#This Row],[TE_STARTING_KN]]/(PROPERTIES[[#This Row],[WEIGHT]]*9.81),0)</f>
        <v>0.27049371122187704</v>
      </c>
      <c r="AB257" s="19">
        <v>0</v>
      </c>
      <c r="AC257" s="16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6">
        <v>0</v>
      </c>
      <c r="AF257" s="6">
        <v>0</v>
      </c>
      <c r="AG257" t="s">
        <v>232</v>
      </c>
      <c r="AH257" t="s">
        <v>229</v>
      </c>
      <c r="AI257" t="s">
        <v>229</v>
      </c>
      <c r="AJ257" s="2" t="s">
        <v>229</v>
      </c>
      <c r="AK257" s="2" t="s">
        <v>244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44" t="b">
        <v>0</v>
      </c>
      <c r="AP257" s="48" t="b">
        <v>0</v>
      </c>
      <c r="AQ257" s="48" t="b">
        <v>0</v>
      </c>
      <c r="AR257" s="48">
        <v>0</v>
      </c>
      <c r="AS257" s="48" t="b">
        <v>0</v>
      </c>
      <c r="AT257" s="7" t="b">
        <v>1</v>
      </c>
      <c r="AU257" s="40" t="str" cm="1">
        <f t="array" ref="AU257">_xlfn.XLOOKUP(PROPERTIES[[#This Row],[VEHIDCODE]],GRAPHICS_PROPERTIES[VEHIDCODE],GRAPHICS_PROPERTIES[TEMPLATE_ID]&amp;GRAPHICS_PROPERTIES[TEMPLATE_AMENDMENT_CODE])</f>
        <v>TPL_01A</v>
      </c>
    </row>
    <row r="258" spans="1:47" x14ac:dyDescent="0.35">
      <c r="A258" s="2" t="s">
        <v>2893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0" t="str">
        <f>_xlfn.XLOOKUP(PROPERTIES[[#This Row],[VEHIDCODE]],CONTROL[VEHIDCODE],CONTROL[ENGLISH])</f>
        <v>Brush Class 60</v>
      </c>
      <c r="F258" t="s">
        <v>603</v>
      </c>
      <c r="G258" s="40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17</v>
      </c>
      <c r="J258">
        <v>0</v>
      </c>
      <c r="K258">
        <v>8</v>
      </c>
      <c r="L258">
        <v>0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3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0">
        <v>474</v>
      </c>
      <c r="AA258" s="19">
        <f>IFERROR(PROPERTIES[[#This Row],[TE_STARTING_KN]]/(PROPERTIES[[#This Row],[WEIGHT]]*9.81),0)</f>
        <v>0.37167725241119737</v>
      </c>
      <c r="AB258" s="19">
        <v>0</v>
      </c>
      <c r="AC258" s="16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6">
        <v>0</v>
      </c>
      <c r="AF258" s="6">
        <v>0</v>
      </c>
      <c r="AG258" t="s">
        <v>234</v>
      </c>
      <c r="AH258" t="s">
        <v>229</v>
      </c>
      <c r="AI258" t="s">
        <v>229</v>
      </c>
      <c r="AJ258" s="2" t="s">
        <v>229</v>
      </c>
      <c r="AK258" s="2" t="s">
        <v>244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44" t="b">
        <v>0</v>
      </c>
      <c r="AP258" s="48" t="b">
        <v>0</v>
      </c>
      <c r="AQ258" s="48" t="b">
        <v>0</v>
      </c>
      <c r="AR258" s="48">
        <v>0</v>
      </c>
      <c r="AS258" s="48" t="b">
        <v>0</v>
      </c>
      <c r="AT258" s="7" t="b">
        <v>0</v>
      </c>
      <c r="AU258" s="40" t="str" cm="1">
        <f t="array" ref="AU258">_xlfn.XLOOKUP(PROPERTIES[[#This Row],[VEHIDCODE]],GRAPHICS_PROPERTIES[VEHIDCODE],GRAPHICS_PROPERTIES[TEMPLATE_ID]&amp;GRAPHICS_PROPERTIES[TEMPLATE_AMENDMENT_CODE])</f>
        <v>TPL_01A</v>
      </c>
    </row>
    <row r="259" spans="1:47" x14ac:dyDescent="0.35">
      <c r="A259" s="2" t="s">
        <v>2894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0" t="str">
        <f>_xlfn.XLOOKUP(PROPERTIES[[#This Row],[VEHIDCODE]],CONTROL[VEHIDCODE],CONTROL[ENGLISH])</f>
        <v>GE/Goninan CM25-8</v>
      </c>
      <c r="F259" t="s">
        <v>541</v>
      </c>
      <c r="G259" s="40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17</v>
      </c>
      <c r="J259">
        <v>0</v>
      </c>
      <c r="K259">
        <v>7</v>
      </c>
      <c r="L259">
        <v>0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3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0">
        <v>375</v>
      </c>
      <c r="AA259" s="19">
        <f>IFERROR(PROPERTIES[[#This Row],[TE_STARTING_KN]]/(PROPERTIES[[#This Row],[WEIGHT]]*9.81),0)</f>
        <v>0.38612423933524848</v>
      </c>
      <c r="AB259" s="19">
        <v>0</v>
      </c>
      <c r="AC259" s="16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6">
        <v>0</v>
      </c>
      <c r="AF259" s="6">
        <v>0</v>
      </c>
      <c r="AG259" t="s">
        <v>232</v>
      </c>
      <c r="AH259" t="s">
        <v>229</v>
      </c>
      <c r="AI259" t="s">
        <v>229</v>
      </c>
      <c r="AJ259" s="2" t="s">
        <v>229</v>
      </c>
      <c r="AK259" s="2" t="s">
        <v>244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44" t="b">
        <v>0</v>
      </c>
      <c r="AP259" s="48" t="b">
        <v>0</v>
      </c>
      <c r="AQ259" s="48" t="b">
        <v>0</v>
      </c>
      <c r="AR259" s="48">
        <v>0</v>
      </c>
      <c r="AS259" s="48" t="b">
        <v>0</v>
      </c>
      <c r="AT259" s="7" t="b">
        <v>0</v>
      </c>
      <c r="AU259" s="40" t="str" cm="1">
        <f t="array" ref="AU259">_xlfn.XLOOKUP(PROPERTIES[[#This Row],[VEHIDCODE]],GRAPHICS_PROPERTIES[VEHIDCODE],GRAPHICS_PROPERTIES[TEMPLATE_ID]&amp;GRAPHICS_PROPERTIES[TEMPLATE_AMENDMENT_CODE])</f>
        <v>TPL_01A</v>
      </c>
    </row>
    <row r="260" spans="1:47" x14ac:dyDescent="0.35">
      <c r="A260" s="2" t="s">
        <v>2895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0" t="str">
        <f>_xlfn.XLOOKUP(PROPERTIES[[#This Row],[VEHIDCODE]],CONTROL[VEHIDCODE],CONTROL[ENGLISH])</f>
        <v>EMD SD70ACS</v>
      </c>
      <c r="F260" t="s">
        <v>718</v>
      </c>
      <c r="G260" s="40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17</v>
      </c>
      <c r="J260">
        <v>0</v>
      </c>
      <c r="K260">
        <v>8</v>
      </c>
      <c r="L260">
        <v>0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3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0">
        <v>850</v>
      </c>
      <c r="AA260" s="19">
        <f>IFERROR(PROPERTIES[[#This Row],[TE_STARTING_KN]]/(PROPERTIES[[#This Row],[WEIGHT]]*9.81),0)</f>
        <v>0.509683995922528</v>
      </c>
      <c r="AB260" s="19">
        <v>0</v>
      </c>
      <c r="AC260" s="16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6">
        <v>0</v>
      </c>
      <c r="AF260" s="6">
        <v>0</v>
      </c>
      <c r="AG260" t="s">
        <v>238</v>
      </c>
      <c r="AH260" t="s">
        <v>229</v>
      </c>
      <c r="AI260" t="s">
        <v>229</v>
      </c>
      <c r="AJ260" s="2" t="s">
        <v>229</v>
      </c>
      <c r="AK260" s="2" t="s">
        <v>244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44" t="b">
        <v>0</v>
      </c>
      <c r="AP260" s="48" t="b">
        <v>0</v>
      </c>
      <c r="AQ260" s="48" t="b">
        <v>1</v>
      </c>
      <c r="AR260" s="48">
        <v>0</v>
      </c>
      <c r="AS260" s="48" t="b">
        <v>0</v>
      </c>
      <c r="AT260" s="7" t="b">
        <v>1</v>
      </c>
      <c r="AU260" s="40" t="str" cm="1">
        <f t="array" ref="AU260">_xlfn.XLOOKUP(PROPERTIES[[#This Row],[VEHIDCODE]],GRAPHICS_PROPERTIES[VEHIDCODE],GRAPHICS_PROPERTIES[TEMPLATE_ID]&amp;GRAPHICS_PROPERTIES[TEMPLATE_AMENDMENT_CODE])</f>
        <v>TPL_01A</v>
      </c>
    </row>
    <row r="261" spans="1:47" x14ac:dyDescent="0.35">
      <c r="A261" s="2" t="s">
        <v>2896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0" t="str">
        <f>_xlfn.XLOOKUP(PROPERTIES[[#This Row],[VEHIDCODE]],CONTROL[VEHIDCODE],CONTROL[ENGLISH])</f>
        <v>GMD JT42HCW</v>
      </c>
      <c r="F261" t="s">
        <v>628</v>
      </c>
      <c r="G261" s="40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17</v>
      </c>
      <c r="J261">
        <v>0</v>
      </c>
      <c r="K261">
        <v>8</v>
      </c>
      <c r="L261">
        <v>0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3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0">
        <v>190</v>
      </c>
      <c r="AA261" s="19">
        <f>IFERROR(PROPERTIES[[#This Row],[TE_STARTING_KN]]/(PROPERTIES[[#This Row],[WEIGHT]]*9.81),0)</f>
        <v>0.172928498616572</v>
      </c>
      <c r="AB261" s="19">
        <v>0</v>
      </c>
      <c r="AC261" s="16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6">
        <v>0</v>
      </c>
      <c r="AF261" s="6">
        <v>0</v>
      </c>
      <c r="AG261" t="s">
        <v>234</v>
      </c>
      <c r="AH261" t="s">
        <v>229</v>
      </c>
      <c r="AI261" t="s">
        <v>229</v>
      </c>
      <c r="AJ261" s="2" t="s">
        <v>229</v>
      </c>
      <c r="AK261" s="2" t="s">
        <v>244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44" t="b">
        <v>0</v>
      </c>
      <c r="AP261" s="48" t="b">
        <v>0</v>
      </c>
      <c r="AQ261" s="48" t="b">
        <v>0</v>
      </c>
      <c r="AR261" s="48">
        <v>0</v>
      </c>
      <c r="AS261" s="48" t="b">
        <v>0</v>
      </c>
      <c r="AT261" s="7" t="b">
        <v>0</v>
      </c>
      <c r="AU261" s="40" t="str" cm="1">
        <f t="array" ref="AU261">_xlfn.XLOOKUP(PROPERTIES[[#This Row],[VEHIDCODE]],GRAPHICS_PROPERTIES[VEHIDCODE],GRAPHICS_PROPERTIES[TEMPLATE_ID]&amp;GRAPHICS_PROPERTIES[TEMPLATE_AMENDMENT_CODE])</f>
        <v>TPL_01A</v>
      </c>
    </row>
    <row r="262" spans="1:47" x14ac:dyDescent="0.35">
      <c r="A262" s="2" t="s">
        <v>2897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0" t="str">
        <f>_xlfn.XLOOKUP(PROPERTIES[[#This Row],[VEHIDCODE]],CONTROL[VEHIDCODE],CONTROL[ENGLISH])</f>
        <v>EMD F59PH</v>
      </c>
      <c r="F262" t="s">
        <v>757</v>
      </c>
      <c r="G262" s="40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17</v>
      </c>
      <c r="J262">
        <v>0</v>
      </c>
      <c r="K262">
        <v>8</v>
      </c>
      <c r="L262">
        <v>0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3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0">
        <v>0</v>
      </c>
      <c r="AA262" s="19">
        <f>IFERROR(PROPERTIES[[#This Row],[TE_STARTING_KN]]/(PROPERTIES[[#This Row],[WEIGHT]]*9.81),0)</f>
        <v>0</v>
      </c>
      <c r="AB262" s="19">
        <v>0.22</v>
      </c>
      <c r="AC262" s="16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6">
        <v>0</v>
      </c>
      <c r="AF262" s="6">
        <v>0</v>
      </c>
      <c r="AG262" t="s">
        <v>235</v>
      </c>
      <c r="AH262" t="s">
        <v>229</v>
      </c>
      <c r="AI262" t="s">
        <v>229</v>
      </c>
      <c r="AJ262" s="2" t="s">
        <v>229</v>
      </c>
      <c r="AK262" s="2" t="s">
        <v>244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44" t="b">
        <v>0</v>
      </c>
      <c r="AP262" s="48" t="b">
        <v>0</v>
      </c>
      <c r="AQ262" s="48" t="b">
        <v>0</v>
      </c>
      <c r="AR262" s="48">
        <v>0</v>
      </c>
      <c r="AS262" s="48" t="b">
        <v>0</v>
      </c>
      <c r="AT262" s="7" t="b">
        <v>0</v>
      </c>
      <c r="AU262" s="40" t="str" cm="1">
        <f t="array" ref="AU262">_xlfn.XLOOKUP(PROPERTIES[[#This Row],[VEHIDCODE]],GRAPHICS_PROPERTIES[VEHIDCODE],GRAPHICS_PROPERTIES[TEMPLATE_ID]&amp;GRAPHICS_PROPERTIES[TEMPLATE_AMENDMENT_CODE])</f>
        <v>TPL_01A</v>
      </c>
    </row>
    <row r="263" spans="1:47" x14ac:dyDescent="0.35">
      <c r="A263" s="2" t="s">
        <v>2898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0" t="str">
        <f>_xlfn.XLOOKUP(PROPERTIES[[#This Row],[VEHIDCODE]],CONTROL[VEHIDCODE],CONTROL[ENGLISH])</f>
        <v>MaK/Vossloh G1206</v>
      </c>
      <c r="F263" t="s">
        <v>602</v>
      </c>
      <c r="G263" s="40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17</v>
      </c>
      <c r="J263">
        <v>0</v>
      </c>
      <c r="K263">
        <v>7</v>
      </c>
      <c r="L263">
        <v>0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3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0">
        <v>0</v>
      </c>
      <c r="AA263" s="19">
        <f>IFERROR(PROPERTIES[[#This Row],[TE_STARTING_KN]]/(PROPERTIES[[#This Row],[WEIGHT]]*9.81),0)</f>
        <v>0</v>
      </c>
      <c r="AB263" s="19">
        <v>0.33</v>
      </c>
      <c r="AC263" s="16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6">
        <v>0</v>
      </c>
      <c r="AF263" s="6">
        <v>0</v>
      </c>
      <c r="AG263" t="s">
        <v>230</v>
      </c>
      <c r="AH263" t="s">
        <v>229</v>
      </c>
      <c r="AI263" t="s">
        <v>229</v>
      </c>
      <c r="AJ263" s="2" t="s">
        <v>229</v>
      </c>
      <c r="AK263" s="2" t="s">
        <v>244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44" t="b">
        <v>0</v>
      </c>
      <c r="AP263" s="48" t="b">
        <v>0</v>
      </c>
      <c r="AQ263" s="48" t="b">
        <v>0</v>
      </c>
      <c r="AR263" s="48">
        <v>0</v>
      </c>
      <c r="AS263" s="48" t="b">
        <v>0</v>
      </c>
      <c r="AT263" s="7" t="b">
        <v>0</v>
      </c>
      <c r="AU263" s="40" t="str" cm="1">
        <f t="array" ref="AU263">_xlfn.XLOOKUP(PROPERTIES[[#This Row],[VEHIDCODE]],GRAPHICS_PROPERTIES[VEHIDCODE],GRAPHICS_PROPERTIES[TEMPLATE_ID]&amp;GRAPHICS_PROPERTIES[TEMPLATE_AMENDMENT_CODE])</f>
        <v>TPL_01A</v>
      </c>
    </row>
    <row r="264" spans="1:47" x14ac:dyDescent="0.35">
      <c r="A264" s="2" t="s">
        <v>2899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0" t="str">
        <f>_xlfn.XLOOKUP(PROPERTIES[[#This Row],[VEHIDCODE]],CONTROL[VEHIDCODE],CONTROL[ENGLISH])</f>
        <v>Vossloh G 2000 BB</v>
      </c>
      <c r="F264" t="s">
        <v>636</v>
      </c>
      <c r="G264" s="40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17</v>
      </c>
      <c r="J264">
        <v>0</v>
      </c>
      <c r="K264">
        <v>7</v>
      </c>
      <c r="L264">
        <v>0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3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0">
        <v>275</v>
      </c>
      <c r="AA264" s="19">
        <f>IFERROR(PROPERTIES[[#This Row],[TE_STARTING_KN]]/(PROPERTIES[[#This Row],[WEIGHT]]*9.81),0)</f>
        <v>0.31497325590718023</v>
      </c>
      <c r="AB264" s="19">
        <v>0</v>
      </c>
      <c r="AC264" s="16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6">
        <v>0</v>
      </c>
      <c r="AF264" s="6">
        <v>0</v>
      </c>
      <c r="AG264" t="s">
        <v>231</v>
      </c>
      <c r="AH264" t="s">
        <v>229</v>
      </c>
      <c r="AI264" t="s">
        <v>229</v>
      </c>
      <c r="AJ264" s="2" t="s">
        <v>229</v>
      </c>
      <c r="AK264" s="2" t="s">
        <v>244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44" t="b">
        <v>0</v>
      </c>
      <c r="AP264" s="48" t="b">
        <v>0</v>
      </c>
      <c r="AQ264" s="48" t="b">
        <v>0</v>
      </c>
      <c r="AR264" s="48">
        <v>0</v>
      </c>
      <c r="AS264" s="48" t="b">
        <v>0</v>
      </c>
      <c r="AT264" s="7" t="b">
        <v>0</v>
      </c>
      <c r="AU264" s="40" t="str" cm="1">
        <f t="array" ref="AU264">_xlfn.XLOOKUP(PROPERTIES[[#This Row],[VEHIDCODE]],GRAPHICS_PROPERTIES[VEHIDCODE],GRAPHICS_PROPERTIES[TEMPLATE_ID]&amp;GRAPHICS_PROPERTIES[TEMPLATE_AMENDMENT_CODE])</f>
        <v>TPL_01A</v>
      </c>
    </row>
    <row r="265" spans="1:47" x14ac:dyDescent="0.35">
      <c r="A265" s="2" t="s">
        <v>2900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0" t="str">
        <f>_xlfn.XLOOKUP(PROPERTIES[[#This Row],[VEHIDCODE]],CONTROL[VEHIDCODE],CONTROL[ENGLISH])</f>
        <v>MPI MP40PH-3C</v>
      </c>
      <c r="F265" t="s">
        <v>565</v>
      </c>
      <c r="G265" s="40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17</v>
      </c>
      <c r="J265">
        <v>0</v>
      </c>
      <c r="K265">
        <v>8</v>
      </c>
      <c r="L265">
        <v>0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3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0">
        <v>380</v>
      </c>
      <c r="AA265" s="19">
        <f>IFERROR(PROPERTIES[[#This Row],[TE_STARTING_KN]]/(PROPERTIES[[#This Row],[WEIGHT]]*9.81),0)</f>
        <v>0.28907450515009053</v>
      </c>
      <c r="AB265" s="19">
        <v>0</v>
      </c>
      <c r="AC265" s="16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6">
        <v>0</v>
      </c>
      <c r="AF265" s="6">
        <v>0</v>
      </c>
      <c r="AG265" t="s">
        <v>235</v>
      </c>
      <c r="AH265" t="s">
        <v>229</v>
      </c>
      <c r="AI265" t="s">
        <v>229</v>
      </c>
      <c r="AJ265" s="2" t="s">
        <v>229</v>
      </c>
      <c r="AK265" s="2" t="s">
        <v>244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44" t="b">
        <v>0</v>
      </c>
      <c r="AP265" s="48" t="b">
        <v>0</v>
      </c>
      <c r="AQ265" s="48" t="b">
        <v>0</v>
      </c>
      <c r="AR265" s="48">
        <v>0</v>
      </c>
      <c r="AS265" s="48" t="b">
        <v>0</v>
      </c>
      <c r="AT265" s="7" t="b">
        <v>0</v>
      </c>
      <c r="AU265" s="40" t="str" cm="1">
        <f t="array" ref="AU265">_xlfn.XLOOKUP(PROPERTIES[[#This Row],[VEHIDCODE]],GRAPHICS_PROPERTIES[VEHIDCODE],GRAPHICS_PROPERTIES[TEMPLATE_ID]&amp;GRAPHICS_PROPERTIES[TEMPLATE_AMENDMENT_CODE])</f>
        <v>TPL_01A</v>
      </c>
    </row>
    <row r="266" spans="1:47" x14ac:dyDescent="0.35">
      <c r="A266" s="2" t="s">
        <v>3470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0" t="str">
        <f>_xlfn.XLOOKUP(PROPERTIES[[#This Row],[VEHIDCODE]],CONTROL[VEHIDCODE],CONTROL[ENGLISH])</f>
        <v>Vossloh Espana/EMD 334</v>
      </c>
      <c r="F266" t="s">
        <v>595</v>
      </c>
      <c r="G266" s="40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17</v>
      </c>
      <c r="J266">
        <v>0</v>
      </c>
      <c r="K266">
        <v>8</v>
      </c>
      <c r="L266">
        <v>0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3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0">
        <v>178</v>
      </c>
      <c r="AA266" s="19">
        <f>IFERROR(PROPERTIES[[#This Row],[TE_STARTING_KN]]/(PROPERTIES[[#This Row],[WEIGHT]]*9.81),0)</f>
        <v>0.22680937818552496</v>
      </c>
      <c r="AB266" s="19">
        <v>0</v>
      </c>
      <c r="AC266" s="16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6">
        <v>0</v>
      </c>
      <c r="AF266" s="6">
        <v>0</v>
      </c>
      <c r="AG266" t="s">
        <v>231</v>
      </c>
      <c r="AH266" t="s">
        <v>229</v>
      </c>
      <c r="AI266" t="s">
        <v>229</v>
      </c>
      <c r="AJ266" s="2" t="s">
        <v>229</v>
      </c>
      <c r="AK266" s="2" t="s">
        <v>244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44" t="b">
        <v>0</v>
      </c>
      <c r="AP266" s="48" t="b">
        <v>0</v>
      </c>
      <c r="AQ266" s="48" t="b">
        <v>0</v>
      </c>
      <c r="AR266" s="48">
        <v>0</v>
      </c>
      <c r="AS266" s="48" t="b">
        <v>0</v>
      </c>
      <c r="AT266" s="7" t="b">
        <v>0</v>
      </c>
      <c r="AU266" s="40" t="str" cm="1">
        <f t="array" ref="AU266">_xlfn.XLOOKUP(PROPERTIES[[#This Row],[VEHIDCODE]],GRAPHICS_PROPERTIES[VEHIDCODE],GRAPHICS_PROPERTIES[TEMPLATE_ID]&amp;GRAPHICS_PROPERTIES[TEMPLATE_AMENDMENT_CODE])</f>
        <v>TPL_01A</v>
      </c>
    </row>
    <row r="267" spans="1:47" x14ac:dyDescent="0.35">
      <c r="A267" s="2" t="s">
        <v>2901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0" t="str">
        <f>_xlfn.XLOOKUP(PROPERTIES[[#This Row],[VEHIDCODE]],CONTROL[VEHIDCODE],CONTROL[ENGLISH])</f>
        <v>INKA CC300</v>
      </c>
      <c r="F267" t="s">
        <v>627</v>
      </c>
      <c r="G267" s="40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17</v>
      </c>
      <c r="J267">
        <v>0</v>
      </c>
      <c r="K267">
        <v>8</v>
      </c>
      <c r="L267">
        <v>0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3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0">
        <v>270</v>
      </c>
      <c r="AA267" s="19">
        <f>IFERROR(PROPERTIES[[#This Row],[TE_STARTING_KN]]/(PROPERTIES[[#This Row],[WEIGHT]]*9.81),0)</f>
        <v>0.36214389183969092</v>
      </c>
      <c r="AB267" s="19">
        <v>0</v>
      </c>
      <c r="AC267" s="16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6">
        <v>0</v>
      </c>
      <c r="AF267" s="6">
        <v>0</v>
      </c>
      <c r="AG267" t="s">
        <v>232</v>
      </c>
      <c r="AH267" t="s">
        <v>229</v>
      </c>
      <c r="AI267" t="s">
        <v>229</v>
      </c>
      <c r="AJ267" s="2" t="s">
        <v>229</v>
      </c>
      <c r="AK267" s="2" t="s">
        <v>244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44" t="b">
        <v>0</v>
      </c>
      <c r="AP267" s="48" t="b">
        <v>0</v>
      </c>
      <c r="AQ267" s="48" t="b">
        <v>0</v>
      </c>
      <c r="AR267" s="48">
        <v>0</v>
      </c>
      <c r="AS267" s="48" t="b">
        <v>0</v>
      </c>
      <c r="AT267" s="7" t="b">
        <v>0</v>
      </c>
      <c r="AU267" s="40" t="str" cm="1">
        <f t="array" ref="AU267">_xlfn.XLOOKUP(PROPERTIES[[#This Row],[VEHIDCODE]],GRAPHICS_PROPERTIES[VEHIDCODE],GRAPHICS_PROPERTIES[TEMPLATE_ID]&amp;GRAPHICS_PROPERTIES[TEMPLATE_AMENDMENT_CODE])</f>
        <v>TPL_01A</v>
      </c>
    </row>
    <row r="268" spans="1:47" x14ac:dyDescent="0.35">
      <c r="A268" s="2" t="s">
        <v>2902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0" t="str">
        <f>_xlfn.XLOOKUP(PROPERTIES[[#This Row],[VEHIDCODE]],CONTROL[VEHIDCODE],CONTROL[ENGLISH])</f>
        <v>Great Southern Railway DH501</v>
      </c>
      <c r="F268" t="s">
        <v>538</v>
      </c>
      <c r="G268" s="40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17</v>
      </c>
      <c r="J268">
        <v>0</v>
      </c>
      <c r="K268">
        <v>6</v>
      </c>
      <c r="L268">
        <v>0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3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0">
        <v>200</v>
      </c>
      <c r="AA268" s="19">
        <f>IFERROR(PROPERTIES[[#This Row],[TE_STARTING_KN]]/(PROPERTIES[[#This Row],[WEIGHT]]*9.81),0)</f>
        <v>0.13775243133041298</v>
      </c>
      <c r="AB268" s="19">
        <v>0</v>
      </c>
      <c r="AC268" s="16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6">
        <v>0</v>
      </c>
      <c r="AF268" s="6">
        <v>0</v>
      </c>
      <c r="AG268" t="s">
        <v>237</v>
      </c>
      <c r="AH268" t="s">
        <v>229</v>
      </c>
      <c r="AI268" t="s">
        <v>229</v>
      </c>
      <c r="AJ268" s="2" t="s">
        <v>229</v>
      </c>
      <c r="AK268" s="2" t="s">
        <v>244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44" t="b">
        <v>0</v>
      </c>
      <c r="AP268" s="48" t="b">
        <v>0</v>
      </c>
      <c r="AQ268" s="48" t="b">
        <v>0</v>
      </c>
      <c r="AR268" s="48">
        <v>0</v>
      </c>
      <c r="AS268" s="48" t="b">
        <v>0</v>
      </c>
      <c r="AT268" s="7" t="b">
        <v>0</v>
      </c>
      <c r="AU268" s="40" t="str" cm="1">
        <f t="array" ref="AU268">_xlfn.XLOOKUP(PROPERTIES[[#This Row],[VEHIDCODE]],GRAPHICS_PROPERTIES[VEHIDCODE],GRAPHICS_PROPERTIES[TEMPLATE_ID]&amp;GRAPHICS_PROPERTIES[TEMPLATE_AMENDMENT_CODE])</f>
        <v>TPL_03C</v>
      </c>
    </row>
    <row r="269" spans="1:47" x14ac:dyDescent="0.35">
      <c r="A269" s="2" t="s">
        <v>2903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0" t="str">
        <f>_xlfn.XLOOKUP(PROPERTIES[[#This Row],[VEHIDCODE]],CONTROL[VEHIDCODE],CONTROL[ENGLISH])</f>
        <v>EE VFFLB</v>
      </c>
      <c r="F269" t="s">
        <v>558</v>
      </c>
      <c r="G269" s="40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17</v>
      </c>
      <c r="J269">
        <v>0</v>
      </c>
      <c r="K269">
        <v>4</v>
      </c>
      <c r="L269">
        <v>0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3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0">
        <v>0</v>
      </c>
      <c r="AA269" s="19">
        <f>IFERROR(PROPERTIES[[#This Row],[TE_STARTING_KN]]/(PROPERTIES[[#This Row],[WEIGHT]]*9.81),0)</f>
        <v>0</v>
      </c>
      <c r="AB269" s="19">
        <v>0.22</v>
      </c>
      <c r="AC269" s="16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6">
        <v>0</v>
      </c>
      <c r="AF269" s="6">
        <v>0</v>
      </c>
      <c r="AG269" t="s">
        <v>237</v>
      </c>
      <c r="AH269" t="s">
        <v>229</v>
      </c>
      <c r="AI269" t="s">
        <v>229</v>
      </c>
      <c r="AJ269" s="2" t="s">
        <v>229</v>
      </c>
      <c r="AK269" s="2" t="s">
        <v>244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44" t="b">
        <v>0</v>
      </c>
      <c r="AP269" s="48" t="b">
        <v>0</v>
      </c>
      <c r="AQ269" s="48" t="b">
        <v>0</v>
      </c>
      <c r="AR269" s="48">
        <v>0</v>
      </c>
      <c r="AS269" s="48" t="b">
        <v>0</v>
      </c>
      <c r="AT269" s="7" t="b">
        <v>0</v>
      </c>
      <c r="AU269" s="40" t="str" cm="1">
        <f t="array" ref="AU269">_xlfn.XLOOKUP(PROPERTIES[[#This Row],[VEHIDCODE]],GRAPHICS_PROPERTIES[VEHIDCODE],GRAPHICS_PROPERTIES[TEMPLATE_ID]&amp;GRAPHICS_PROPERTIES[TEMPLATE_AMENDMENT_CODE])</f>
        <v>TPL_01A</v>
      </c>
    </row>
    <row r="270" spans="1:47" x14ac:dyDescent="0.35">
      <c r="A270" s="2" t="s">
        <v>2904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0" t="str">
        <f>_xlfn.XLOOKUP(PROPERTIES[[#This Row],[VEHIDCODE]],CONTROL[VEHIDCODE],CONTROL[ENGLISH])</f>
        <v>GE U5B</v>
      </c>
      <c r="F270" t="s">
        <v>573</v>
      </c>
      <c r="G270" s="40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17</v>
      </c>
      <c r="J270">
        <v>0</v>
      </c>
      <c r="K270">
        <v>5</v>
      </c>
      <c r="L270">
        <v>0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3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0">
        <v>138</v>
      </c>
      <c r="AA270" s="19">
        <f>IFERROR(PROPERTIES[[#This Row],[TE_STARTING_KN]]/(PROPERTIES[[#This Row],[WEIGHT]]*9.81),0)</f>
        <v>0.26050515347151432</v>
      </c>
      <c r="AB270" s="19">
        <v>0</v>
      </c>
      <c r="AC270" s="16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6">
        <v>0</v>
      </c>
      <c r="AF270" s="6">
        <v>0</v>
      </c>
      <c r="AG270" t="s">
        <v>237</v>
      </c>
      <c r="AH270" t="s">
        <v>233</v>
      </c>
      <c r="AI270" t="s">
        <v>229</v>
      </c>
      <c r="AJ270" s="2" t="s">
        <v>229</v>
      </c>
      <c r="AK270" s="2" t="s">
        <v>244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44" t="b">
        <v>0</v>
      </c>
      <c r="AP270" s="48" t="b">
        <v>0</v>
      </c>
      <c r="AQ270" s="48" t="b">
        <v>0</v>
      </c>
      <c r="AR270" s="48">
        <v>0</v>
      </c>
      <c r="AS270" s="48" t="b">
        <v>0</v>
      </c>
      <c r="AT270" s="7" t="b">
        <v>0</v>
      </c>
      <c r="AU270" s="40" t="str" cm="1">
        <f t="array" ref="AU270">_xlfn.XLOOKUP(PROPERTIES[[#This Row],[VEHIDCODE]],GRAPHICS_PROPERTIES[VEHIDCODE],GRAPHICS_PROPERTIES[TEMPLATE_ID]&amp;GRAPHICS_PROPERTIES[TEMPLATE_AMENDMENT_CODE])</f>
        <v>TPL_01A</v>
      </c>
    </row>
    <row r="271" spans="1:47" x14ac:dyDescent="0.35">
      <c r="A271" s="2" t="s">
        <v>2905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0" t="str">
        <f>_xlfn.XLOOKUP(PROPERTIES[[#This Row],[VEHIDCODE]],CONTROL[VEHIDCODE],CONTROL[ENGLISH])</f>
        <v>ALCO RSD-39</v>
      </c>
      <c r="F271" t="s">
        <v>700</v>
      </c>
      <c r="G271" s="40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17</v>
      </c>
      <c r="J271">
        <v>0</v>
      </c>
      <c r="K271">
        <v>6</v>
      </c>
      <c r="L271">
        <v>0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3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0">
        <v>0</v>
      </c>
      <c r="AA271" s="19">
        <f>IFERROR(PROPERTIES[[#This Row],[TE_STARTING_KN]]/(PROPERTIES[[#This Row],[WEIGHT]]*9.81),0)</f>
        <v>0</v>
      </c>
      <c r="AB271" s="19">
        <v>0.17</v>
      </c>
      <c r="AC271" s="16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6">
        <v>0</v>
      </c>
      <c r="AF271" s="6">
        <v>0</v>
      </c>
      <c r="AG271" t="s">
        <v>237</v>
      </c>
      <c r="AH271" t="s">
        <v>231</v>
      </c>
      <c r="AI271" t="s">
        <v>229</v>
      </c>
      <c r="AJ271" s="2" t="s">
        <v>229</v>
      </c>
      <c r="AK271" s="2" t="s">
        <v>244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44" t="b">
        <v>0</v>
      </c>
      <c r="AP271" s="48" t="b">
        <v>0</v>
      </c>
      <c r="AQ271" s="48" t="b">
        <v>0</v>
      </c>
      <c r="AR271" s="48">
        <v>0</v>
      </c>
      <c r="AS271" s="48" t="b">
        <v>0</v>
      </c>
      <c r="AT271" s="7" t="b">
        <v>0</v>
      </c>
      <c r="AU271" s="40" t="str" cm="1">
        <f t="array" ref="AU271">_xlfn.XLOOKUP(PROPERTIES[[#This Row],[VEHIDCODE]],GRAPHICS_PROPERTIES[VEHIDCODE],GRAPHICS_PROPERTIES[TEMPLATE_ID]&amp;GRAPHICS_PROPERTIES[TEMPLATE_AMENDMENT_CODE])</f>
        <v>TPL_01A</v>
      </c>
    </row>
    <row r="272" spans="1:47" x14ac:dyDescent="0.35">
      <c r="A272" s="2" t="s">
        <v>2906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0" t="str">
        <f>_xlfn.XLOOKUP(PROPERTIES[[#This Row],[VEHIDCODE]],CONTROL[VEHIDCODE],CONTROL[ENGLISH])</f>
        <v>EMD DDM45</v>
      </c>
      <c r="F272" t="s">
        <v>558</v>
      </c>
      <c r="G272" s="40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17</v>
      </c>
      <c r="J272">
        <v>0</v>
      </c>
      <c r="K272">
        <v>8</v>
      </c>
      <c r="L272">
        <v>0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3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0">
        <v>388.9</v>
      </c>
      <c r="AA272" s="19">
        <f>IFERROR(PROPERTIES[[#This Row],[TE_STARTING_KN]]/(PROPERTIES[[#This Row],[WEIGHT]]*9.81),0)</f>
        <v>0.24471124199292732</v>
      </c>
      <c r="AB272" s="19">
        <v>0</v>
      </c>
      <c r="AC272" s="16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6">
        <v>0</v>
      </c>
      <c r="AF272" s="6">
        <v>0</v>
      </c>
      <c r="AG272" t="s">
        <v>237</v>
      </c>
      <c r="AH272" t="s">
        <v>229</v>
      </c>
      <c r="AI272" t="s">
        <v>229</v>
      </c>
      <c r="AJ272" s="2" t="s">
        <v>229</v>
      </c>
      <c r="AK272" s="2" t="s">
        <v>244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44" t="b">
        <v>0</v>
      </c>
      <c r="AP272" s="48" t="b">
        <v>0</v>
      </c>
      <c r="AQ272" s="48" t="b">
        <v>0</v>
      </c>
      <c r="AR272" s="48">
        <v>0</v>
      </c>
      <c r="AS272" s="48" t="b">
        <v>0</v>
      </c>
      <c r="AT272" s="7" t="b">
        <v>0</v>
      </c>
      <c r="AU272" s="40" t="str" cm="1">
        <f t="array" ref="AU272">_xlfn.XLOOKUP(PROPERTIES[[#This Row],[VEHIDCODE]],GRAPHICS_PROPERTIES[VEHIDCODE],GRAPHICS_PROPERTIES[TEMPLATE_ID]&amp;GRAPHICS_PROPERTIES[TEMPLATE_AMENDMENT_CODE])</f>
        <v>TPL_01A</v>
      </c>
    </row>
    <row r="273" spans="1:47" x14ac:dyDescent="0.35">
      <c r="A273" s="2" t="s">
        <v>2907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0" t="str">
        <f>_xlfn.XLOOKUP(PROPERTIES[[#This Row],[VEHIDCODE]],CONTROL[VEHIDCODE],CONTROL[ENGLISH])</f>
        <v>GE C39-8</v>
      </c>
      <c r="F273" t="s">
        <v>700</v>
      </c>
      <c r="G273" s="40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17</v>
      </c>
      <c r="J273">
        <v>0</v>
      </c>
      <c r="K273">
        <v>8</v>
      </c>
      <c r="L273">
        <v>0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3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0">
        <v>0</v>
      </c>
      <c r="AA273" s="19">
        <f>IFERROR(PROPERTIES[[#This Row],[TE_STARTING_KN]]/(PROPERTIES[[#This Row],[WEIGHT]]*9.81),0)</f>
        <v>0</v>
      </c>
      <c r="AB273" s="19">
        <v>0.28999999999999998</v>
      </c>
      <c r="AC273" s="16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6">
        <v>0</v>
      </c>
      <c r="AF273" s="6">
        <v>0</v>
      </c>
      <c r="AG273" t="s">
        <v>240</v>
      </c>
      <c r="AH273" t="s">
        <v>229</v>
      </c>
      <c r="AI273" t="s">
        <v>229</v>
      </c>
      <c r="AJ273" s="2" t="s">
        <v>229</v>
      </c>
      <c r="AK273" s="2" t="s">
        <v>244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44" t="b">
        <v>0</v>
      </c>
      <c r="AP273" s="48" t="b">
        <v>0</v>
      </c>
      <c r="AQ273" s="48" t="b">
        <v>0</v>
      </c>
      <c r="AR273" s="48">
        <v>0</v>
      </c>
      <c r="AS273" s="48" t="b">
        <v>0</v>
      </c>
      <c r="AT273" s="7" t="b">
        <v>0</v>
      </c>
      <c r="AU273" s="40" t="str" cm="1">
        <f t="array" ref="AU273">_xlfn.XLOOKUP(PROPERTIES[[#This Row],[VEHIDCODE]],GRAPHICS_PROPERTIES[VEHIDCODE],GRAPHICS_PROPERTIES[TEMPLATE_ID]&amp;GRAPHICS_PROPERTIES[TEMPLATE_AMENDMENT_CODE])</f>
        <v>TPL_01A</v>
      </c>
    </row>
    <row r="274" spans="1:47" x14ac:dyDescent="0.35">
      <c r="A274" s="2" t="s">
        <v>2908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0" t="str">
        <f>_xlfn.XLOOKUP(PROPERTIES[[#This Row],[VEHIDCODE]],CONTROL[VEHIDCODE],CONTROL[ENGLISH])</f>
        <v>Macosa-Meinfesa 319.3 J26 CW/HEP</v>
      </c>
      <c r="F274" t="s">
        <v>538</v>
      </c>
      <c r="G274" s="40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17</v>
      </c>
      <c r="J274">
        <v>0</v>
      </c>
      <c r="K274">
        <v>7</v>
      </c>
      <c r="L274">
        <v>0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3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0">
        <v>302</v>
      </c>
      <c r="AA274" s="19">
        <f>IFERROR(PROPERTIES[[#This Row],[TE_STARTING_KN]]/(PROPERTIES[[#This Row],[WEIGHT]]*9.81),0)</f>
        <v>0.2631189175531683</v>
      </c>
      <c r="AB274" s="19">
        <v>0</v>
      </c>
      <c r="AC274" s="16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6">
        <v>0</v>
      </c>
      <c r="AF274" s="6">
        <v>0</v>
      </c>
      <c r="AG274" t="s">
        <v>237</v>
      </c>
      <c r="AH274" t="s">
        <v>238</v>
      </c>
      <c r="AI274" t="s">
        <v>229</v>
      </c>
      <c r="AJ274" s="2" t="s">
        <v>229</v>
      </c>
      <c r="AK274" s="2" t="s">
        <v>244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44" t="b">
        <v>0</v>
      </c>
      <c r="AP274" s="48" t="b">
        <v>0</v>
      </c>
      <c r="AQ274" s="48" t="b">
        <v>0</v>
      </c>
      <c r="AR274" s="48">
        <v>0</v>
      </c>
      <c r="AS274" s="48" t="b">
        <v>0</v>
      </c>
      <c r="AT274" s="7" t="b">
        <v>0</v>
      </c>
      <c r="AU274" s="40" t="str" cm="1">
        <f t="array" ref="AU274">_xlfn.XLOOKUP(PROPERTIES[[#This Row],[VEHIDCODE]],GRAPHICS_PROPERTIES[VEHIDCODE],GRAPHICS_PROPERTIES[TEMPLATE_ID]&amp;GRAPHICS_PROPERTIES[TEMPLATE_AMENDMENT_CODE])</f>
        <v>TPL_01A</v>
      </c>
    </row>
    <row r="275" spans="1:47" x14ac:dyDescent="0.35">
      <c r="A275" s="2" t="s">
        <v>2909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0" t="str">
        <f>_xlfn.XLOOKUP(PROPERTIES[[#This Row],[VEHIDCODE]],CONTROL[VEHIDCODE],CONTROL[ENGLISH])</f>
        <v>CNR CKD8G</v>
      </c>
      <c r="F275" t="s">
        <v>538</v>
      </c>
      <c r="G275" s="40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17</v>
      </c>
      <c r="J275">
        <v>0</v>
      </c>
      <c r="K275">
        <v>8</v>
      </c>
      <c r="L275">
        <v>0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3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0">
        <v>384</v>
      </c>
      <c r="AA275" s="19">
        <f>IFERROR(PROPERTIES[[#This Row],[TE_STARTING_KN]]/(PROPERTIES[[#This Row],[WEIGHT]]*9.81),0)</f>
        <v>0.32619775739041795</v>
      </c>
      <c r="AB275" s="19">
        <v>0</v>
      </c>
      <c r="AC275" s="16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6">
        <v>0</v>
      </c>
      <c r="AF275" s="6">
        <v>0</v>
      </c>
      <c r="AG275" t="s">
        <v>237</v>
      </c>
      <c r="AH275" t="s">
        <v>229</v>
      </c>
      <c r="AI275" t="s">
        <v>229</v>
      </c>
      <c r="AJ275" s="2" t="s">
        <v>229</v>
      </c>
      <c r="AK275" s="2" t="s">
        <v>244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44" t="b">
        <v>0</v>
      </c>
      <c r="AP275" s="48" t="b">
        <v>0</v>
      </c>
      <c r="AQ275" s="48" t="b">
        <v>0</v>
      </c>
      <c r="AR275" s="48">
        <v>0</v>
      </c>
      <c r="AS275" s="48" t="b">
        <v>0</v>
      </c>
      <c r="AT275" s="7" t="b">
        <v>0</v>
      </c>
      <c r="AU275" s="40" t="str" cm="1">
        <f t="array" ref="AU275">_xlfn.XLOOKUP(PROPERTIES[[#This Row],[VEHIDCODE]],GRAPHICS_PROPERTIES[VEHIDCODE],GRAPHICS_PROPERTIES[TEMPLATE_ID]&amp;GRAPHICS_PROPERTIES[TEMPLATE_AMENDMENT_CODE])</f>
        <v>TPL_01A</v>
      </c>
    </row>
    <row r="276" spans="1:47" x14ac:dyDescent="0.35">
      <c r="A276" s="2" t="s">
        <v>2910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0" t="str">
        <f>_xlfn.XLOOKUP(PROPERTIES[[#This Row],[VEHIDCODE]],CONTROL[VEHIDCODE],CONTROL[ENGLISH])</f>
        <v>AEG SAR DS</v>
      </c>
      <c r="F276" t="s">
        <v>771</v>
      </c>
      <c r="G276" s="40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17</v>
      </c>
      <c r="J276">
        <v>0</v>
      </c>
      <c r="K276">
        <v>5</v>
      </c>
      <c r="L276">
        <v>0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3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0">
        <v>157</v>
      </c>
      <c r="AA276" s="19">
        <f>IFERROR(PROPERTIES[[#This Row],[TE_STARTING_KN]]/(PROPERTIES[[#This Row],[WEIGHT]]*9.81),0)</f>
        <v>0.23535408047010853</v>
      </c>
      <c r="AB276" s="19">
        <v>0</v>
      </c>
      <c r="AC276" s="16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6">
        <v>0</v>
      </c>
      <c r="AF276" s="6">
        <v>0</v>
      </c>
      <c r="AG276" t="s">
        <v>233</v>
      </c>
      <c r="AH276" t="s">
        <v>229</v>
      </c>
      <c r="AI276" t="s">
        <v>229</v>
      </c>
      <c r="AJ276" s="2" t="s">
        <v>229</v>
      </c>
      <c r="AK276" s="2" t="s">
        <v>244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44" t="b">
        <v>0</v>
      </c>
      <c r="AP276" s="48" t="b">
        <v>0</v>
      </c>
      <c r="AQ276" s="48" t="b">
        <v>0</v>
      </c>
      <c r="AR276" s="48">
        <v>0</v>
      </c>
      <c r="AS276" s="48" t="b">
        <v>0</v>
      </c>
      <c r="AT276" s="7" t="b">
        <v>0</v>
      </c>
      <c r="AU276" s="40" t="str" cm="1">
        <f t="array" ref="AU276">_xlfn.XLOOKUP(PROPERTIES[[#This Row],[VEHIDCODE]],GRAPHICS_PROPERTIES[VEHIDCODE],GRAPHICS_PROPERTIES[TEMPLATE_ID]&amp;GRAPHICS_PROPERTIES[TEMPLATE_AMENDMENT_CODE])</f>
        <v>TPL_01A</v>
      </c>
    </row>
    <row r="277" spans="1:47" x14ac:dyDescent="0.35">
      <c r="A277" s="2" t="s">
        <v>2911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0" t="str">
        <f>_xlfn.XLOOKUP(PROPERTIES[[#This Row],[VEHIDCODE]],CONTROL[VEHIDCODE],CONTROL[ENGLISH])</f>
        <v>GM GT26</v>
      </c>
      <c r="F277" t="s">
        <v>589</v>
      </c>
      <c r="G277" s="40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17</v>
      </c>
      <c r="J277">
        <v>0</v>
      </c>
      <c r="K277">
        <v>6</v>
      </c>
      <c r="L277">
        <v>0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3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0">
        <v>0</v>
      </c>
      <c r="AA277" s="19">
        <f>IFERROR(PROPERTIES[[#This Row],[TE_STARTING_KN]]/(PROPERTIES[[#This Row],[WEIGHT]]*9.81),0)</f>
        <v>0</v>
      </c>
      <c r="AB277" s="19">
        <v>0.16</v>
      </c>
      <c r="AC277" s="16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6">
        <v>0</v>
      </c>
      <c r="AF277" s="6">
        <v>0</v>
      </c>
      <c r="AG277" t="s">
        <v>233</v>
      </c>
      <c r="AH277" t="s">
        <v>1949</v>
      </c>
      <c r="AI277" t="s">
        <v>229</v>
      </c>
      <c r="AJ277" s="2" t="s">
        <v>229</v>
      </c>
      <c r="AK277" s="2" t="s">
        <v>244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44" t="b">
        <v>0</v>
      </c>
      <c r="AP277" s="48" t="b">
        <v>0</v>
      </c>
      <c r="AQ277" s="48" t="b">
        <v>0</v>
      </c>
      <c r="AR277" s="48">
        <v>0</v>
      </c>
      <c r="AS277" s="48" t="b">
        <v>0</v>
      </c>
      <c r="AT277" s="7" t="b">
        <v>0</v>
      </c>
      <c r="AU277" s="40" t="str" cm="1">
        <f t="array" ref="AU277">_xlfn.XLOOKUP(PROPERTIES[[#This Row],[VEHIDCODE]],GRAPHICS_PROPERTIES[VEHIDCODE],GRAPHICS_PROPERTIES[TEMPLATE_ID]&amp;GRAPHICS_PROPERTIES[TEMPLATE_AMENDMENT_CODE])</f>
        <v>TPL_01A</v>
      </c>
    </row>
    <row r="278" spans="1:47" x14ac:dyDescent="0.35">
      <c r="A278" s="2" t="s">
        <v>2912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0" t="str">
        <f>_xlfn.XLOOKUP(PROPERTIES[[#This Row],[VEHIDCODE]],CONTROL[VEHIDCODE],CONTROL[ENGLISH])</f>
        <v>EMD GL8 [040DF]</v>
      </c>
      <c r="F278" t="s">
        <v>757</v>
      </c>
      <c r="G278" s="40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17</v>
      </c>
      <c r="J278">
        <v>0</v>
      </c>
      <c r="K278">
        <v>5</v>
      </c>
      <c r="L278">
        <v>0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3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0">
        <v>0</v>
      </c>
      <c r="AA278" s="19">
        <f>IFERROR(PROPERTIES[[#This Row],[TE_STARTING_KN]]/(PROPERTIES[[#This Row],[WEIGHT]]*9.81),0)</f>
        <v>0</v>
      </c>
      <c r="AB278" s="19">
        <v>0.25</v>
      </c>
      <c r="AC278" s="16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6">
        <v>0</v>
      </c>
      <c r="AF278" s="6">
        <v>0</v>
      </c>
      <c r="AG278" t="s">
        <v>233</v>
      </c>
      <c r="AH278" t="s">
        <v>229</v>
      </c>
      <c r="AI278" t="s">
        <v>229</v>
      </c>
      <c r="AJ278" s="2" t="s">
        <v>229</v>
      </c>
      <c r="AK278" s="2" t="s">
        <v>244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44" t="b">
        <v>0</v>
      </c>
      <c r="AP278" s="48" t="b">
        <v>0</v>
      </c>
      <c r="AQ278" s="48" t="b">
        <v>1</v>
      </c>
      <c r="AR278" s="48">
        <v>0</v>
      </c>
      <c r="AS278" s="48" t="b">
        <v>0</v>
      </c>
      <c r="AT278" s="7" t="b">
        <v>1</v>
      </c>
      <c r="AU278" s="40" t="str" cm="1">
        <f t="array" ref="AU278">_xlfn.XLOOKUP(PROPERTIES[[#This Row],[VEHIDCODE]],GRAPHICS_PROPERTIES[VEHIDCODE],GRAPHICS_PROPERTIES[TEMPLATE_ID]&amp;GRAPHICS_PROPERTIES[TEMPLATE_AMENDMENT_CODE])</f>
        <v>TPL_01A</v>
      </c>
    </row>
    <row r="279" spans="1:47" x14ac:dyDescent="0.35">
      <c r="A279" s="2" t="s">
        <v>2913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0" t="str">
        <f>_xlfn.XLOOKUP(PROPERTIES[[#This Row],[VEHIDCODE]],CONTROL[VEHIDCODE],CONTROL[ENGLISH])</f>
        <v>LTZ TE114E</v>
      </c>
      <c r="F279" t="s">
        <v>592</v>
      </c>
      <c r="G279" s="40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17</v>
      </c>
      <c r="J279">
        <v>0</v>
      </c>
      <c r="K279">
        <v>7</v>
      </c>
      <c r="L279">
        <v>0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3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0">
        <v>365</v>
      </c>
      <c r="AA279" s="19">
        <f>IFERROR(PROPERTIES[[#This Row],[TE_STARTING_KN]]/(PROPERTIES[[#This Row],[WEIGHT]]*9.81),0)</f>
        <v>0.31005776418620457</v>
      </c>
      <c r="AB279" s="19">
        <v>0</v>
      </c>
      <c r="AC279" s="16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6">
        <v>0</v>
      </c>
      <c r="AF279" s="6">
        <v>0</v>
      </c>
      <c r="AG279" t="s">
        <v>233</v>
      </c>
      <c r="AH279" t="s">
        <v>1949</v>
      </c>
      <c r="AI279" t="s">
        <v>229</v>
      </c>
      <c r="AJ279" s="2" t="s">
        <v>229</v>
      </c>
      <c r="AK279" s="2" t="s">
        <v>244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44" t="b">
        <v>0</v>
      </c>
      <c r="AP279" s="48" t="b">
        <v>0</v>
      </c>
      <c r="AQ279" s="48" t="b">
        <v>0</v>
      </c>
      <c r="AR279" s="48">
        <v>0</v>
      </c>
      <c r="AS279" s="48" t="b">
        <v>0</v>
      </c>
      <c r="AT279" s="7" t="b">
        <v>0</v>
      </c>
      <c r="AU279" s="40" t="str" cm="1">
        <f t="array" ref="AU279">_xlfn.XLOOKUP(PROPERTIES[[#This Row],[VEHIDCODE]],GRAPHICS_PROPERTIES[VEHIDCODE],GRAPHICS_PROPERTIES[TEMPLATE_ID]&amp;GRAPHICS_PROPERTIES[TEMPLATE_AMENDMENT_CODE])</f>
        <v>TPL_01A</v>
      </c>
    </row>
    <row r="280" spans="1:47" x14ac:dyDescent="0.35">
      <c r="A280" s="2" t="s">
        <v>2914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0" t="str">
        <f>_xlfn.XLOOKUP(PROPERTIES[[#This Row],[VEHIDCODE]],CONTROL[VEHIDCODE],CONTROL[ENGLISH])</f>
        <v>GM G18</v>
      </c>
      <c r="F280" t="s">
        <v>757</v>
      </c>
      <c r="G280" s="40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17</v>
      </c>
      <c r="J280">
        <v>0</v>
      </c>
      <c r="K280">
        <v>5</v>
      </c>
      <c r="L280">
        <v>0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3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0">
        <v>128</v>
      </c>
      <c r="AA280" s="19">
        <f>IFERROR(PROPERTIES[[#This Row],[TE_STARTING_KN]]/(PROPERTIES[[#This Row],[WEIGHT]]*9.81),0)</f>
        <v>0.24618698670974937</v>
      </c>
      <c r="AB280" s="19">
        <v>0</v>
      </c>
      <c r="AC280" s="16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6">
        <v>0</v>
      </c>
      <c r="AF280" s="6">
        <v>0</v>
      </c>
      <c r="AG280" t="s">
        <v>233</v>
      </c>
      <c r="AH280" t="s">
        <v>237</v>
      </c>
      <c r="AI280" t="s">
        <v>231</v>
      </c>
      <c r="AJ280" s="2" t="s">
        <v>238</v>
      </c>
      <c r="AK280" s="2" t="s">
        <v>244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44" t="b">
        <v>0</v>
      </c>
      <c r="AP280" s="48" t="b">
        <v>0</v>
      </c>
      <c r="AQ280" s="48" t="b">
        <v>0</v>
      </c>
      <c r="AR280" s="48">
        <v>0</v>
      </c>
      <c r="AS280" s="48" t="b">
        <v>0</v>
      </c>
      <c r="AT280" s="7" t="b">
        <v>0</v>
      </c>
      <c r="AU280" s="40" t="str" cm="1">
        <f t="array" ref="AU280">_xlfn.XLOOKUP(PROPERTIES[[#This Row],[VEHIDCODE]],GRAPHICS_PROPERTIES[VEHIDCODE],GRAPHICS_PROPERTIES[TEMPLATE_ID]&amp;GRAPHICS_PROPERTIES[TEMPLATE_AMENDMENT_CODE])</f>
        <v>TPL_01A</v>
      </c>
    </row>
    <row r="281" spans="1:47" x14ac:dyDescent="0.35">
      <c r="A281" s="2" t="s">
        <v>2915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0" t="str">
        <f>_xlfn.XLOOKUP(PROPERTIES[[#This Row],[VEHIDCODE]],CONTROL[VEHIDCODE],CONTROL[ENGLISH])</f>
        <v>Alsthom CC 72000</v>
      </c>
      <c r="F281" t="s">
        <v>602</v>
      </c>
      <c r="G281" s="40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17</v>
      </c>
      <c r="J281">
        <v>0</v>
      </c>
      <c r="K281">
        <v>8</v>
      </c>
      <c r="L281">
        <v>0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3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0">
        <v>360</v>
      </c>
      <c r="AA281" s="19">
        <f>IFERROR(PROPERTIES[[#This Row],[TE_STARTING_KN]]/(PROPERTIES[[#This Row],[WEIGHT]]*9.81),0)</f>
        <v>0.3397893306150187</v>
      </c>
      <c r="AB281" s="19">
        <v>0</v>
      </c>
      <c r="AC281" s="16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6">
        <v>0</v>
      </c>
      <c r="AF281" s="6">
        <v>0</v>
      </c>
      <c r="AG281" t="s">
        <v>233</v>
      </c>
      <c r="AH281" t="s">
        <v>230</v>
      </c>
      <c r="AI281" t="s">
        <v>229</v>
      </c>
      <c r="AJ281" s="2" t="s">
        <v>229</v>
      </c>
      <c r="AK281" s="2" t="s">
        <v>244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44" t="b">
        <v>0</v>
      </c>
      <c r="AP281" s="48" t="b">
        <v>0</v>
      </c>
      <c r="AQ281" s="48" t="b">
        <v>0</v>
      </c>
      <c r="AR281" s="48">
        <v>0</v>
      </c>
      <c r="AS281" s="48" t="b">
        <v>0</v>
      </c>
      <c r="AT281" s="7" t="b">
        <v>0</v>
      </c>
      <c r="AU281" s="40" t="str" cm="1">
        <f t="array" ref="AU281">_xlfn.XLOOKUP(PROPERTIES[[#This Row],[VEHIDCODE]],GRAPHICS_PROPERTIES[VEHIDCODE],GRAPHICS_PROPERTIES[TEMPLATE_ID]&amp;GRAPHICS_PROPERTIES[TEMPLATE_AMENDMENT_CODE])</f>
        <v>TPL_01A</v>
      </c>
    </row>
    <row r="282" spans="1:47" x14ac:dyDescent="0.35">
      <c r="A282" s="2" t="s">
        <v>2916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0" t="str">
        <f>_xlfn.XLOOKUP(PROPERTIES[[#This Row],[VEHIDCODE]],CONTROL[VEHIDCODE],CONTROL[ENGLISH])</f>
        <v>LTZ TEP10L</v>
      </c>
      <c r="F282" t="s">
        <v>754</v>
      </c>
      <c r="G282" s="40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17</v>
      </c>
      <c r="J282">
        <v>0</v>
      </c>
      <c r="K282">
        <v>8</v>
      </c>
      <c r="L282">
        <v>0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3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0">
        <v>245</v>
      </c>
      <c r="AA282" s="19">
        <f>IFERROR(PROPERTIES[[#This Row],[TE_STARTING_KN]]/(PROPERTIES[[#This Row],[WEIGHT]]*9.81),0)</f>
        <v>0.19360089767599903</v>
      </c>
      <c r="AB282" s="19">
        <v>0</v>
      </c>
      <c r="AC282" s="16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6">
        <v>0</v>
      </c>
      <c r="AF282" s="6">
        <v>0</v>
      </c>
      <c r="AG282" t="s">
        <v>1948</v>
      </c>
      <c r="AH282" t="s">
        <v>229</v>
      </c>
      <c r="AI282" t="s">
        <v>229</v>
      </c>
      <c r="AJ282" s="2" t="s">
        <v>229</v>
      </c>
      <c r="AK282" s="2" t="s">
        <v>244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44" t="b">
        <v>0</v>
      </c>
      <c r="AP282" s="48" t="b">
        <v>0</v>
      </c>
      <c r="AQ282" s="48" t="b">
        <v>0</v>
      </c>
      <c r="AR282" s="48">
        <v>0</v>
      </c>
      <c r="AS282" s="48" t="b">
        <v>0</v>
      </c>
      <c r="AT282" s="7" t="b">
        <v>0</v>
      </c>
      <c r="AU282" s="40" t="str" cm="1">
        <f t="array" ref="AU282">_xlfn.XLOOKUP(PROPERTIES[[#This Row],[VEHIDCODE]],GRAPHICS_PROPERTIES[VEHIDCODE],GRAPHICS_PROPERTIES[TEMPLATE_ID]&amp;GRAPHICS_PROPERTIES[TEMPLATE_AMENDMENT_CODE])</f>
        <v>TPL_01A</v>
      </c>
    </row>
    <row r="283" spans="1:47" x14ac:dyDescent="0.35">
      <c r="A283" s="2" t="s">
        <v>2917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0" t="str">
        <f>_xlfn.XLOOKUP(PROPERTIES[[#This Row],[VEHIDCODE]],CONTROL[VEHIDCODE],CONTROL[ENGLISH])</f>
        <v>LTZ 2TE10M</v>
      </c>
      <c r="F283" t="s">
        <v>716</v>
      </c>
      <c r="G283" s="40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17</v>
      </c>
      <c r="J283">
        <v>0</v>
      </c>
      <c r="K283">
        <v>8</v>
      </c>
      <c r="L283">
        <v>0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3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0">
        <v>784</v>
      </c>
      <c r="AA283" s="19">
        <f>IFERROR(PROPERTIES[[#This Row],[TE_STARTING_KN]]/(PROPERTIES[[#This Row],[WEIGHT]]*9.81),0)</f>
        <v>0.28955960348062465</v>
      </c>
      <c r="AB283" s="19">
        <v>0</v>
      </c>
      <c r="AC283" s="16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6">
        <v>0</v>
      </c>
      <c r="AF283" s="6">
        <v>0</v>
      </c>
      <c r="AG283" t="s">
        <v>1951</v>
      </c>
      <c r="AH283" t="s">
        <v>229</v>
      </c>
      <c r="AI283" t="s">
        <v>229</v>
      </c>
      <c r="AJ283" s="2" t="s">
        <v>229</v>
      </c>
      <c r="AK283" s="2" t="s">
        <v>244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44" t="b">
        <v>0</v>
      </c>
      <c r="AP283" s="48" t="b">
        <v>0</v>
      </c>
      <c r="AQ283" s="48" t="b">
        <v>1</v>
      </c>
      <c r="AR283" s="48">
        <v>0</v>
      </c>
      <c r="AS283" s="48" t="b">
        <v>0</v>
      </c>
      <c r="AT283" s="7" t="b">
        <v>1</v>
      </c>
      <c r="AU283" s="40" t="str" cm="1">
        <f t="array" ref="AU283">_xlfn.XLOOKUP(PROPERTIES[[#This Row],[VEHIDCODE]],GRAPHICS_PROPERTIES[VEHIDCODE],GRAPHICS_PROPERTIES[TEMPLATE_ID]&amp;GRAPHICS_PROPERTIES[TEMPLATE_AMENDMENT_CODE])</f>
        <v>TPL_03D</v>
      </c>
    </row>
    <row r="284" spans="1:47" x14ac:dyDescent="0.35">
      <c r="A284" s="2" t="s">
        <v>2918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0" t="str">
        <f>_xlfn.XLOOKUP(PROPERTIES[[#This Row],[VEHIDCODE]],CONTROL[VEHIDCODE],CONTROL[ENGLISH])</f>
        <v>FAUR LDE1300</v>
      </c>
      <c r="F284" t="s">
        <v>705</v>
      </c>
      <c r="G284" s="40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17</v>
      </c>
      <c r="J284">
        <v>0</v>
      </c>
      <c r="K284">
        <v>6</v>
      </c>
      <c r="L284">
        <v>0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3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0">
        <v>181.42</v>
      </c>
      <c r="AA284" s="19">
        <f>IFERROR(PROPERTIES[[#This Row],[TE_STARTING_KN]]/(PROPERTIES[[#This Row],[WEIGHT]]*9.81),0)</f>
        <v>0.2499104609196352</v>
      </c>
      <c r="AB284" s="19">
        <v>0</v>
      </c>
      <c r="AC284" s="16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6">
        <v>0</v>
      </c>
      <c r="AF284" s="6">
        <v>0</v>
      </c>
      <c r="AG284" t="s">
        <v>236</v>
      </c>
      <c r="AH284" t="s">
        <v>229</v>
      </c>
      <c r="AI284" t="s">
        <v>229</v>
      </c>
      <c r="AJ284" s="2" t="s">
        <v>229</v>
      </c>
      <c r="AK284" s="2" t="s">
        <v>244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44" t="b">
        <v>0</v>
      </c>
      <c r="AP284" s="48" t="b">
        <v>0</v>
      </c>
      <c r="AQ284" s="48" t="b">
        <v>0</v>
      </c>
      <c r="AR284" s="48">
        <v>0</v>
      </c>
      <c r="AS284" s="48" t="b">
        <v>0</v>
      </c>
      <c r="AT284" s="7" t="b">
        <v>0</v>
      </c>
      <c r="AU284" s="40" t="str" cm="1">
        <f t="array" ref="AU284">_xlfn.XLOOKUP(PROPERTIES[[#This Row],[VEHIDCODE]],GRAPHICS_PROPERTIES[VEHIDCODE],GRAPHICS_PROPERTIES[TEMPLATE_ID]&amp;GRAPHICS_PROPERTIES[TEMPLATE_AMENDMENT_CODE])</f>
        <v>TPL_01A</v>
      </c>
    </row>
    <row r="285" spans="1:47" x14ac:dyDescent="0.35">
      <c r="A285" s="2" t="s">
        <v>2919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0" t="str">
        <f>_xlfn.XLOOKUP(PROPERTIES[[#This Row],[VEHIDCODE]],CONTROL[VEHIDCODE],CONTROL[ENGLISH])</f>
        <v>LTZ 2TE126</v>
      </c>
      <c r="F285" t="s">
        <v>754</v>
      </c>
      <c r="G285" s="40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17</v>
      </c>
      <c r="J285">
        <v>0</v>
      </c>
      <c r="K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3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0">
        <f>2*255</f>
        <v>510</v>
      </c>
      <c r="AA285" s="19">
        <f>IFERROR(PROPERTIES[[#This Row],[TE_STARTING_KN]]/(PROPERTIES[[#This Row],[WEIGHT]]*9.81),0)</f>
        <v>0.19113149847094801</v>
      </c>
      <c r="AB285" s="19">
        <v>0</v>
      </c>
      <c r="AC285" s="16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6">
        <v>0</v>
      </c>
      <c r="AF285" s="6">
        <v>2</v>
      </c>
      <c r="AG285" t="s">
        <v>1948</v>
      </c>
      <c r="AH285" t="s">
        <v>229</v>
      </c>
      <c r="AI285" t="s">
        <v>229</v>
      </c>
      <c r="AJ285" s="2" t="s">
        <v>229</v>
      </c>
      <c r="AK285" s="2" t="s">
        <v>244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44" t="b">
        <v>0</v>
      </c>
      <c r="AP285" s="48" t="b">
        <v>0</v>
      </c>
      <c r="AQ285" s="48" t="b">
        <v>1</v>
      </c>
      <c r="AR285" s="48">
        <v>0</v>
      </c>
      <c r="AS285" s="48" t="b">
        <v>0</v>
      </c>
      <c r="AT285" s="7" t="b">
        <v>1</v>
      </c>
      <c r="AU285" s="40" t="str" cm="1">
        <f t="array" ref="AU285">_xlfn.XLOOKUP(PROPERTIES[[#This Row],[VEHIDCODE]],GRAPHICS_PROPERTIES[VEHIDCODE],GRAPHICS_PROPERTIES[TEMPLATE_ID]&amp;GRAPHICS_PROPERTIES[TEMPLATE_AMENDMENT_CODE])</f>
        <v>TPL_32A</v>
      </c>
    </row>
    <row r="286" spans="1:47" x14ac:dyDescent="0.35">
      <c r="A286" s="2" t="s">
        <v>2920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0" t="str">
        <f>_xlfn.XLOOKUP(PROPERTIES[[#This Row],[VEHIDCODE]],CONTROL[VEHIDCODE],CONTROL[ENGLISH])</f>
        <v>LTZ 2TE10Ut</v>
      </c>
      <c r="F286" t="s">
        <v>754</v>
      </c>
      <c r="G286" s="40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17</v>
      </c>
      <c r="J286">
        <v>0</v>
      </c>
      <c r="K286">
        <v>8</v>
      </c>
      <c r="L286">
        <v>0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3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0">
        <v>0</v>
      </c>
      <c r="AA286" s="19">
        <f>IFERROR(PROPERTIES[[#This Row],[TE_STARTING_KN]]/(PROPERTIES[[#This Row],[WEIGHT]]*9.81),0)</f>
        <v>0</v>
      </c>
      <c r="AB286" s="19">
        <v>0.15</v>
      </c>
      <c r="AC286" s="16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6">
        <v>0</v>
      </c>
      <c r="AF286" s="6">
        <v>0</v>
      </c>
      <c r="AG286" t="s">
        <v>1948</v>
      </c>
      <c r="AH286" t="s">
        <v>229</v>
      </c>
      <c r="AI286" t="s">
        <v>229</v>
      </c>
      <c r="AJ286" s="2" t="s">
        <v>229</v>
      </c>
      <c r="AK286" s="2" t="s">
        <v>244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44" t="b">
        <v>0</v>
      </c>
      <c r="AP286" s="48" t="b">
        <v>0</v>
      </c>
      <c r="AQ286" s="48" t="b">
        <v>1</v>
      </c>
      <c r="AR286" s="48">
        <v>0</v>
      </c>
      <c r="AS286" s="48" t="b">
        <v>0</v>
      </c>
      <c r="AT286" s="7" t="b">
        <v>1</v>
      </c>
      <c r="AU286" s="40" t="str" cm="1">
        <f t="array" ref="AU286">_xlfn.XLOOKUP(PROPERTIES[[#This Row],[VEHIDCODE]],GRAPHICS_PROPERTIES[VEHIDCODE],GRAPHICS_PROPERTIES[TEMPLATE_ID]&amp;GRAPHICS_PROPERTIES[TEMPLATE_AMENDMENT_CODE])</f>
        <v>TPL_03D</v>
      </c>
    </row>
    <row r="287" spans="1:47" x14ac:dyDescent="0.35">
      <c r="A287" s="2" t="s">
        <v>2921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0" t="str">
        <f>_xlfn.XLOOKUP(PROPERTIES[[#This Row],[VEHIDCODE]],CONTROL[VEHIDCODE],CONTROL[ENGLISH])</f>
        <v>CMKS 709 0-4-0DE</v>
      </c>
      <c r="F287" t="s">
        <v>715</v>
      </c>
      <c r="G287" s="40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17</v>
      </c>
      <c r="J287">
        <v>0</v>
      </c>
      <c r="K287">
        <v>4</v>
      </c>
      <c r="L287">
        <v>0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3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0">
        <v>108</v>
      </c>
      <c r="AA287" s="19">
        <f>IFERROR(PROPERTIES[[#This Row],[TE_STARTING_KN]]/(PROPERTIES[[#This Row],[WEIGHT]]*9.81),0)</f>
        <v>0.3058103975535168</v>
      </c>
      <c r="AB287" s="19">
        <v>0</v>
      </c>
      <c r="AC287" s="16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6">
        <v>0</v>
      </c>
      <c r="AF287" s="6">
        <v>0</v>
      </c>
      <c r="AG287" t="s">
        <v>236</v>
      </c>
      <c r="AH287" t="s">
        <v>229</v>
      </c>
      <c r="AI287" t="s">
        <v>229</v>
      </c>
      <c r="AJ287" s="2" t="s">
        <v>229</v>
      </c>
      <c r="AK287" s="2" t="s">
        <v>244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44" t="b">
        <v>0</v>
      </c>
      <c r="AP287" s="48" t="b">
        <v>0</v>
      </c>
      <c r="AQ287" s="48" t="b">
        <v>0</v>
      </c>
      <c r="AR287" s="48">
        <v>0</v>
      </c>
      <c r="AS287" s="48" t="b">
        <v>0</v>
      </c>
      <c r="AT287" s="7" t="b">
        <v>0</v>
      </c>
      <c r="AU287" s="40" t="str" cm="1">
        <f t="array" ref="AU287">_xlfn.XLOOKUP(PROPERTIES[[#This Row],[VEHIDCODE]],GRAPHICS_PROPERTIES[VEHIDCODE],GRAPHICS_PROPERTIES[TEMPLATE_ID]&amp;GRAPHICS_PROPERTIES[TEMPLATE_AMENDMENT_CODE])</f>
        <v>TPL_01A</v>
      </c>
    </row>
    <row r="288" spans="1:47" x14ac:dyDescent="0.35">
      <c r="A288" s="2" t="s">
        <v>2922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0" t="str">
        <f>_xlfn.XLOOKUP(PROPERTIES[[#This Row],[VEHIDCODE]],CONTROL[VEHIDCODE],CONTROL[ENGLISH])</f>
        <v>Antonio Badoni Lecco 'Sogliole' 207</v>
      </c>
      <c r="F288" t="s">
        <v>636</v>
      </c>
      <c r="G288" s="40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17</v>
      </c>
      <c r="J288">
        <v>0</v>
      </c>
      <c r="K288">
        <v>2</v>
      </c>
      <c r="L288">
        <v>0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3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0">
        <v>13</v>
      </c>
      <c r="AA288" s="19">
        <f>IFERROR(PROPERTIES[[#This Row],[TE_STARTING_KN]]/(PROPERTIES[[#This Row],[WEIGHT]]*9.81),0)</f>
        <v>0.22086306489976215</v>
      </c>
      <c r="AB288" s="19">
        <v>0</v>
      </c>
      <c r="AC288" s="16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6">
        <v>0</v>
      </c>
      <c r="AF288" s="6">
        <v>0</v>
      </c>
      <c r="AG288" t="s">
        <v>231</v>
      </c>
      <c r="AH288" t="s">
        <v>233</v>
      </c>
      <c r="AI288" t="s">
        <v>229</v>
      </c>
      <c r="AJ288" s="2" t="s">
        <v>229</v>
      </c>
      <c r="AK288" s="2" t="s">
        <v>244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44" t="b">
        <v>0</v>
      </c>
      <c r="AP288" s="48" t="b">
        <v>0</v>
      </c>
      <c r="AQ288" s="48" t="b">
        <v>0</v>
      </c>
      <c r="AR288" s="48">
        <v>0</v>
      </c>
      <c r="AS288" s="48" t="b">
        <v>0</v>
      </c>
      <c r="AT288" s="7" t="b">
        <v>0</v>
      </c>
      <c r="AU288" s="40" t="str" cm="1">
        <f t="array" ref="AU288">_xlfn.XLOOKUP(PROPERTIES[[#This Row],[VEHIDCODE]],GRAPHICS_PROPERTIES[VEHIDCODE],GRAPHICS_PROPERTIES[TEMPLATE_ID]&amp;GRAPHICS_PROPERTIES[TEMPLATE_AMENDMENT_CODE])</f>
        <v>TPL_01A</v>
      </c>
    </row>
    <row r="289" spans="1:47" x14ac:dyDescent="0.35">
      <c r="A289" s="2" t="s">
        <v>2923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0" t="str">
        <f>_xlfn.XLOOKUP(PROPERTIES[[#This Row],[VEHIDCODE]],CONTROL[VEHIDCODE],CONTROL[ENGLISH])</f>
        <v>Baldwin 0-6-6-0 1000</v>
      </c>
      <c r="F289" t="s">
        <v>716</v>
      </c>
      <c r="G289" s="40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17</v>
      </c>
      <c r="J289">
        <v>0</v>
      </c>
      <c r="K289">
        <v>8</v>
      </c>
      <c r="L289">
        <v>0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3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0">
        <v>310</v>
      </c>
      <c r="AA289" s="19">
        <f>IFERROR(PROPERTIES[[#This Row],[TE_STARTING_KN]]/(PROPERTIES[[#This Row],[WEIGHT]]*9.81),0)</f>
        <v>0.2590197356327601</v>
      </c>
      <c r="AB289" s="19">
        <v>0</v>
      </c>
      <c r="AC289" s="16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6">
        <v>0</v>
      </c>
      <c r="AF289" s="6">
        <v>0</v>
      </c>
      <c r="AG289" t="s">
        <v>1948</v>
      </c>
      <c r="AH289" t="s">
        <v>229</v>
      </c>
      <c r="AI289" t="s">
        <v>229</v>
      </c>
      <c r="AJ289" s="2" t="s">
        <v>229</v>
      </c>
      <c r="AK289" s="2" t="s">
        <v>244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44" t="b">
        <v>0</v>
      </c>
      <c r="AP289" s="48" t="b">
        <v>0</v>
      </c>
      <c r="AQ289" s="48" t="b">
        <v>0</v>
      </c>
      <c r="AR289" s="48">
        <v>0</v>
      </c>
      <c r="AS289" s="48" t="b">
        <v>0</v>
      </c>
      <c r="AT289" s="7" t="b">
        <v>0</v>
      </c>
      <c r="AU289" s="40" t="str" cm="1">
        <f t="array" ref="AU289">_xlfn.XLOOKUP(PROPERTIES[[#This Row],[VEHIDCODE]],GRAPHICS_PROPERTIES[VEHIDCODE],GRAPHICS_PROPERTIES[TEMPLATE_ID]&amp;GRAPHICS_PROPERTIES[TEMPLATE_AMENDMENT_CODE])</f>
        <v>TPL_01A</v>
      </c>
    </row>
    <row r="290" spans="1:47" x14ac:dyDescent="0.35">
      <c r="A290" s="2" t="s">
        <v>2924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0" t="str">
        <f>_xlfn.XLOOKUP(PROPERTIES[[#This Row],[VEHIDCODE]],CONTROL[VEHIDCODE],CONTROL[ENGLISH])</f>
        <v>ALCO RSC-2</v>
      </c>
      <c r="F290" t="s">
        <v>710</v>
      </c>
      <c r="G290" s="40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17</v>
      </c>
      <c r="J290">
        <v>0</v>
      </c>
      <c r="K290">
        <v>6</v>
      </c>
      <c r="L290">
        <v>0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3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0">
        <v>0</v>
      </c>
      <c r="AA290" s="19">
        <f>IFERROR(PROPERTIES[[#This Row],[TE_STARTING_KN]]/(PROPERTIES[[#This Row],[WEIGHT]]*9.81),0)</f>
        <v>0</v>
      </c>
      <c r="AB290" s="19">
        <v>0.15</v>
      </c>
      <c r="AC290" s="16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6">
        <v>0</v>
      </c>
      <c r="AF290" s="6">
        <v>0</v>
      </c>
      <c r="AG290" t="s">
        <v>231</v>
      </c>
      <c r="AH290" t="s">
        <v>235</v>
      </c>
      <c r="AI290" t="s">
        <v>233</v>
      </c>
      <c r="AJ290" s="2" t="s">
        <v>233</v>
      </c>
      <c r="AK290" s="2" t="s">
        <v>244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44" t="b">
        <v>0</v>
      </c>
      <c r="AP290" s="48" t="b">
        <v>0</v>
      </c>
      <c r="AQ290" s="48" t="b">
        <v>0</v>
      </c>
      <c r="AR290" s="48">
        <v>0</v>
      </c>
      <c r="AS290" s="48" t="b">
        <v>0</v>
      </c>
      <c r="AT290" s="7" t="b">
        <v>0</v>
      </c>
      <c r="AU290" s="40" t="str" cm="1">
        <f t="array" ref="AU290">_xlfn.XLOOKUP(PROPERTIES[[#This Row],[VEHIDCODE]],GRAPHICS_PROPERTIES[VEHIDCODE],GRAPHICS_PROPERTIES[TEMPLATE_ID]&amp;GRAPHICS_PROPERTIES[TEMPLATE_AMENDMENT_CODE])</f>
        <v>TPL_01A</v>
      </c>
    </row>
    <row r="291" spans="1:47" x14ac:dyDescent="0.35">
      <c r="A291" s="2" t="s">
        <v>2925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0" t="str">
        <f>_xlfn.XLOOKUP(PROPERTIES[[#This Row],[VEHIDCODE]],CONTROL[VEHIDCODE],CONTROL[ENGLISH])</f>
        <v>Brissonneau and Lotz BB 67400</v>
      </c>
      <c r="F291" t="s">
        <v>602</v>
      </c>
      <c r="G291" s="40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17</v>
      </c>
      <c r="J291">
        <v>0</v>
      </c>
      <c r="K291">
        <v>8</v>
      </c>
      <c r="L291">
        <v>0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3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0">
        <v>250</v>
      </c>
      <c r="AA291" s="19">
        <f>IFERROR(PROPERTIES[[#This Row],[TE_STARTING_KN]]/(PROPERTIES[[#This Row],[WEIGHT]]*9.81),0)</f>
        <v>0.30703855176055905</v>
      </c>
      <c r="AB291" s="19">
        <v>0</v>
      </c>
      <c r="AC291" s="16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6">
        <v>0</v>
      </c>
      <c r="AF291" s="6">
        <v>0</v>
      </c>
      <c r="AG291" t="s">
        <v>230</v>
      </c>
      <c r="AH291" t="s">
        <v>229</v>
      </c>
      <c r="AI291" t="s">
        <v>229</v>
      </c>
      <c r="AJ291" s="2" t="s">
        <v>229</v>
      </c>
      <c r="AK291" s="2" t="s">
        <v>244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44" t="b">
        <v>0</v>
      </c>
      <c r="AP291" s="48" t="b">
        <v>0</v>
      </c>
      <c r="AQ291" s="48" t="b">
        <v>0</v>
      </c>
      <c r="AR291" s="48">
        <v>0</v>
      </c>
      <c r="AS291" s="48" t="b">
        <v>0</v>
      </c>
      <c r="AT291" s="7" t="b">
        <v>0</v>
      </c>
      <c r="AU291" s="40" t="str" cm="1">
        <f t="array" ref="AU291">_xlfn.XLOOKUP(PROPERTIES[[#This Row],[VEHIDCODE]],GRAPHICS_PROPERTIES[VEHIDCODE],GRAPHICS_PROPERTIES[TEMPLATE_ID]&amp;GRAPHICS_PROPERTIES[TEMPLATE_AMENDMENT_CODE])</f>
        <v>TPL_01A</v>
      </c>
    </row>
    <row r="292" spans="1:47" x14ac:dyDescent="0.35">
      <c r="A292" s="2" t="s">
        <v>2926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0" t="str">
        <f>_xlfn.XLOOKUP(PROPERTIES[[#This Row],[VEHIDCODE]],CONTROL[VEHIDCODE],CONTROL[ENGLISH])</f>
        <v>MaK DE 6400</v>
      </c>
      <c r="F292" t="s">
        <v>692</v>
      </c>
      <c r="G292" s="40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17</v>
      </c>
      <c r="J292">
        <v>0</v>
      </c>
      <c r="K292">
        <v>6</v>
      </c>
      <c r="L292">
        <v>0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3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0">
        <v>290</v>
      </c>
      <c r="AA292" s="19">
        <f>IFERROR(PROPERTIES[[#This Row],[TE_STARTING_KN]]/(PROPERTIES[[#This Row],[WEIGHT]]*9.81),0)</f>
        <v>0.36952089704383279</v>
      </c>
      <c r="AB292" s="19">
        <v>0</v>
      </c>
      <c r="AC292" s="16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6">
        <v>0</v>
      </c>
      <c r="AF292" s="6">
        <v>0</v>
      </c>
      <c r="AG292" t="s">
        <v>230</v>
      </c>
      <c r="AH292" t="s">
        <v>236</v>
      </c>
      <c r="AI292" t="s">
        <v>229</v>
      </c>
      <c r="AJ292" s="2" t="s">
        <v>229</v>
      </c>
      <c r="AK292" s="2" t="s">
        <v>244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44" t="b">
        <v>0</v>
      </c>
      <c r="AP292" s="48" t="b">
        <v>0</v>
      </c>
      <c r="AQ292" s="48" t="b">
        <v>0</v>
      </c>
      <c r="AR292" s="48">
        <v>0</v>
      </c>
      <c r="AS292" s="48" t="b">
        <v>0</v>
      </c>
      <c r="AT292" s="7" t="b">
        <v>0</v>
      </c>
      <c r="AU292" s="40" t="str" cm="1">
        <f t="array" ref="AU292">_xlfn.XLOOKUP(PROPERTIES[[#This Row],[VEHIDCODE]],GRAPHICS_PROPERTIES[VEHIDCODE],GRAPHICS_PROPERTIES[TEMPLATE_ID]&amp;GRAPHICS_PROPERTIES[TEMPLATE_AMENDMENT_CODE])</f>
        <v>TPL_01A</v>
      </c>
    </row>
    <row r="293" spans="1:47" x14ac:dyDescent="0.35">
      <c r="A293" s="2" t="s">
        <v>2927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0" t="str">
        <f>_xlfn.XLOOKUP(PROPERTIES[[#This Row],[VEHIDCODE]],CONTROL[VEHIDCODE],CONTROL[ENGLISH])</f>
        <v>GE ES40ACi</v>
      </c>
      <c r="F293" t="s">
        <v>592</v>
      </c>
      <c r="G293" s="40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17</v>
      </c>
      <c r="J293">
        <v>0</v>
      </c>
      <c r="K293">
        <v>8</v>
      </c>
      <c r="L293">
        <v>0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3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0">
        <v>810</v>
      </c>
      <c r="AA293" s="19">
        <f>IFERROR(PROPERTIES[[#This Row],[TE_STARTING_KN]]/(PROPERTIES[[#This Row],[WEIGHT]]*9.81),0)</f>
        <v>0.58977719528178241</v>
      </c>
      <c r="AB293" s="19">
        <v>0</v>
      </c>
      <c r="AC293" s="16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6">
        <v>0</v>
      </c>
      <c r="AF293" s="6">
        <v>0</v>
      </c>
      <c r="AG293" t="s">
        <v>233</v>
      </c>
      <c r="AH293" t="s">
        <v>229</v>
      </c>
      <c r="AI293" t="s">
        <v>229</v>
      </c>
      <c r="AJ293" s="2" t="s">
        <v>229</v>
      </c>
      <c r="AK293" s="2" t="s">
        <v>244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44" t="b">
        <v>0</v>
      </c>
      <c r="AP293" s="48" t="b">
        <v>0</v>
      </c>
      <c r="AQ293" s="48" t="b">
        <v>0</v>
      </c>
      <c r="AR293" s="48">
        <v>0</v>
      </c>
      <c r="AS293" s="48" t="b">
        <v>0</v>
      </c>
      <c r="AT293" s="7" t="b">
        <v>0</v>
      </c>
      <c r="AU293" s="40" t="str" cm="1">
        <f t="array" ref="AU293">_xlfn.XLOOKUP(PROPERTIES[[#This Row],[VEHIDCODE]],GRAPHICS_PROPERTIES[VEHIDCODE],GRAPHICS_PROPERTIES[TEMPLATE_ID]&amp;GRAPHICS_PROPERTIES[TEMPLATE_AMENDMENT_CODE])</f>
        <v>TPL_01A</v>
      </c>
    </row>
    <row r="294" spans="1:47" x14ac:dyDescent="0.35">
      <c r="A294" s="2" t="s">
        <v>2928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0" t="str">
        <f>_xlfn.XLOOKUP(PROPERTIES[[#This Row],[VEHIDCODE]],CONTROL[VEHIDCODE],CONTROL[ENGLISH])</f>
        <v>Vossloh Afro 4000</v>
      </c>
      <c r="F294" t="s">
        <v>771</v>
      </c>
      <c r="G294" s="40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17</v>
      </c>
      <c r="J294">
        <v>0</v>
      </c>
      <c r="K294">
        <v>8</v>
      </c>
      <c r="L294">
        <v>0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3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0">
        <v>0</v>
      </c>
      <c r="AA294" s="19">
        <f>IFERROR(PROPERTIES[[#This Row],[TE_STARTING_KN]]/(PROPERTIES[[#This Row],[WEIGHT]]*9.81),0)</f>
        <v>0</v>
      </c>
      <c r="AB294" s="19">
        <v>0.26</v>
      </c>
      <c r="AC294" s="16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6">
        <v>0</v>
      </c>
      <c r="AF294" s="6">
        <v>0</v>
      </c>
      <c r="AG294" t="s">
        <v>233</v>
      </c>
      <c r="AH294" t="s">
        <v>229</v>
      </c>
      <c r="AI294" t="s">
        <v>229</v>
      </c>
      <c r="AJ294" s="2" t="s">
        <v>229</v>
      </c>
      <c r="AK294" s="2" t="s">
        <v>244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44" t="b">
        <v>0</v>
      </c>
      <c r="AP294" s="48" t="b">
        <v>0</v>
      </c>
      <c r="AQ294" s="48" t="b">
        <v>0</v>
      </c>
      <c r="AR294" s="48">
        <v>0</v>
      </c>
      <c r="AS294" s="48" t="b">
        <v>0</v>
      </c>
      <c r="AT294" s="7" t="b">
        <v>0</v>
      </c>
      <c r="AU294" s="40" t="str" cm="1">
        <f t="array" ref="AU294">_xlfn.XLOOKUP(PROPERTIES[[#This Row],[VEHIDCODE]],GRAPHICS_PROPERTIES[VEHIDCODE],GRAPHICS_PROPERTIES[TEMPLATE_ID]&amp;GRAPHICS_PROPERTIES[TEMPLATE_AMENDMENT_CODE])</f>
        <v>TPL_01A</v>
      </c>
    </row>
    <row r="295" spans="1:47" x14ac:dyDescent="0.35">
      <c r="A295" s="2" t="s">
        <v>2929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0" t="str">
        <f>_xlfn.XLOOKUP(PROPERTIES[[#This Row],[VEHIDCODE]],CONTROL[VEHIDCODE],CONTROL[ENGLISH])</f>
        <v>GE U10B</v>
      </c>
      <c r="F295" t="s">
        <v>595</v>
      </c>
      <c r="G295" s="40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17</v>
      </c>
      <c r="J295">
        <v>0</v>
      </c>
      <c r="K295">
        <v>5</v>
      </c>
      <c r="L295">
        <v>0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3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0">
        <v>126</v>
      </c>
      <c r="AA295" s="19">
        <f>IFERROR(PROPERTIES[[#This Row],[TE_STARTING_KN]]/(PROPERTIES[[#This Row],[WEIGHT]]*9.81),0)</f>
        <v>0.2006880733944954</v>
      </c>
      <c r="AB295" s="19">
        <v>0</v>
      </c>
      <c r="AC295" s="16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6">
        <v>0</v>
      </c>
      <c r="AF295" s="6">
        <v>0</v>
      </c>
      <c r="AG295" t="s">
        <v>231</v>
      </c>
      <c r="AH295" t="s">
        <v>237</v>
      </c>
      <c r="AI295" t="s">
        <v>1947</v>
      </c>
      <c r="AJ295" s="2" t="s">
        <v>233</v>
      </c>
      <c r="AK295" s="2" t="s">
        <v>244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44" t="b">
        <v>0</v>
      </c>
      <c r="AP295" s="48" t="b">
        <v>0</v>
      </c>
      <c r="AQ295" s="48" t="b">
        <v>0</v>
      </c>
      <c r="AR295" s="48">
        <v>0</v>
      </c>
      <c r="AS295" s="48" t="b">
        <v>0</v>
      </c>
      <c r="AT295" s="7" t="b">
        <v>0</v>
      </c>
      <c r="AU295" s="40" t="str" cm="1">
        <f t="array" ref="AU295">_xlfn.XLOOKUP(PROPERTIES[[#This Row],[VEHIDCODE]],GRAPHICS_PROPERTIES[VEHIDCODE],GRAPHICS_PROPERTIES[TEMPLATE_ID]&amp;GRAPHICS_PROPERTIES[TEMPLATE_AMENDMENT_CODE])</f>
        <v>TPL_01A</v>
      </c>
    </row>
    <row r="296" spans="1:47" x14ac:dyDescent="0.35">
      <c r="A296" s="2" t="s">
        <v>2930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0" t="str">
        <f>_xlfn.XLOOKUP(PROPERTIES[[#This Row],[VEHIDCODE]],CONTROL[VEHIDCODE],CONTROL[ENGLISH])</f>
        <v>EMD/Pacific GT26C-3</v>
      </c>
      <c r="F296" t="s">
        <v>541</v>
      </c>
      <c r="G296" s="40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17</v>
      </c>
      <c r="J296">
        <v>0</v>
      </c>
      <c r="K296">
        <v>7</v>
      </c>
      <c r="L296">
        <v>0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3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0">
        <v>385</v>
      </c>
      <c r="AA296" s="19">
        <f>IFERROR(PROPERTIES[[#This Row],[TE_STARTING_KN]]/(PROPERTIES[[#This Row],[WEIGHT]]*9.81),0)</f>
        <v>0.3164973200486666</v>
      </c>
      <c r="AB296" s="19">
        <v>0</v>
      </c>
      <c r="AC296" s="16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6">
        <v>0</v>
      </c>
      <c r="AF296" s="6">
        <v>0</v>
      </c>
      <c r="AG296" t="s">
        <v>232</v>
      </c>
      <c r="AH296" t="s">
        <v>229</v>
      </c>
      <c r="AI296" t="s">
        <v>229</v>
      </c>
      <c r="AJ296" s="2" t="s">
        <v>229</v>
      </c>
      <c r="AK296" s="2" t="s">
        <v>244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44" t="b">
        <v>0</v>
      </c>
      <c r="AP296" s="48" t="b">
        <v>0</v>
      </c>
      <c r="AQ296" s="48" t="b">
        <v>0</v>
      </c>
      <c r="AR296" s="48">
        <v>0</v>
      </c>
      <c r="AS296" s="48" t="b">
        <v>0</v>
      </c>
      <c r="AT296" s="7" t="b">
        <v>0</v>
      </c>
      <c r="AU296" s="40" t="str" cm="1">
        <f t="array" ref="AU296">_xlfn.XLOOKUP(PROPERTIES[[#This Row],[VEHIDCODE]],GRAPHICS_PROPERTIES[VEHIDCODE],GRAPHICS_PROPERTIES[TEMPLATE_ID]&amp;GRAPHICS_PROPERTIES[TEMPLATE_AMENDMENT_CODE])</f>
        <v>TPL_17B</v>
      </c>
    </row>
    <row r="297" spans="1:47" x14ac:dyDescent="0.35">
      <c r="A297" s="2" t="s">
        <v>2931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0" t="str">
        <f>_xlfn.XLOOKUP(PROPERTIES[[#This Row],[VEHIDCODE]],CONTROL[VEHIDCODE],CONTROL[ENGLISH])</f>
        <v>CargoNet 312</v>
      </c>
      <c r="F297" t="s">
        <v>693</v>
      </c>
      <c r="G297" s="40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17</v>
      </c>
      <c r="J297">
        <v>0</v>
      </c>
      <c r="K297">
        <v>8</v>
      </c>
      <c r="L297">
        <v>0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3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0">
        <v>400</v>
      </c>
      <c r="AA297" s="19">
        <f>IFERROR(PROPERTIES[[#This Row],[TE_STARTING_KN]]/(PROPERTIES[[#This Row],[WEIGHT]]*9.81),0)</f>
        <v>0.33150178596587188</v>
      </c>
      <c r="AB297" s="19">
        <v>0</v>
      </c>
      <c r="AC297" s="16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6">
        <v>0</v>
      </c>
      <c r="AF297" s="6">
        <v>0</v>
      </c>
      <c r="AG297" t="s">
        <v>234</v>
      </c>
      <c r="AH297" t="s">
        <v>229</v>
      </c>
      <c r="AI297" t="s">
        <v>229</v>
      </c>
      <c r="AJ297" s="2" t="s">
        <v>229</v>
      </c>
      <c r="AK297" s="2" t="s">
        <v>244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44" t="b">
        <v>0</v>
      </c>
      <c r="AP297" s="48" t="b">
        <v>0</v>
      </c>
      <c r="AQ297" s="48" t="b">
        <v>0</v>
      </c>
      <c r="AR297" s="48">
        <v>0</v>
      </c>
      <c r="AS297" s="48" t="b">
        <v>0</v>
      </c>
      <c r="AT297" s="7" t="b">
        <v>0</v>
      </c>
      <c r="AU297" s="40" t="str" cm="1">
        <f t="array" ref="AU297">_xlfn.XLOOKUP(PROPERTIES[[#This Row],[VEHIDCODE]],GRAPHICS_PROPERTIES[VEHIDCODE],GRAPHICS_PROPERTIES[TEMPLATE_ID]&amp;GRAPHICS_PROPERTIES[TEMPLATE_AMENDMENT_CODE])</f>
        <v>TPL_01A</v>
      </c>
    </row>
    <row r="298" spans="1:47" x14ac:dyDescent="0.35">
      <c r="A298" s="2" t="s">
        <v>2932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0" t="str">
        <f>_xlfn.XLOOKUP(PROPERTIES[[#This Row],[VEHIDCODE]],CONTROL[VEHIDCODE],CONTROL[ENGLISH])</f>
        <v>GE/Pacific C44ESACi</v>
      </c>
      <c r="F298" t="s">
        <v>541</v>
      </c>
      <c r="G298" s="40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17</v>
      </c>
      <c r="J298">
        <v>0</v>
      </c>
      <c r="K298">
        <v>8</v>
      </c>
      <c r="L298">
        <v>0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3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0">
        <v>535</v>
      </c>
      <c r="AA298" s="19">
        <f>IFERROR(PROPERTIES[[#This Row],[TE_STARTING_KN]]/(PROPERTIES[[#This Row],[WEIGHT]]*9.81),0)</f>
        <v>0.38954419688364639</v>
      </c>
      <c r="AB298" s="19">
        <v>0</v>
      </c>
      <c r="AC298" s="16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6">
        <v>0</v>
      </c>
      <c r="AF298" s="6">
        <v>0</v>
      </c>
      <c r="AG298" t="s">
        <v>232</v>
      </c>
      <c r="AH298" t="s">
        <v>229</v>
      </c>
      <c r="AI298" t="s">
        <v>229</v>
      </c>
      <c r="AJ298" s="2" t="s">
        <v>229</v>
      </c>
      <c r="AK298" s="2" t="s">
        <v>244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44" t="b">
        <v>0</v>
      </c>
      <c r="AP298" s="48" t="b">
        <v>0</v>
      </c>
      <c r="AQ298" s="48" t="b">
        <v>0</v>
      </c>
      <c r="AR298" s="48">
        <v>0</v>
      </c>
      <c r="AS298" s="48" t="b">
        <v>0</v>
      </c>
      <c r="AT298" s="7" t="b">
        <v>0</v>
      </c>
      <c r="AU298" s="40" t="str" cm="1">
        <f t="array" ref="AU298">_xlfn.XLOOKUP(PROPERTIES[[#This Row],[VEHIDCODE]],GRAPHICS_PROPERTIES[VEHIDCODE],GRAPHICS_PROPERTIES[TEMPLATE_ID]&amp;GRAPHICS_PROPERTIES[TEMPLATE_AMENDMENT_CODE])</f>
        <v>TPL_01A</v>
      </c>
    </row>
    <row r="299" spans="1:47" x14ac:dyDescent="0.35">
      <c r="A299" s="2" t="s">
        <v>2933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0" t="str">
        <f>_xlfn.XLOOKUP(PROPERTIES[[#This Row],[VEHIDCODE]],CONTROL[VEHIDCODE],CONTROL[ENGLISH])</f>
        <v>Stadler UKLight</v>
      </c>
      <c r="F299" t="s">
        <v>603</v>
      </c>
      <c r="G299" s="40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17</v>
      </c>
      <c r="J299">
        <v>0</v>
      </c>
      <c r="K299">
        <v>8</v>
      </c>
      <c r="L299">
        <v>0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3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0">
        <v>317</v>
      </c>
      <c r="AA299" s="19">
        <f>IFERROR(PROPERTIES[[#This Row],[TE_STARTING_KN]]/(PROPERTIES[[#This Row],[WEIGHT]]*9.81),0)</f>
        <v>0.38016429813515618</v>
      </c>
      <c r="AB299" s="19">
        <v>0</v>
      </c>
      <c r="AC299" s="16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6">
        <v>0</v>
      </c>
      <c r="AF299" s="6">
        <v>0</v>
      </c>
      <c r="AG299" t="s">
        <v>234</v>
      </c>
      <c r="AH299" t="s">
        <v>229</v>
      </c>
      <c r="AI299" t="s">
        <v>229</v>
      </c>
      <c r="AJ299" s="2" t="s">
        <v>229</v>
      </c>
      <c r="AK299" s="2" t="s">
        <v>244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44" t="b">
        <v>0</v>
      </c>
      <c r="AP299" s="48" t="b">
        <v>0</v>
      </c>
      <c r="AQ299" s="48" t="b">
        <v>0</v>
      </c>
      <c r="AR299" s="48">
        <v>0</v>
      </c>
      <c r="AS299" s="48" t="b">
        <v>0</v>
      </c>
      <c r="AT299" s="7" t="b">
        <v>0</v>
      </c>
      <c r="AU299" s="40" t="str" cm="1">
        <f t="array" ref="AU299">_xlfn.XLOOKUP(PROPERTIES[[#This Row],[VEHIDCODE]],GRAPHICS_PROPERTIES[VEHIDCODE],GRAPHICS_PROPERTIES[TEMPLATE_ID]&amp;GRAPHICS_PROPERTIES[TEMPLATE_AMENDMENT_CODE])</f>
        <v>TPL_01A</v>
      </c>
    </row>
    <row r="300" spans="1:47" x14ac:dyDescent="0.35">
      <c r="A300" s="2" t="s">
        <v>2934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0" t="str">
        <f>_xlfn.XLOOKUP(PROPERTIES[[#This Row],[VEHIDCODE]],CONTROL[VEHIDCODE],CONTROL[ENGLISH])</f>
        <v>Siemens Charger ALC-42</v>
      </c>
      <c r="F300" t="s">
        <v>757</v>
      </c>
      <c r="G300" s="40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17</v>
      </c>
      <c r="J300">
        <v>0</v>
      </c>
      <c r="K300">
        <v>8</v>
      </c>
      <c r="L300">
        <v>0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3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0">
        <v>290</v>
      </c>
      <c r="AA300" s="19">
        <f>IFERROR(PROPERTIES[[#This Row],[TE_STARTING_KN]]/(PROPERTIES[[#This Row],[WEIGHT]]*9.81),0)</f>
        <v>0.24634726469588855</v>
      </c>
      <c r="AB300" s="19">
        <v>0</v>
      </c>
      <c r="AC300" s="16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6">
        <v>0</v>
      </c>
      <c r="AF300" s="6">
        <v>0</v>
      </c>
      <c r="AG300" t="s">
        <v>235</v>
      </c>
      <c r="AH300" t="s">
        <v>229</v>
      </c>
      <c r="AI300" t="s">
        <v>229</v>
      </c>
      <c r="AJ300" s="2" t="s">
        <v>229</v>
      </c>
      <c r="AK300" s="2" t="s">
        <v>244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44" t="b">
        <v>0</v>
      </c>
      <c r="AP300" s="48" t="b">
        <v>0</v>
      </c>
      <c r="AQ300" s="48" t="b">
        <v>0</v>
      </c>
      <c r="AR300" s="48">
        <v>0</v>
      </c>
      <c r="AS300" s="48" t="b">
        <v>0</v>
      </c>
      <c r="AT300" s="7" t="b">
        <v>0</v>
      </c>
      <c r="AU300" s="40" t="str" cm="1">
        <f t="array" ref="AU300">_xlfn.XLOOKUP(PROPERTIES[[#This Row],[VEHIDCODE]],GRAPHICS_PROPERTIES[VEHIDCODE],GRAPHICS_PROPERTIES[TEMPLATE_ID]&amp;GRAPHICS_PROPERTIES[TEMPLATE_AMENDMENT_CODE])</f>
        <v>TPL_01A</v>
      </c>
    </row>
    <row r="301" spans="1:47" x14ac:dyDescent="0.35">
      <c r="A301" s="2" t="s">
        <v>2935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0" t="str">
        <f>_xlfn.XLOOKUP(PROPERTIES[[#This Row],[VEHIDCODE]],CONTROL[VEHIDCODE],CONTROL[ENGLISH])</f>
        <v>Buenos Aires 'Le Brugeoise'</v>
      </c>
      <c r="F301" t="s">
        <v>538</v>
      </c>
      <c r="G301" s="40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22</v>
      </c>
      <c r="J301">
        <v>84</v>
      </c>
      <c r="K301">
        <v>7</v>
      </c>
      <c r="L301">
        <v>0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3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0">
        <v>0</v>
      </c>
      <c r="AA301" s="19">
        <f>IFERROR(PROPERTIES[[#This Row],[TE_STARTING_KN]]/(PROPERTIES[[#This Row],[WEIGHT]]*9.81),0)</f>
        <v>0</v>
      </c>
      <c r="AB301" s="19">
        <v>0.2</v>
      </c>
      <c r="AC301" s="16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6">
        <v>142</v>
      </c>
      <c r="AF301" s="6">
        <v>7</v>
      </c>
      <c r="AG301" t="s">
        <v>237</v>
      </c>
      <c r="AH301" t="s">
        <v>229</v>
      </c>
      <c r="AI301" t="s">
        <v>229</v>
      </c>
      <c r="AJ301" s="2" t="s">
        <v>229</v>
      </c>
      <c r="AK301" s="2" t="s">
        <v>244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44" t="b">
        <v>0</v>
      </c>
      <c r="AP301" s="48" t="b">
        <v>0</v>
      </c>
      <c r="AQ301" s="48" t="b">
        <v>0</v>
      </c>
      <c r="AR301" s="48">
        <v>0</v>
      </c>
      <c r="AS301" s="48" t="b">
        <v>0</v>
      </c>
      <c r="AT301" s="7" t="b">
        <v>0</v>
      </c>
      <c r="AU301" s="40" t="str" cm="1">
        <f t="array" ref="AU301">_xlfn.XLOOKUP(PROPERTIES[[#This Row],[VEHIDCODE]],GRAPHICS_PROPERTIES[VEHIDCODE],GRAPHICS_PROPERTIES[TEMPLATE_ID]&amp;GRAPHICS_PROPERTIES[TEMPLATE_AMENDMENT_CODE])</f>
        <v>TPL_02C</v>
      </c>
    </row>
    <row r="302" spans="1:47" x14ac:dyDescent="0.35">
      <c r="A302" s="2" t="s">
        <v>2936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0" t="str">
        <f>_xlfn.XLOOKUP(PROPERTIES[[#This Row],[VEHIDCODE]],CONTROL[VEHIDCODE],CONTROL[ENGLISH])</f>
        <v>ACF New York R1</v>
      </c>
      <c r="F302" t="s">
        <v>757</v>
      </c>
      <c r="G302" s="40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22</v>
      </c>
      <c r="J302">
        <v>105</v>
      </c>
      <c r="K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3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0">
        <v>0</v>
      </c>
      <c r="AA302" s="19">
        <f>IFERROR(PROPERTIES[[#This Row],[TE_STARTING_KN]]/(PROPERTIES[[#This Row],[WEIGHT]]*9.81),0)</f>
        <v>0</v>
      </c>
      <c r="AB302" s="19">
        <v>0.24</v>
      </c>
      <c r="AC302" s="16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6">
        <v>156</v>
      </c>
      <c r="AF302" s="6">
        <v>8</v>
      </c>
      <c r="AG302" t="s">
        <v>235</v>
      </c>
      <c r="AH302" t="s">
        <v>229</v>
      </c>
      <c r="AI302" t="s">
        <v>229</v>
      </c>
      <c r="AJ302" s="2" t="s">
        <v>229</v>
      </c>
      <c r="AK302" s="2" t="s">
        <v>244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44" t="b">
        <v>0</v>
      </c>
      <c r="AP302" s="48" t="b">
        <v>0</v>
      </c>
      <c r="AQ302" s="48" t="b">
        <v>0</v>
      </c>
      <c r="AR302" s="48">
        <v>0</v>
      </c>
      <c r="AS302" s="48" t="b">
        <v>0</v>
      </c>
      <c r="AT302" s="7" t="b">
        <v>0</v>
      </c>
      <c r="AU302" s="40" t="str" cm="1">
        <f t="array" ref="AU302">_xlfn.XLOOKUP(PROPERTIES[[#This Row],[VEHIDCODE]],GRAPHICS_PROPERTIES[VEHIDCODE],GRAPHICS_PROPERTIES[TEMPLATE_ID]&amp;GRAPHICS_PROPERTIES[TEMPLATE_AMENDMENT_CODE])</f>
        <v>TPL_02C</v>
      </c>
    </row>
    <row r="303" spans="1:47" x14ac:dyDescent="0.35">
      <c r="A303" s="2" t="s">
        <v>2937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0" t="str">
        <f>_xlfn.XLOOKUP(PROPERTIES[[#This Row],[VEHIDCODE]],CONTROL[VEHIDCODE],CONTROL[ENGLISH])</f>
        <v>LHB ET 171</v>
      </c>
      <c r="F303" t="s">
        <v>584</v>
      </c>
      <c r="G303" s="40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22</v>
      </c>
      <c r="J303">
        <v>95</v>
      </c>
      <c r="K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3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0">
        <v>0</v>
      </c>
      <c r="AA303" s="19">
        <f>IFERROR(PROPERTIES[[#This Row],[TE_STARTING_KN]]/(PROPERTIES[[#This Row],[WEIGHT]]*9.81),0)</f>
        <v>0</v>
      </c>
      <c r="AB303" s="19">
        <v>0.22</v>
      </c>
      <c r="AC303" s="16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6">
        <v>160</v>
      </c>
      <c r="AF303" s="6">
        <v>8</v>
      </c>
      <c r="AG303" t="s">
        <v>230</v>
      </c>
      <c r="AH303" t="s">
        <v>229</v>
      </c>
      <c r="AI303" t="s">
        <v>229</v>
      </c>
      <c r="AJ303" s="2" t="s">
        <v>229</v>
      </c>
      <c r="AK303" s="2" t="s">
        <v>244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44" t="b">
        <v>0</v>
      </c>
      <c r="AP303" s="48" t="b">
        <v>0</v>
      </c>
      <c r="AQ303" s="48" t="b">
        <v>0</v>
      </c>
      <c r="AR303" s="48">
        <v>0</v>
      </c>
      <c r="AS303" s="48" t="b">
        <v>0</v>
      </c>
      <c r="AT303" s="7" t="b">
        <v>0</v>
      </c>
      <c r="AU303" s="40" t="str" cm="1">
        <f t="array" ref="AU303">_xlfn.XLOOKUP(PROPERTIES[[#This Row],[VEHIDCODE]],GRAPHICS_PROPERTIES[VEHIDCODE],GRAPHICS_PROPERTIES[TEMPLATE_ID]&amp;GRAPHICS_PROPERTIES[TEMPLATE_AMENDMENT_CODE])</f>
        <v>TPL_02C</v>
      </c>
    </row>
    <row r="304" spans="1:47" x14ac:dyDescent="0.35">
      <c r="A304" s="2" t="s">
        <v>2938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0" t="str">
        <f>_xlfn.XLOOKUP(PROPERTIES[[#This Row],[VEHIDCODE]],CONTROL[VEHIDCODE],CONTROL[ENGLISH])</f>
        <v>GEC-Alsthom Paris MP55</v>
      </c>
      <c r="F304" t="s">
        <v>602</v>
      </c>
      <c r="G304" s="40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22</v>
      </c>
      <c r="J304">
        <v>65</v>
      </c>
      <c r="K304">
        <v>7</v>
      </c>
      <c r="L304">
        <v>0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3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0">
        <v>0</v>
      </c>
      <c r="AA304" s="19">
        <f>IFERROR(PROPERTIES[[#This Row],[TE_STARTING_KN]]/(PROPERTIES[[#This Row],[WEIGHT]]*9.81),0)</f>
        <v>0</v>
      </c>
      <c r="AB304" s="19">
        <v>0.18</v>
      </c>
      <c r="AC304" s="16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6">
        <v>140</v>
      </c>
      <c r="AF304" s="6">
        <v>7</v>
      </c>
      <c r="AG304" t="s">
        <v>230</v>
      </c>
      <c r="AH304" t="s">
        <v>229</v>
      </c>
      <c r="AI304" t="s">
        <v>229</v>
      </c>
      <c r="AJ304" s="2" t="s">
        <v>229</v>
      </c>
      <c r="AK304" s="2" t="s">
        <v>244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44" t="b">
        <v>0</v>
      </c>
      <c r="AP304" s="48" t="b">
        <v>0</v>
      </c>
      <c r="AQ304" s="48" t="b">
        <v>0</v>
      </c>
      <c r="AR304" s="48">
        <v>0</v>
      </c>
      <c r="AS304" s="48" t="b">
        <v>0</v>
      </c>
      <c r="AT304" s="7" t="b">
        <v>0</v>
      </c>
      <c r="AU304" s="40" t="str" cm="1">
        <f t="array" ref="AU304">_xlfn.XLOOKUP(PROPERTIES[[#This Row],[VEHIDCODE]],GRAPHICS_PROPERTIES[VEHIDCODE],GRAPHICS_PROPERTIES[TEMPLATE_ID]&amp;GRAPHICS_PROPERTIES[TEMPLATE_AMENDMENT_CODE])</f>
        <v>TPL_02C</v>
      </c>
    </row>
    <row r="305" spans="1:47" x14ac:dyDescent="0.35">
      <c r="A305" s="2" t="s">
        <v>2939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0" t="str">
        <f>_xlfn.XLOOKUP(PROPERTIES[[#This Row],[VEHIDCODE]],CONTROL[VEHIDCODE],CONTROL[ENGLISH])</f>
        <v>LHB Lisbon ML7</v>
      </c>
      <c r="F305" t="s">
        <v>710</v>
      </c>
      <c r="G305" s="40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22</v>
      </c>
      <c r="J305">
        <v>85</v>
      </c>
      <c r="K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3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0">
        <v>0</v>
      </c>
      <c r="AA305" s="19">
        <f>IFERROR(PROPERTIES[[#This Row],[TE_STARTING_KN]]/(PROPERTIES[[#This Row],[WEIGHT]]*9.81),0)</f>
        <v>0</v>
      </c>
      <c r="AB305" s="19">
        <v>0.24</v>
      </c>
      <c r="AC305" s="16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6">
        <v>160</v>
      </c>
      <c r="AF305" s="6">
        <v>8</v>
      </c>
      <c r="AG305" t="s">
        <v>231</v>
      </c>
      <c r="AH305" t="s">
        <v>229</v>
      </c>
      <c r="AI305" t="s">
        <v>229</v>
      </c>
      <c r="AJ305" s="2" t="s">
        <v>229</v>
      </c>
      <c r="AK305" s="2" t="s">
        <v>244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44" t="b">
        <v>0</v>
      </c>
      <c r="AP305" s="48" t="b">
        <v>0</v>
      </c>
      <c r="AQ305" s="48" t="b">
        <v>0</v>
      </c>
      <c r="AR305" s="48">
        <v>0</v>
      </c>
      <c r="AS305" s="48" t="b">
        <v>0</v>
      </c>
      <c r="AT305" s="7" t="b">
        <v>0</v>
      </c>
      <c r="AU305" s="40" t="str" cm="1">
        <f t="array" ref="AU305">_xlfn.XLOOKUP(PROPERTIES[[#This Row],[VEHIDCODE]],GRAPHICS_PROPERTIES[VEHIDCODE],GRAPHICS_PROPERTIES[TEMPLATE_ID]&amp;GRAPHICS_PROPERTIES[TEMPLATE_AMENDMENT_CODE])</f>
        <v>TPL_02C</v>
      </c>
    </row>
    <row r="306" spans="1:47" x14ac:dyDescent="0.35">
      <c r="A306" s="2" t="s">
        <v>2940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0" t="str">
        <f>_xlfn.XLOOKUP(PROPERTIES[[#This Row],[VEHIDCODE]],CONTROL[VEHIDCODE],CONTROL[ENGLISH])</f>
        <v>MMZ 81-707 Type Ezsh</v>
      </c>
      <c r="F306" t="s">
        <v>716</v>
      </c>
      <c r="G306" s="40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22</v>
      </c>
      <c r="J306">
        <v>132</v>
      </c>
      <c r="K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3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0">
        <v>0</v>
      </c>
      <c r="AA306" s="19">
        <f>IFERROR(PROPERTIES[[#This Row],[TE_STARTING_KN]]/(PROPERTIES[[#This Row],[WEIGHT]]*9.81),0)</f>
        <v>0</v>
      </c>
      <c r="AB306" s="19">
        <v>0.25</v>
      </c>
      <c r="AC306" s="16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6">
        <v>150</v>
      </c>
      <c r="AF306" s="6">
        <v>8</v>
      </c>
      <c r="AG306" t="s">
        <v>1948</v>
      </c>
      <c r="AH306" t="s">
        <v>229</v>
      </c>
      <c r="AI306" t="s">
        <v>229</v>
      </c>
      <c r="AJ306" s="2" t="s">
        <v>229</v>
      </c>
      <c r="AK306" s="2" t="s">
        <v>244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44" t="b">
        <v>0</v>
      </c>
      <c r="AP306" s="48" t="b">
        <v>0</v>
      </c>
      <c r="AQ306" s="48" t="b">
        <v>0</v>
      </c>
      <c r="AR306" s="48">
        <v>0</v>
      </c>
      <c r="AS306" s="48" t="b">
        <v>0</v>
      </c>
      <c r="AT306" s="7" t="b">
        <v>0</v>
      </c>
      <c r="AU306" s="40" t="str" cm="1">
        <f t="array" ref="AU306">_xlfn.XLOOKUP(PROPERTIES[[#This Row],[VEHIDCODE]],GRAPHICS_PROPERTIES[VEHIDCODE],GRAPHICS_PROPERTIES[TEMPLATE_ID]&amp;GRAPHICS_PROPERTIES[TEMPLATE_AMENDMENT_CODE])</f>
        <v>TPL_02C</v>
      </c>
    </row>
    <row r="307" spans="1:47" x14ac:dyDescent="0.35">
      <c r="A307" s="2" t="s">
        <v>2941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0" t="str">
        <f>_xlfn.XLOOKUP(PROPERTIES[[#This Row],[VEHIDCODE]],CONTROL[VEHIDCODE],CONTROL[ENGLISH])</f>
        <v>Strommens Oslo T1000</v>
      </c>
      <c r="F307" t="s">
        <v>693</v>
      </c>
      <c r="G307" s="40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22</v>
      </c>
      <c r="J307">
        <v>135</v>
      </c>
      <c r="K307">
        <v>7</v>
      </c>
      <c r="L307">
        <v>0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3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0">
        <v>0</v>
      </c>
      <c r="AA307" s="19">
        <f>IFERROR(PROPERTIES[[#This Row],[TE_STARTING_KN]]/(PROPERTIES[[#This Row],[WEIGHT]]*9.81),0)</f>
        <v>0</v>
      </c>
      <c r="AB307" s="19">
        <v>0.25</v>
      </c>
      <c r="AC307" s="16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6">
        <v>180</v>
      </c>
      <c r="AF307" s="6">
        <v>7</v>
      </c>
      <c r="AG307" t="s">
        <v>234</v>
      </c>
      <c r="AH307" t="s">
        <v>229</v>
      </c>
      <c r="AI307" t="s">
        <v>229</v>
      </c>
      <c r="AJ307" s="2" t="s">
        <v>229</v>
      </c>
      <c r="AK307" s="2" t="s">
        <v>244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44" t="b">
        <v>0</v>
      </c>
      <c r="AP307" s="48" t="b">
        <v>0</v>
      </c>
      <c r="AQ307" s="48" t="b">
        <v>0</v>
      </c>
      <c r="AR307" s="48">
        <v>0</v>
      </c>
      <c r="AS307" s="48" t="b">
        <v>0</v>
      </c>
      <c r="AT307" s="7" t="b">
        <v>0</v>
      </c>
      <c r="AU307" s="40" t="str" cm="1">
        <f t="array" ref="AU307">_xlfn.XLOOKUP(PROPERTIES[[#This Row],[VEHIDCODE]],GRAPHICS_PROPERTIES[VEHIDCODE],GRAPHICS_PROPERTIES[TEMPLATE_ID]&amp;GRAPHICS_PROPERTIES[TEMPLATE_AMENDMENT_CODE])</f>
        <v>TPL_02C</v>
      </c>
    </row>
    <row r="308" spans="1:47" x14ac:dyDescent="0.35">
      <c r="A308" s="2" t="s">
        <v>2942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0" t="str">
        <f>_xlfn.XLOOKUP(PROPERTIES[[#This Row],[VEHIDCODE]],CONTROL[VEHIDCODE],CONTROL[ENGLISH])</f>
        <v>Hawker Siddeley Toronto H1</v>
      </c>
      <c r="F308" t="s">
        <v>565</v>
      </c>
      <c r="G308" s="40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22</v>
      </c>
      <c r="J308">
        <v>150</v>
      </c>
      <c r="K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3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0">
        <v>0</v>
      </c>
      <c r="AA308" s="19">
        <f>IFERROR(PROPERTIES[[#This Row],[TE_STARTING_KN]]/(PROPERTIES[[#This Row],[WEIGHT]]*9.81),0)</f>
        <v>0</v>
      </c>
      <c r="AB308" s="19">
        <v>0.25</v>
      </c>
      <c r="AC308" s="16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6">
        <v>210</v>
      </c>
      <c r="AF308" s="6">
        <v>8</v>
      </c>
      <c r="AG308" t="s">
        <v>235</v>
      </c>
      <c r="AH308" t="s">
        <v>229</v>
      </c>
      <c r="AI308" t="s">
        <v>229</v>
      </c>
      <c r="AJ308" s="2" t="s">
        <v>229</v>
      </c>
      <c r="AK308" s="2" t="s">
        <v>244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44" t="b">
        <v>0</v>
      </c>
      <c r="AP308" s="48" t="b">
        <v>0</v>
      </c>
      <c r="AQ308" s="48" t="b">
        <v>0</v>
      </c>
      <c r="AR308" s="48">
        <v>0</v>
      </c>
      <c r="AS308" s="48" t="b">
        <v>0</v>
      </c>
      <c r="AT308" s="7" t="b">
        <v>0</v>
      </c>
      <c r="AU308" s="40" t="str" cm="1">
        <f t="array" ref="AU308">_xlfn.XLOOKUP(PROPERTIES[[#This Row],[VEHIDCODE]],GRAPHICS_PROPERTIES[VEHIDCODE],GRAPHICS_PROPERTIES[TEMPLATE_ID]&amp;GRAPHICS_PROPERTIES[TEMPLATE_AMENDMENT_CODE])</f>
        <v>TPL_02C</v>
      </c>
    </row>
    <row r="309" spans="1:47" x14ac:dyDescent="0.35">
      <c r="A309" s="2" t="s">
        <v>2943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0" t="str">
        <f>_xlfn.XLOOKUP(PROPERTIES[[#This Row],[VEHIDCODE]],CONTROL[VEHIDCODE],CONTROL[ENGLISH])</f>
        <v>MAN Munchen MVG A2</v>
      </c>
      <c r="F309" t="s">
        <v>584</v>
      </c>
      <c r="G309" s="40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22</v>
      </c>
      <c r="J309">
        <v>145</v>
      </c>
      <c r="K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3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0">
        <v>0</v>
      </c>
      <c r="AA309" s="19">
        <f>IFERROR(PROPERTIES[[#This Row],[TE_STARTING_KN]]/(PROPERTIES[[#This Row],[WEIGHT]]*9.81),0)</f>
        <v>0</v>
      </c>
      <c r="AB309" s="19">
        <v>0.26</v>
      </c>
      <c r="AC309" s="16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6">
        <v>195</v>
      </c>
      <c r="AF309" s="6">
        <v>8</v>
      </c>
      <c r="AG309" t="s">
        <v>230</v>
      </c>
      <c r="AH309" t="s">
        <v>229</v>
      </c>
      <c r="AI309" t="s">
        <v>229</v>
      </c>
      <c r="AJ309" s="2" t="s">
        <v>229</v>
      </c>
      <c r="AK309" s="2" t="s">
        <v>244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44" t="b">
        <v>0</v>
      </c>
      <c r="AP309" s="48" t="b">
        <v>0</v>
      </c>
      <c r="AQ309" s="48" t="b">
        <v>0</v>
      </c>
      <c r="AR309" s="48">
        <v>0</v>
      </c>
      <c r="AS309" s="48" t="b">
        <v>0</v>
      </c>
      <c r="AT309" s="7" t="b">
        <v>0</v>
      </c>
      <c r="AU309" s="40" t="str" cm="1">
        <f t="array" ref="AU309">_xlfn.XLOOKUP(PROPERTIES[[#This Row],[VEHIDCODE]],GRAPHICS_PROPERTIES[VEHIDCODE],GRAPHICS_PROPERTIES[TEMPLATE_ID]&amp;GRAPHICS_PROPERTIES[TEMPLATE_AMENDMENT_CODE])</f>
        <v>TPL_02C</v>
      </c>
    </row>
    <row r="310" spans="1:47" x14ac:dyDescent="0.35">
      <c r="A310" s="2" t="s">
        <v>2944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0" t="str">
        <f>_xlfn.XLOOKUP(PROPERTIES[[#This Row],[VEHIDCODE]],CONTROL[VEHIDCODE],CONTROL[ENGLISH])</f>
        <v>St. Louis Car Co New York R44</v>
      </c>
      <c r="F310" t="s">
        <v>757</v>
      </c>
      <c r="G310" s="40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22</v>
      </c>
      <c r="J310">
        <v>150</v>
      </c>
      <c r="K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3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0">
        <v>0</v>
      </c>
      <c r="AA310" s="19">
        <f>IFERROR(PROPERTIES[[#This Row],[TE_STARTING_KN]]/(PROPERTIES[[#This Row],[WEIGHT]]*9.81),0)</f>
        <v>0</v>
      </c>
      <c r="AB310" s="19">
        <v>0.26</v>
      </c>
      <c r="AC310" s="16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6">
        <v>162</v>
      </c>
      <c r="AF310" s="6">
        <v>8</v>
      </c>
      <c r="AG310" t="s">
        <v>235</v>
      </c>
      <c r="AH310" t="s">
        <v>229</v>
      </c>
      <c r="AI310" t="s">
        <v>229</v>
      </c>
      <c r="AJ310" s="2" t="s">
        <v>229</v>
      </c>
      <c r="AK310" s="2" t="s">
        <v>244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44" t="b">
        <v>0</v>
      </c>
      <c r="AP310" s="48" t="b">
        <v>0</v>
      </c>
      <c r="AQ310" s="48" t="b">
        <v>0</v>
      </c>
      <c r="AR310" s="48">
        <v>0</v>
      </c>
      <c r="AS310" s="48" t="b">
        <v>0</v>
      </c>
      <c r="AT310" s="7" t="b">
        <v>0</v>
      </c>
      <c r="AU310" s="40" t="str" cm="1">
        <f t="array" ref="AU310">_xlfn.XLOOKUP(PROPERTIES[[#This Row],[VEHIDCODE]],GRAPHICS_PROPERTIES[VEHIDCODE],GRAPHICS_PROPERTIES[TEMPLATE_ID]&amp;GRAPHICS_PROPERTIES[TEMPLATE_AMENDMENT_CODE])</f>
        <v>TPL_02C</v>
      </c>
    </row>
    <row r="311" spans="1:47" x14ac:dyDescent="0.35">
      <c r="A311" s="2" t="s">
        <v>2945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0" t="str">
        <f>_xlfn.XLOOKUP(PROPERTIES[[#This Row],[VEHIDCODE]],CONTROL[VEHIDCODE],CONTROL[ENGLISH])</f>
        <v>LHB Amsterdam M1</v>
      </c>
      <c r="F311" t="s">
        <v>692</v>
      </c>
      <c r="G311" s="40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22</v>
      </c>
      <c r="J311">
        <v>150</v>
      </c>
      <c r="K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3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0">
        <v>0</v>
      </c>
      <c r="AA311" s="19">
        <f>IFERROR(PROPERTIES[[#This Row],[TE_STARTING_KN]]/(PROPERTIES[[#This Row],[WEIGHT]]*9.81),0)</f>
        <v>0</v>
      </c>
      <c r="AB311" s="19">
        <v>0.26</v>
      </c>
      <c r="AC311" s="16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6">
        <v>174</v>
      </c>
      <c r="AF311" s="6">
        <v>7</v>
      </c>
      <c r="AG311" t="s">
        <v>230</v>
      </c>
      <c r="AH311" t="s">
        <v>229</v>
      </c>
      <c r="AI311" t="s">
        <v>229</v>
      </c>
      <c r="AJ311" s="2" t="s">
        <v>229</v>
      </c>
      <c r="AK311" s="2" t="s">
        <v>244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44" t="b">
        <v>0</v>
      </c>
      <c r="AP311" s="48" t="b">
        <v>0</v>
      </c>
      <c r="AQ311" s="48" t="b">
        <v>0</v>
      </c>
      <c r="AR311" s="48">
        <v>0</v>
      </c>
      <c r="AS311" s="48" t="b">
        <v>0</v>
      </c>
      <c r="AT311" s="7" t="b">
        <v>0</v>
      </c>
      <c r="AU311" s="40" t="str" cm="1">
        <f t="array" ref="AU311">_xlfn.XLOOKUP(PROPERTIES[[#This Row],[VEHIDCODE]],GRAPHICS_PROPERTIES[VEHIDCODE],GRAPHICS_PROPERTIES[TEMPLATE_ID]&amp;GRAPHICS_PROPERTIES[TEMPLATE_AMENDMENT_CODE])</f>
        <v>TPL_02C</v>
      </c>
    </row>
    <row r="312" spans="1:47" x14ac:dyDescent="0.35">
      <c r="A312" s="2" t="s">
        <v>2946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0" t="str">
        <f>_xlfn.XLOOKUP(PROPERTIES[[#This Row],[VEHIDCODE]],CONTROL[VEHIDCODE],CONTROL[ENGLISH])</f>
        <v>ASEA Stockholm C8</v>
      </c>
      <c r="F312" t="s">
        <v>722</v>
      </c>
      <c r="G312" s="40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22</v>
      </c>
      <c r="J312">
        <v>150</v>
      </c>
      <c r="K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3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0">
        <v>0</v>
      </c>
      <c r="AA312" s="19">
        <f>IFERROR(PROPERTIES[[#This Row],[TE_STARTING_KN]]/(PROPERTIES[[#This Row],[WEIGHT]]*9.81),0)</f>
        <v>0</v>
      </c>
      <c r="AB312" s="19">
        <v>0.27</v>
      </c>
      <c r="AC312" s="16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6">
        <v>158</v>
      </c>
      <c r="AF312" s="6">
        <v>8</v>
      </c>
      <c r="AG312" t="s">
        <v>234</v>
      </c>
      <c r="AH312" t="s">
        <v>229</v>
      </c>
      <c r="AI312" t="s">
        <v>229</v>
      </c>
      <c r="AJ312" s="2" t="s">
        <v>229</v>
      </c>
      <c r="AK312" s="2" t="s">
        <v>244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44" t="b">
        <v>0</v>
      </c>
      <c r="AP312" s="48" t="b">
        <v>0</v>
      </c>
      <c r="AQ312" s="48" t="b">
        <v>0</v>
      </c>
      <c r="AR312" s="48">
        <v>0</v>
      </c>
      <c r="AS312" s="48" t="b">
        <v>0</v>
      </c>
      <c r="AT312" s="7" t="b">
        <v>0</v>
      </c>
      <c r="AU312" s="40" t="str" cm="1">
        <f t="array" ref="AU312">_xlfn.XLOOKUP(PROPERTIES[[#This Row],[VEHIDCODE]],GRAPHICS_PROPERTIES[VEHIDCODE],GRAPHICS_PROPERTIES[TEMPLATE_ID]&amp;GRAPHICS_PROPERTIES[TEMPLATE_AMENDMENT_CODE])</f>
        <v>TPL_02C</v>
      </c>
    </row>
    <row r="313" spans="1:47" x14ac:dyDescent="0.35">
      <c r="A313" s="2" t="s">
        <v>2947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0" t="str">
        <f>_xlfn.XLOOKUP(PROPERTIES[[#This Row],[VEHIDCODE]],CONTROL[VEHIDCODE],CONTROL[ENGLISH])</f>
        <v>AEG D</v>
      </c>
      <c r="F313" t="s">
        <v>774</v>
      </c>
      <c r="G313" s="40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22</v>
      </c>
      <c r="J313">
        <v>160</v>
      </c>
      <c r="K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3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0">
        <v>0</v>
      </c>
      <c r="AA313" s="19">
        <f>IFERROR(PROPERTIES[[#This Row],[TE_STARTING_KN]]/(PROPERTIES[[#This Row],[WEIGHT]]*9.81),0)</f>
        <v>0</v>
      </c>
      <c r="AB313" s="19">
        <v>0.23</v>
      </c>
      <c r="AC313" s="16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6">
        <v>180</v>
      </c>
      <c r="AF313" s="6">
        <v>8</v>
      </c>
      <c r="AG313" t="s">
        <v>230</v>
      </c>
      <c r="AH313" t="s">
        <v>238</v>
      </c>
      <c r="AI313" t="s">
        <v>229</v>
      </c>
      <c r="AJ313" s="2" t="s">
        <v>229</v>
      </c>
      <c r="AK313" s="2" t="s">
        <v>244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44" t="b">
        <v>0</v>
      </c>
      <c r="AP313" s="48" t="b">
        <v>0</v>
      </c>
      <c r="AQ313" s="48" t="b">
        <v>0</v>
      </c>
      <c r="AR313" s="48">
        <v>0</v>
      </c>
      <c r="AS313" s="48" t="b">
        <v>0</v>
      </c>
      <c r="AT313" s="7" t="b">
        <v>0</v>
      </c>
      <c r="AU313" s="40" t="str" cm="1">
        <f t="array" ref="AU313">_xlfn.XLOOKUP(PROPERTIES[[#This Row],[VEHIDCODE]],GRAPHICS_PROPERTIES[VEHIDCODE],GRAPHICS_PROPERTIES[TEMPLATE_ID]&amp;GRAPHICS_PROPERTIES[TEMPLATE_AMENDMENT_CODE])</f>
        <v>TPL_02C</v>
      </c>
    </row>
    <row r="314" spans="1:47" x14ac:dyDescent="0.35">
      <c r="A314" s="2" t="s">
        <v>2948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0" t="str">
        <f>_xlfn.XLOOKUP(PROPERTIES[[#This Row],[VEHIDCODE]],CONTROL[VEHIDCODE],CONTROL[ENGLISH])</f>
        <v>Valmet Helsinki M100</v>
      </c>
      <c r="F314" t="s">
        <v>597</v>
      </c>
      <c r="G314" s="40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22</v>
      </c>
      <c r="J314">
        <v>144</v>
      </c>
      <c r="K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3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0">
        <v>0</v>
      </c>
      <c r="AA314" s="19">
        <f>IFERROR(PROPERTIES[[#This Row],[TE_STARTING_KN]]/(PROPERTIES[[#This Row],[WEIGHT]]*9.81),0)</f>
        <v>0</v>
      </c>
      <c r="AB314" s="19">
        <v>0.3</v>
      </c>
      <c r="AC314" s="16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6">
        <v>165</v>
      </c>
      <c r="AF314" s="6">
        <v>8</v>
      </c>
      <c r="AG314" t="s">
        <v>234</v>
      </c>
      <c r="AH314" t="s">
        <v>229</v>
      </c>
      <c r="AI314" t="s">
        <v>229</v>
      </c>
      <c r="AJ314" s="2" t="s">
        <v>229</v>
      </c>
      <c r="AK314" s="2" t="s">
        <v>244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44" t="b">
        <v>0</v>
      </c>
      <c r="AP314" s="48" t="b">
        <v>0</v>
      </c>
      <c r="AQ314" s="48" t="b">
        <v>0</v>
      </c>
      <c r="AR314" s="48">
        <v>0</v>
      </c>
      <c r="AS314" s="48" t="b">
        <v>0</v>
      </c>
      <c r="AT314" s="7" t="b">
        <v>0</v>
      </c>
      <c r="AU314" s="40" t="str" cm="1">
        <f t="array" ref="AU314">_xlfn.XLOOKUP(PROPERTIES[[#This Row],[VEHIDCODE]],GRAPHICS_PROPERTIES[VEHIDCODE],GRAPHICS_PROPERTIES[TEMPLATE_ID]&amp;GRAPHICS_PROPERTIES[TEMPLATE_AMENDMENT_CODE])</f>
        <v>TPL_02C</v>
      </c>
    </row>
    <row r="315" spans="1:47" x14ac:dyDescent="0.35">
      <c r="A315" s="2" t="s">
        <v>2949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0" t="str">
        <f>_xlfn.XLOOKUP(PROPERTIES[[#This Row],[VEHIDCODE]],CONTROL[VEHIDCODE],CONTROL[ENGLISH])</f>
        <v>Sorefame Sao Paulo Serie 5500</v>
      </c>
      <c r="F315" t="s">
        <v>558</v>
      </c>
      <c r="G315" s="40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22</v>
      </c>
      <c r="J315">
        <v>160</v>
      </c>
      <c r="K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3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0">
        <v>0</v>
      </c>
      <c r="AA315" s="19">
        <f>IFERROR(PROPERTIES[[#This Row],[TE_STARTING_KN]]/(PROPERTIES[[#This Row],[WEIGHT]]*9.81),0)</f>
        <v>0</v>
      </c>
      <c r="AB315" s="19">
        <v>0.25</v>
      </c>
      <c r="AC315" s="16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6">
        <v>230</v>
      </c>
      <c r="AF315" s="6">
        <v>8</v>
      </c>
      <c r="AG315" t="s">
        <v>237</v>
      </c>
      <c r="AH315" t="s">
        <v>229</v>
      </c>
      <c r="AI315" t="s">
        <v>229</v>
      </c>
      <c r="AJ315" s="2" t="s">
        <v>229</v>
      </c>
      <c r="AK315" s="2" t="s">
        <v>244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44" t="b">
        <v>0</v>
      </c>
      <c r="AP315" s="48" t="b">
        <v>0</v>
      </c>
      <c r="AQ315" s="48" t="b">
        <v>0</v>
      </c>
      <c r="AR315" s="48">
        <v>0</v>
      </c>
      <c r="AS315" s="48" t="b">
        <v>0</v>
      </c>
      <c r="AT315" s="7" t="b">
        <v>0</v>
      </c>
      <c r="AU315" s="40" t="str" cm="1">
        <f t="array" ref="AU315">_xlfn.XLOOKUP(PROPERTIES[[#This Row],[VEHIDCODE]],GRAPHICS_PROPERTIES[VEHIDCODE],GRAPHICS_PROPERTIES[TEMPLATE_ID]&amp;GRAPHICS_PROPERTIES[TEMPLATE_AMENDMENT_CODE])</f>
        <v>TPL_02C</v>
      </c>
    </row>
    <row r="316" spans="1:47" x14ac:dyDescent="0.35">
      <c r="A316" s="2" t="s">
        <v>2950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0" t="str">
        <f>_xlfn.XLOOKUP(PROPERTIES[[#This Row],[VEHIDCODE]],CONTROL[VEHIDCODE],CONTROL[ENGLISH])</f>
        <v>MMZ 81-720</v>
      </c>
      <c r="F316" t="s">
        <v>716</v>
      </c>
      <c r="G316" s="40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22</v>
      </c>
      <c r="J316">
        <v>144</v>
      </c>
      <c r="K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3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0">
        <v>0</v>
      </c>
      <c r="AA316" s="19">
        <f>IFERROR(PROPERTIES[[#This Row],[TE_STARTING_KN]]/(PROPERTIES[[#This Row],[WEIGHT]]*9.81),0)</f>
        <v>0</v>
      </c>
      <c r="AB316" s="19">
        <v>0.3</v>
      </c>
      <c r="AC316" s="16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6">
        <v>144</v>
      </c>
      <c r="AF316" s="6">
        <v>8</v>
      </c>
      <c r="AG316" t="s">
        <v>1948</v>
      </c>
      <c r="AH316" t="s">
        <v>229</v>
      </c>
      <c r="AI316" t="s">
        <v>229</v>
      </c>
      <c r="AJ316" s="2" t="s">
        <v>229</v>
      </c>
      <c r="AK316" s="2" t="s">
        <v>244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44" t="b">
        <v>0</v>
      </c>
      <c r="AP316" s="48" t="b">
        <v>0</v>
      </c>
      <c r="AQ316" s="48" t="b">
        <v>0</v>
      </c>
      <c r="AR316" s="48">
        <v>0</v>
      </c>
      <c r="AS316" s="48" t="b">
        <v>0</v>
      </c>
      <c r="AT316" s="7" t="b">
        <v>0</v>
      </c>
      <c r="AU316" s="40" t="str" cm="1">
        <f t="array" ref="AU316">_xlfn.XLOOKUP(PROPERTIES[[#This Row],[VEHIDCODE]],GRAPHICS_PROPERTIES[VEHIDCODE],GRAPHICS_PROPERTIES[TEMPLATE_ID]&amp;GRAPHICS_PROPERTIES[TEMPLATE_AMENDMENT_CODE])</f>
        <v>TPL_02C</v>
      </c>
    </row>
    <row r="317" spans="1:47" x14ac:dyDescent="0.35">
      <c r="A317" s="2" t="s">
        <v>2951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0" t="str">
        <f>_xlfn.XLOOKUP(PROPERTIES[[#This Row],[VEHIDCODE]],CONTROL[VEHIDCODE],CONTROL[ENGLISH])</f>
        <v>Kawasaki Tokyo S01</v>
      </c>
      <c r="F317" t="s">
        <v>640</v>
      </c>
      <c r="G317" s="40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22</v>
      </c>
      <c r="J317">
        <v>100</v>
      </c>
      <c r="K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3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0">
        <v>0</v>
      </c>
      <c r="AA317" s="19">
        <f>IFERROR(PROPERTIES[[#This Row],[TE_STARTING_KN]]/(PROPERTIES[[#This Row],[WEIGHT]]*9.81),0)</f>
        <v>0</v>
      </c>
      <c r="AB317" s="19">
        <v>0.28000000000000003</v>
      </c>
      <c r="AC317" s="16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6">
        <v>120</v>
      </c>
      <c r="AF317" s="6">
        <v>8</v>
      </c>
      <c r="AG317" t="s">
        <v>238</v>
      </c>
      <c r="AH317" t="s">
        <v>229</v>
      </c>
      <c r="AI317" t="s">
        <v>229</v>
      </c>
      <c r="AJ317" s="2" t="s">
        <v>229</v>
      </c>
      <c r="AK317" s="2" t="s">
        <v>244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44" t="b">
        <v>0</v>
      </c>
      <c r="AP317" s="48" t="b">
        <v>0</v>
      </c>
      <c r="AQ317" s="48" t="b">
        <v>0</v>
      </c>
      <c r="AR317" s="48">
        <v>0</v>
      </c>
      <c r="AS317" s="48" t="b">
        <v>0</v>
      </c>
      <c r="AT317" s="7" t="b">
        <v>0</v>
      </c>
      <c r="AU317" s="40" t="str" cm="1">
        <f t="array" ref="AU317">_xlfn.XLOOKUP(PROPERTIES[[#This Row],[VEHIDCODE]],GRAPHICS_PROPERTIES[VEHIDCODE],GRAPHICS_PROPERTIES[TEMPLATE_ID]&amp;GRAPHICS_PROPERTIES[TEMPLATE_AMENDMENT_CODE])</f>
        <v>TPL_02C</v>
      </c>
    </row>
    <row r="318" spans="1:47" x14ac:dyDescent="0.35">
      <c r="A318" s="2" t="s">
        <v>2952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0" t="str">
        <f>_xlfn.XLOOKUP(PROPERTIES[[#This Row],[VEHIDCODE]],CONTROL[VEHIDCODE],CONTROL[ENGLISH])</f>
        <v>Kinki Sharyo Vcairo</v>
      </c>
      <c r="F318" t="s">
        <v>592</v>
      </c>
      <c r="G318" s="40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22</v>
      </c>
      <c r="J318">
        <v>165</v>
      </c>
      <c r="K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3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0">
        <v>0</v>
      </c>
      <c r="AA318" s="19">
        <f>IFERROR(PROPERTIES[[#This Row],[TE_STARTING_KN]]/(PROPERTIES[[#This Row],[WEIGHT]]*9.81),0)</f>
        <v>0</v>
      </c>
      <c r="AB318" s="19">
        <v>0.26</v>
      </c>
      <c r="AC318" s="16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6">
        <v>250</v>
      </c>
      <c r="AF318" s="6">
        <v>8</v>
      </c>
      <c r="AG318" t="s">
        <v>233</v>
      </c>
      <c r="AH318" t="s">
        <v>229</v>
      </c>
      <c r="AI318" t="s">
        <v>229</v>
      </c>
      <c r="AJ318" s="2" t="s">
        <v>229</v>
      </c>
      <c r="AK318" s="2" t="s">
        <v>244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44" t="b">
        <v>0</v>
      </c>
      <c r="AP318" s="48" t="b">
        <v>0</v>
      </c>
      <c r="AQ318" s="48" t="b">
        <v>0</v>
      </c>
      <c r="AR318" s="48">
        <v>0</v>
      </c>
      <c r="AS318" s="48" t="b">
        <v>0</v>
      </c>
      <c r="AT318" s="7" t="b">
        <v>0</v>
      </c>
      <c r="AU318" s="40" t="str" cm="1">
        <f t="array" ref="AU318">_xlfn.XLOOKUP(PROPERTIES[[#This Row],[VEHIDCODE]],GRAPHICS_PROPERTIES[VEHIDCODE],GRAPHICS_PROPERTIES[TEMPLATE_ID]&amp;GRAPHICS_PROPERTIES[TEMPLATE_AMENDMENT_CODE])</f>
        <v>TPL_02C</v>
      </c>
    </row>
    <row r="319" spans="1:47" x14ac:dyDescent="0.35">
      <c r="A319" s="2" t="s">
        <v>2953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0" t="str">
        <f>_xlfn.XLOOKUP(PROPERTIES[[#This Row],[VEHIDCODE]],CONTROL[VEHIDCODE],CONTROL[ENGLISH])</f>
        <v>LHB London DLR P86</v>
      </c>
      <c r="F319" t="s">
        <v>603</v>
      </c>
      <c r="G319" s="40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22</v>
      </c>
      <c r="J319">
        <v>142</v>
      </c>
      <c r="K319">
        <v>6</v>
      </c>
      <c r="L319">
        <v>0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3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0">
        <v>0</v>
      </c>
      <c r="AA319" s="19">
        <f>IFERROR(PROPERTIES[[#This Row],[TE_STARTING_KN]]/(PROPERTIES[[#This Row],[WEIGHT]]*9.81),0)</f>
        <v>0</v>
      </c>
      <c r="AB319" s="19">
        <v>0.25</v>
      </c>
      <c r="AC319" s="16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6">
        <v>200</v>
      </c>
      <c r="AF319" s="6">
        <v>6</v>
      </c>
      <c r="AG319" t="s">
        <v>234</v>
      </c>
      <c r="AH319" t="s">
        <v>229</v>
      </c>
      <c r="AI319" t="s">
        <v>229</v>
      </c>
      <c r="AJ319" s="2" t="s">
        <v>229</v>
      </c>
      <c r="AK319" s="2" t="s">
        <v>244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44" t="b">
        <v>0</v>
      </c>
      <c r="AP319" s="48" t="b">
        <v>0</v>
      </c>
      <c r="AQ319" s="48" t="b">
        <v>0</v>
      </c>
      <c r="AR319" s="48">
        <v>0</v>
      </c>
      <c r="AS319" s="48" t="b">
        <v>0</v>
      </c>
      <c r="AT319" s="7" t="b">
        <v>0</v>
      </c>
      <c r="AU319" s="40" t="str" cm="1">
        <f t="array" ref="AU319">_xlfn.XLOOKUP(PROPERTIES[[#This Row],[VEHIDCODE]],GRAPHICS_PROPERTIES[VEHIDCODE],GRAPHICS_PROPERTIES[TEMPLATE_ID]&amp;GRAPHICS_PROPERTIES[TEMPLATE_AMENDMENT_CODE])</f>
        <v>TPL_02C</v>
      </c>
    </row>
    <row r="320" spans="1:47" x14ac:dyDescent="0.35">
      <c r="A320" s="2" t="s">
        <v>2954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0" t="str">
        <f>_xlfn.XLOOKUP(PROPERTIES[[#This Row],[VEHIDCODE]],CONTROL[VEHIDCODE],CONTROL[ENGLISH])</f>
        <v>MMZ 81-717.5M</v>
      </c>
      <c r="F320" t="s">
        <v>716</v>
      </c>
      <c r="G320" s="40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22</v>
      </c>
      <c r="J320">
        <v>144</v>
      </c>
      <c r="K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3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0">
        <v>0</v>
      </c>
      <c r="AA320" s="19">
        <f>IFERROR(PROPERTIES[[#This Row],[TE_STARTING_KN]]/(PROPERTIES[[#This Row],[WEIGHT]]*9.81),0)</f>
        <v>0</v>
      </c>
      <c r="AB320" s="19">
        <v>0.27</v>
      </c>
      <c r="AC320" s="16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6">
        <v>147</v>
      </c>
      <c r="AF320" s="6">
        <v>8</v>
      </c>
      <c r="AG320" t="s">
        <v>1948</v>
      </c>
      <c r="AH320" t="s">
        <v>229</v>
      </c>
      <c r="AI320" t="s">
        <v>229</v>
      </c>
      <c r="AJ320" s="2" t="s">
        <v>229</v>
      </c>
      <c r="AK320" s="2" t="s">
        <v>244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44" t="b">
        <v>0</v>
      </c>
      <c r="AP320" s="48" t="b">
        <v>0</v>
      </c>
      <c r="AQ320" s="48" t="b">
        <v>0</v>
      </c>
      <c r="AR320" s="48">
        <v>0</v>
      </c>
      <c r="AS320" s="48" t="b">
        <v>0</v>
      </c>
      <c r="AT320" s="7" t="b">
        <v>0</v>
      </c>
      <c r="AU320" s="40" t="str" cm="1">
        <f t="array" ref="AU320">_xlfn.XLOOKUP(PROPERTIES[[#This Row],[VEHIDCODE]],GRAPHICS_PROPERTIES[VEHIDCODE],GRAPHICS_PROPERTIES[TEMPLATE_ID]&amp;GRAPHICS_PROPERTIES[TEMPLATE_AMENDMENT_CODE])</f>
        <v>TPL_02C</v>
      </c>
    </row>
    <row r="321" spans="1:47" x14ac:dyDescent="0.35">
      <c r="A321" s="2" t="s">
        <v>2955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0" t="str">
        <f>_xlfn.XLOOKUP(PROPERTIES[[#This Row],[VEHIDCODE]],CONTROL[VEHIDCODE],CONTROL[ENGLISH])</f>
        <v>Bombardier Boston 01800</v>
      </c>
      <c r="F321" t="s">
        <v>757</v>
      </c>
      <c r="G321" s="40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22</v>
      </c>
      <c r="J321">
        <v>155</v>
      </c>
      <c r="K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3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0">
        <v>0</v>
      </c>
      <c r="AA321" s="19">
        <f>IFERROR(PROPERTIES[[#This Row],[TE_STARTING_KN]]/(PROPERTIES[[#This Row],[WEIGHT]]*9.81),0)</f>
        <v>0</v>
      </c>
      <c r="AB321" s="19">
        <v>0.26</v>
      </c>
      <c r="AC321" s="16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6">
        <v>150</v>
      </c>
      <c r="AF321" s="6">
        <v>8</v>
      </c>
      <c r="AG321" t="s">
        <v>235</v>
      </c>
      <c r="AH321" t="s">
        <v>229</v>
      </c>
      <c r="AI321" t="s">
        <v>229</v>
      </c>
      <c r="AJ321" s="2" t="s">
        <v>229</v>
      </c>
      <c r="AK321" s="2" t="s">
        <v>244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44" t="b">
        <v>0</v>
      </c>
      <c r="AP321" s="48" t="b">
        <v>0</v>
      </c>
      <c r="AQ321" s="48" t="b">
        <v>0</v>
      </c>
      <c r="AR321" s="48">
        <v>0</v>
      </c>
      <c r="AS321" s="48" t="b">
        <v>0</v>
      </c>
      <c r="AT321" s="7" t="b">
        <v>0</v>
      </c>
      <c r="AU321" s="40" t="str" cm="1">
        <f t="array" ref="AU321">_xlfn.XLOOKUP(PROPERTIES[[#This Row],[VEHIDCODE]],GRAPHICS_PROPERTIES[VEHIDCODE],GRAPHICS_PROPERTIES[TEMPLATE_ID]&amp;GRAPHICS_PROPERTIES[TEMPLATE_AMENDMENT_CODE])</f>
        <v>TPL_02C</v>
      </c>
    </row>
    <row r="322" spans="1:47" x14ac:dyDescent="0.35">
      <c r="A322" s="2" t="s">
        <v>2956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0" t="str">
        <f>_xlfn.XLOOKUP(PROPERTIES[[#This Row],[VEHIDCODE]],CONTROL[VEHIDCODE],CONTROL[ENGLISH])</f>
        <v>Breda LA A650</v>
      </c>
      <c r="F322" t="s">
        <v>757</v>
      </c>
      <c r="G322" s="40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22</v>
      </c>
      <c r="J322">
        <v>150</v>
      </c>
      <c r="K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3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0">
        <v>0</v>
      </c>
      <c r="AA322" s="19">
        <f>IFERROR(PROPERTIES[[#This Row],[TE_STARTING_KN]]/(PROPERTIES[[#This Row],[WEIGHT]]*9.81),0)</f>
        <v>0</v>
      </c>
      <c r="AB322" s="19">
        <v>0.28000000000000003</v>
      </c>
      <c r="AC322" s="16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6">
        <v>170</v>
      </c>
      <c r="AF322" s="6">
        <v>8</v>
      </c>
      <c r="AG322" t="s">
        <v>235</v>
      </c>
      <c r="AH322" t="s">
        <v>229</v>
      </c>
      <c r="AI322" t="s">
        <v>229</v>
      </c>
      <c r="AJ322" s="2" t="s">
        <v>229</v>
      </c>
      <c r="AK322" s="2" t="s">
        <v>244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44" t="b">
        <v>0</v>
      </c>
      <c r="AP322" s="48" t="b">
        <v>0</v>
      </c>
      <c r="AQ322" s="48" t="b">
        <v>0</v>
      </c>
      <c r="AR322" s="48">
        <v>0</v>
      </c>
      <c r="AS322" s="48" t="b">
        <v>0</v>
      </c>
      <c r="AT322" s="7" t="b">
        <v>0</v>
      </c>
      <c r="AU322" s="40" t="str" cm="1">
        <f t="array" ref="AU322">_xlfn.XLOOKUP(PROPERTIES[[#This Row],[VEHIDCODE]],GRAPHICS_PROPERTIES[VEHIDCODE],GRAPHICS_PROPERTIES[TEMPLATE_ID]&amp;GRAPHICS_PROPERTIES[TEMPLATE_AMENDMENT_CODE])</f>
        <v>TPL_02C</v>
      </c>
    </row>
    <row r="323" spans="1:47" x14ac:dyDescent="0.35">
      <c r="A323" s="2" t="s">
        <v>2957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0" t="str">
        <f>_xlfn.XLOOKUP(PROPERTIES[[#This Row],[VEHIDCODE]],CONTROL[VEHIDCODE],CONTROL[ENGLISH])</f>
        <v>Kawasaki Taipei C301</v>
      </c>
      <c r="F323" t="s">
        <v>752</v>
      </c>
      <c r="G323" s="40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22</v>
      </c>
      <c r="J323">
        <v>155</v>
      </c>
      <c r="K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3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0">
        <v>0</v>
      </c>
      <c r="AA323" s="19">
        <f>IFERROR(PROPERTIES[[#This Row],[TE_STARTING_KN]]/(PROPERTIES[[#This Row],[WEIGHT]]*9.81),0)</f>
        <v>0</v>
      </c>
      <c r="AB323" s="19">
        <v>0.3</v>
      </c>
      <c r="AC323" s="16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6">
        <v>250</v>
      </c>
      <c r="AF323" s="6">
        <v>8</v>
      </c>
      <c r="AG323" t="s">
        <v>238</v>
      </c>
      <c r="AH323" t="s">
        <v>229</v>
      </c>
      <c r="AI323" t="s">
        <v>229</v>
      </c>
      <c r="AJ323" s="2" t="s">
        <v>229</v>
      </c>
      <c r="AK323" s="2" t="s">
        <v>244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44" t="b">
        <v>0</v>
      </c>
      <c r="AP323" s="48" t="b">
        <v>0</v>
      </c>
      <c r="AQ323" s="48" t="b">
        <v>0</v>
      </c>
      <c r="AR323" s="48">
        <v>0</v>
      </c>
      <c r="AS323" s="48" t="b">
        <v>0</v>
      </c>
      <c r="AT323" s="7" t="b">
        <v>0</v>
      </c>
      <c r="AU323" s="40" t="str" cm="1">
        <f t="array" ref="AU323">_xlfn.XLOOKUP(PROPERTIES[[#This Row],[VEHIDCODE]],GRAPHICS_PROPERTIES[VEHIDCODE],GRAPHICS_PROPERTIES[TEMPLATE_ID]&amp;GRAPHICS_PROPERTIES[TEMPLATE_AMENDMENT_CODE])</f>
        <v>TPL_02C</v>
      </c>
    </row>
    <row r="324" spans="1:47" x14ac:dyDescent="0.35">
      <c r="A324" s="2" t="s">
        <v>2958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0" t="str">
        <f>_xlfn.XLOOKUP(PROPERTIES[[#This Row],[VEHIDCODE]],CONTROL[VEHIDCODE],CONTROL[ENGLISH])</f>
        <v>CAF Amsterdam S3 90</v>
      </c>
      <c r="F324" t="s">
        <v>692</v>
      </c>
      <c r="G324" s="40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22</v>
      </c>
      <c r="J324">
        <v>125</v>
      </c>
      <c r="K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3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0">
        <v>0</v>
      </c>
      <c r="AA324" s="19">
        <f>IFERROR(PROPERTIES[[#This Row],[TE_STARTING_KN]]/(PROPERTIES[[#This Row],[WEIGHT]]*9.81),0)</f>
        <v>0</v>
      </c>
      <c r="AB324" s="19">
        <v>0.28000000000000003</v>
      </c>
      <c r="AC324" s="16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6">
        <v>250</v>
      </c>
      <c r="AF324" s="6">
        <v>8</v>
      </c>
      <c r="AG324" t="s">
        <v>230</v>
      </c>
      <c r="AH324" t="s">
        <v>229</v>
      </c>
      <c r="AI324" t="s">
        <v>229</v>
      </c>
      <c r="AJ324" s="2" t="s">
        <v>229</v>
      </c>
      <c r="AK324" s="2" t="s">
        <v>244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44" t="b">
        <v>0</v>
      </c>
      <c r="AP324" s="48" t="b">
        <v>0</v>
      </c>
      <c r="AQ324" s="48" t="b">
        <v>0</v>
      </c>
      <c r="AR324" s="48">
        <v>0</v>
      </c>
      <c r="AS324" s="48" t="b">
        <v>0</v>
      </c>
      <c r="AT324" s="7" t="b">
        <v>0</v>
      </c>
      <c r="AU324" s="40" t="str" cm="1">
        <f t="array" ref="AU324">_xlfn.XLOOKUP(PROPERTIES[[#This Row],[VEHIDCODE]],GRAPHICS_PROPERTIES[VEHIDCODE],GRAPHICS_PROPERTIES[TEMPLATE_ID]&amp;GRAPHICS_PROPERTIES[TEMPLATE_AMENDMENT_CODE])</f>
        <v>TPL_02C</v>
      </c>
    </row>
    <row r="325" spans="1:47" x14ac:dyDescent="0.35">
      <c r="A325" s="2" t="s">
        <v>2959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0" t="str">
        <f>_xlfn.XLOOKUP(PROPERTIES[[#This Row],[VEHIDCODE]],CONTROL[VEHIDCODE],CONTROL[ENGLISH])</f>
        <v>GEC-Alsthom Paris MP89</v>
      </c>
      <c r="F325" t="s">
        <v>602</v>
      </c>
      <c r="G325" s="40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22</v>
      </c>
      <c r="J325">
        <v>120</v>
      </c>
      <c r="K325">
        <v>7</v>
      </c>
      <c r="L325">
        <v>0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3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0">
        <v>0</v>
      </c>
      <c r="AA325" s="19">
        <f>IFERROR(PROPERTIES[[#This Row],[TE_STARTING_KN]]/(PROPERTIES[[#This Row],[WEIGHT]]*9.81),0)</f>
        <v>0</v>
      </c>
      <c r="AB325" s="19">
        <v>0.35</v>
      </c>
      <c r="AC325" s="16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6">
        <v>120</v>
      </c>
      <c r="AF325" s="6">
        <v>7</v>
      </c>
      <c r="AG325" t="s">
        <v>230</v>
      </c>
      <c r="AH325" t="s">
        <v>229</v>
      </c>
      <c r="AI325" t="s">
        <v>229</v>
      </c>
      <c r="AJ325" s="2" t="s">
        <v>229</v>
      </c>
      <c r="AK325" s="2" t="s">
        <v>244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44" t="b">
        <v>0</v>
      </c>
      <c r="AP325" s="48" t="b">
        <v>0</v>
      </c>
      <c r="AQ325" s="48" t="b">
        <v>0</v>
      </c>
      <c r="AR325" s="48">
        <v>0</v>
      </c>
      <c r="AS325" s="48" t="b">
        <v>0</v>
      </c>
      <c r="AT325" s="7" t="b">
        <v>0</v>
      </c>
      <c r="AU325" s="40" t="str" cm="1">
        <f t="array" ref="AU325">_xlfn.XLOOKUP(PROPERTIES[[#This Row],[VEHIDCODE]],GRAPHICS_PROPERTIES[VEHIDCODE],GRAPHICS_PROPERTIES[TEMPLATE_ID]&amp;GRAPHICS_PROPERTIES[TEMPLATE_AMENDMENT_CODE])</f>
        <v>TPL_02C</v>
      </c>
    </row>
    <row r="326" spans="1:47" x14ac:dyDescent="0.35">
      <c r="A326" s="2" t="s">
        <v>2960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0" t="str">
        <f>_xlfn.XLOOKUP(PROPERTIES[[#This Row],[VEHIDCODE]],CONTROL[VEHIDCODE],CONTROL[ENGLISH])</f>
        <v>MMZ 81-740</v>
      </c>
      <c r="F326" t="s">
        <v>716</v>
      </c>
      <c r="G326" s="40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22</v>
      </c>
      <c r="J326">
        <v>172</v>
      </c>
      <c r="K326">
        <v>7</v>
      </c>
      <c r="L326">
        <v>0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3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0">
        <v>0</v>
      </c>
      <c r="AA326" s="19">
        <f>IFERROR(PROPERTIES[[#This Row],[TE_STARTING_KN]]/(PROPERTIES[[#This Row],[WEIGHT]]*9.81),0)</f>
        <v>0</v>
      </c>
      <c r="AB326" s="19">
        <v>0.3</v>
      </c>
      <c r="AC326" s="16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6">
        <v>120</v>
      </c>
      <c r="AF326" s="6">
        <v>6</v>
      </c>
      <c r="AG326" t="s">
        <v>1948</v>
      </c>
      <c r="AH326" t="s">
        <v>229</v>
      </c>
      <c r="AI326" t="s">
        <v>229</v>
      </c>
      <c r="AJ326" s="2" t="s">
        <v>229</v>
      </c>
      <c r="AK326" s="2" t="s">
        <v>244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44" t="b">
        <v>0</v>
      </c>
      <c r="AP326" s="48" t="b">
        <v>0</v>
      </c>
      <c r="AQ326" s="48" t="b">
        <v>0</v>
      </c>
      <c r="AR326" s="48">
        <v>0</v>
      </c>
      <c r="AS326" s="48" t="b">
        <v>0</v>
      </c>
      <c r="AT326" s="7" t="b">
        <v>0</v>
      </c>
      <c r="AU326" s="40" t="str" cm="1">
        <f t="array" ref="AU326">_xlfn.XLOOKUP(PROPERTIES[[#This Row],[VEHIDCODE]],GRAPHICS_PROPERTIES[VEHIDCODE],GRAPHICS_PROPERTIES[TEMPLATE_ID]&amp;GRAPHICS_PROPERTIES[TEMPLATE_AMENDMENT_CODE])</f>
        <v>TPL_02C</v>
      </c>
    </row>
    <row r="327" spans="1:47" x14ac:dyDescent="0.35">
      <c r="A327" s="2" t="s">
        <v>2961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0" t="str">
        <f>_xlfn.XLOOKUP(PROPERTIES[[#This Row],[VEHIDCODE]],CONTROL[VEHIDCODE],CONTROL[ENGLISH])</f>
        <v>Alstom Singapore C830 'Metropolis'</v>
      </c>
      <c r="F327" t="s">
        <v>723</v>
      </c>
      <c r="G327" s="40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22</v>
      </c>
      <c r="J327">
        <v>150</v>
      </c>
      <c r="K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3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0">
        <v>0</v>
      </c>
      <c r="AA327" s="19">
        <f>IFERROR(PROPERTIES[[#This Row],[TE_STARTING_KN]]/(PROPERTIES[[#This Row],[WEIGHT]]*9.81),0)</f>
        <v>0</v>
      </c>
      <c r="AB327" s="19">
        <v>0.3</v>
      </c>
      <c r="AC327" s="16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6">
        <v>250</v>
      </c>
      <c r="AF327" s="6">
        <v>8</v>
      </c>
      <c r="AG327" t="s">
        <v>238</v>
      </c>
      <c r="AH327" t="s">
        <v>229</v>
      </c>
      <c r="AI327" t="s">
        <v>229</v>
      </c>
      <c r="AJ327" s="2" t="s">
        <v>229</v>
      </c>
      <c r="AK327" s="2" t="s">
        <v>244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44" t="b">
        <v>0</v>
      </c>
      <c r="AP327" s="48" t="b">
        <v>0</v>
      </c>
      <c r="AQ327" s="48" t="b">
        <v>1</v>
      </c>
      <c r="AR327" s="48">
        <v>0</v>
      </c>
      <c r="AS327" s="48" t="b">
        <v>0</v>
      </c>
      <c r="AT327" s="7" t="b">
        <v>1</v>
      </c>
      <c r="AU327" s="40" t="str" cm="1">
        <f t="array" ref="AU327">_xlfn.XLOOKUP(PROPERTIES[[#This Row],[VEHIDCODE]],GRAPHICS_PROPERTIES[VEHIDCODE],GRAPHICS_PROPERTIES[TEMPLATE_ID]&amp;GRAPHICS_PROPERTIES[TEMPLATE_AMENDMENT_CODE])</f>
        <v>TPL_02C</v>
      </c>
    </row>
    <row r="328" spans="1:47" x14ac:dyDescent="0.35">
      <c r="A328" s="2" t="s">
        <v>2962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0" t="str">
        <f>_xlfn.XLOOKUP(PROPERTIES[[#This Row],[VEHIDCODE]],CONTROL[VEHIDCODE],CONTROL[ENGLISH])</f>
        <v>Siemens Oslo MX3000</v>
      </c>
      <c r="F328" t="s">
        <v>693</v>
      </c>
      <c r="G328" s="40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22</v>
      </c>
      <c r="J328">
        <v>164</v>
      </c>
      <c r="K328">
        <v>7</v>
      </c>
      <c r="L328">
        <v>0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3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0">
        <v>0</v>
      </c>
      <c r="AA328" s="19">
        <f>IFERROR(PROPERTIES[[#This Row],[TE_STARTING_KN]]/(PROPERTIES[[#This Row],[WEIGHT]]*9.81),0)</f>
        <v>0</v>
      </c>
      <c r="AB328" s="19">
        <v>0.32</v>
      </c>
      <c r="AC328" s="16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6">
        <v>164</v>
      </c>
      <c r="AF328" s="6">
        <v>7</v>
      </c>
      <c r="AG328" t="s">
        <v>234</v>
      </c>
      <c r="AH328" t="s">
        <v>229</v>
      </c>
      <c r="AI328" t="s">
        <v>229</v>
      </c>
      <c r="AJ328" s="2" t="s">
        <v>229</v>
      </c>
      <c r="AK328" s="2" t="s">
        <v>244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44" t="b">
        <v>0</v>
      </c>
      <c r="AP328" s="48" t="b">
        <v>0</v>
      </c>
      <c r="AQ328" s="48" t="b">
        <v>0</v>
      </c>
      <c r="AR328" s="48">
        <v>0</v>
      </c>
      <c r="AS328" s="48" t="b">
        <v>0</v>
      </c>
      <c r="AT328" s="7" t="b">
        <v>0</v>
      </c>
      <c r="AU328" s="40" t="str" cm="1">
        <f t="array" ref="AU328">_xlfn.XLOOKUP(PROPERTIES[[#This Row],[VEHIDCODE]],GRAPHICS_PROPERTIES[VEHIDCODE],GRAPHICS_PROPERTIES[TEMPLATE_ID]&amp;GRAPHICS_PROPERTIES[TEMPLATE_AMENDMENT_CODE])</f>
        <v>TPL_02C</v>
      </c>
    </row>
    <row r="329" spans="1:47" x14ac:dyDescent="0.35">
      <c r="A329" s="2" t="s">
        <v>2963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0" t="str">
        <f>_xlfn.XLOOKUP(PROPERTIES[[#This Row],[VEHIDCODE]],CONTROL[VEHIDCODE],CONTROL[ENGLISH])</f>
        <v>Kawasaki Osaka 30000</v>
      </c>
      <c r="F329" t="s">
        <v>640</v>
      </c>
      <c r="G329" s="40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22</v>
      </c>
      <c r="J329">
        <v>140</v>
      </c>
      <c r="K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3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0">
        <v>0</v>
      </c>
      <c r="AA329" s="19">
        <f>IFERROR(PROPERTIES[[#This Row],[TE_STARTING_KN]]/(PROPERTIES[[#This Row],[WEIGHT]]*9.81),0)</f>
        <v>0</v>
      </c>
      <c r="AB329" s="19">
        <v>0.3</v>
      </c>
      <c r="AC329" s="16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6">
        <v>140</v>
      </c>
      <c r="AF329" s="6">
        <v>8</v>
      </c>
      <c r="AG329" t="s">
        <v>238</v>
      </c>
      <c r="AH329" t="s">
        <v>229</v>
      </c>
      <c r="AI329" t="s">
        <v>229</v>
      </c>
      <c r="AJ329" s="2" t="s">
        <v>229</v>
      </c>
      <c r="AK329" s="2" t="s">
        <v>244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44" t="b">
        <v>0</v>
      </c>
      <c r="AP329" s="48" t="b">
        <v>0</v>
      </c>
      <c r="AQ329" s="48" t="b">
        <v>0</v>
      </c>
      <c r="AR329" s="48">
        <v>0</v>
      </c>
      <c r="AS329" s="48" t="b">
        <v>0</v>
      </c>
      <c r="AT329" s="7" t="b">
        <v>0</v>
      </c>
      <c r="AU329" s="40" t="str" cm="1">
        <f t="array" ref="AU329">_xlfn.XLOOKUP(PROPERTIES[[#This Row],[VEHIDCODE]],GRAPHICS_PROPERTIES[VEHIDCODE],GRAPHICS_PROPERTIES[TEMPLATE_ID]&amp;GRAPHICS_PROPERTIES[TEMPLATE_AMENDMENT_CODE])</f>
        <v>TPL_02C</v>
      </c>
    </row>
    <row r="330" spans="1:47" x14ac:dyDescent="0.35">
      <c r="A330" s="2" t="s">
        <v>2964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0" t="str">
        <f>_xlfn.XLOOKUP(PROPERTIES[[#This Row],[VEHIDCODE]],CONTROL[VEHIDCODE],CONTROL[ENGLISH])</f>
        <v>Kawasaki Singapore C151A</v>
      </c>
      <c r="F330" t="s">
        <v>723</v>
      </c>
      <c r="G330" s="40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22</v>
      </c>
      <c r="J330">
        <v>162</v>
      </c>
      <c r="K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3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0">
        <v>0</v>
      </c>
      <c r="AA330" s="19">
        <f>IFERROR(PROPERTIES[[#This Row],[TE_STARTING_KN]]/(PROPERTIES[[#This Row],[WEIGHT]]*9.81),0)</f>
        <v>0</v>
      </c>
      <c r="AB330" s="19">
        <v>0.3</v>
      </c>
      <c r="AC330" s="16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6">
        <v>250</v>
      </c>
      <c r="AF330" s="6">
        <v>8</v>
      </c>
      <c r="AG330" t="s">
        <v>238</v>
      </c>
      <c r="AH330" t="s">
        <v>229</v>
      </c>
      <c r="AI330" t="s">
        <v>229</v>
      </c>
      <c r="AJ330" s="2" t="s">
        <v>229</v>
      </c>
      <c r="AK330" s="2" t="s">
        <v>244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44" t="b">
        <v>0</v>
      </c>
      <c r="AP330" s="48" t="b">
        <v>0</v>
      </c>
      <c r="AQ330" s="48" t="b">
        <v>0</v>
      </c>
      <c r="AR330" s="48">
        <v>0</v>
      </c>
      <c r="AS330" s="48" t="b">
        <v>0</v>
      </c>
      <c r="AT330" s="7" t="b">
        <v>0</v>
      </c>
      <c r="AU330" s="40" t="str" cm="1">
        <f t="array" ref="AU330">_xlfn.XLOOKUP(PROPERTIES[[#This Row],[VEHIDCODE]],GRAPHICS_PROPERTIES[VEHIDCODE],GRAPHICS_PROPERTIES[TEMPLATE_ID]&amp;GRAPHICS_PROPERTIES[TEMPLATE_AMENDMENT_CODE])</f>
        <v>TPL_02C</v>
      </c>
    </row>
    <row r="331" spans="1:47" x14ac:dyDescent="0.35">
      <c r="A331" s="2" t="s">
        <v>2965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0" t="str">
        <f>_xlfn.XLOOKUP(PROPERTIES[[#This Row],[VEHIDCODE]],CONTROL[VEHIDCODE],CONTROL[ENGLISH])</f>
        <v>Kawasaki Washington 7000</v>
      </c>
      <c r="F331" t="s">
        <v>757</v>
      </c>
      <c r="G331" s="40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22</v>
      </c>
      <c r="J331">
        <v>175</v>
      </c>
      <c r="K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3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0">
        <v>0</v>
      </c>
      <c r="AA331" s="19">
        <f>IFERROR(PROPERTIES[[#This Row],[TE_STARTING_KN]]/(PROPERTIES[[#This Row],[WEIGHT]]*9.81),0)</f>
        <v>0</v>
      </c>
      <c r="AB331" s="19">
        <v>0.3</v>
      </c>
      <c r="AC331" s="16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6">
        <v>184</v>
      </c>
      <c r="AF331" s="6">
        <v>8</v>
      </c>
      <c r="AG331" t="s">
        <v>235</v>
      </c>
      <c r="AH331" t="s">
        <v>229</v>
      </c>
      <c r="AI331" t="s">
        <v>229</v>
      </c>
      <c r="AJ331" s="2" t="s">
        <v>229</v>
      </c>
      <c r="AK331" s="2" t="s">
        <v>244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44" t="b">
        <v>0</v>
      </c>
      <c r="AP331" s="48" t="b">
        <v>0</v>
      </c>
      <c r="AQ331" s="48" t="b">
        <v>0</v>
      </c>
      <c r="AR331" s="48">
        <v>0</v>
      </c>
      <c r="AS331" s="48" t="b">
        <v>0</v>
      </c>
      <c r="AT331" s="7" t="b">
        <v>0</v>
      </c>
      <c r="AU331" s="40" t="str" cm="1">
        <f t="array" ref="AU331">_xlfn.XLOOKUP(PROPERTIES[[#This Row],[VEHIDCODE]],GRAPHICS_PROPERTIES[VEHIDCODE],GRAPHICS_PROPERTIES[TEMPLATE_ID]&amp;GRAPHICS_PROPERTIES[TEMPLATE_AMENDMENT_CODE])</f>
        <v>TPL_02C</v>
      </c>
    </row>
    <row r="332" spans="1:47" x14ac:dyDescent="0.35">
      <c r="A332" s="2" t="s">
        <v>2966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0" t="str">
        <f>_xlfn.XLOOKUP(PROPERTIES[[#This Row],[VEHIDCODE]],CONTROL[VEHIDCODE],CONTROL[ENGLISH])</f>
        <v>Hitachi Thessaloniki 2014</v>
      </c>
      <c r="F332" t="s">
        <v>615</v>
      </c>
      <c r="G332" s="40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22</v>
      </c>
      <c r="J332">
        <v>115</v>
      </c>
      <c r="K332">
        <v>6</v>
      </c>
      <c r="L332">
        <v>0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3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0">
        <v>0</v>
      </c>
      <c r="AA332" s="19">
        <f>IFERROR(PROPERTIES[[#This Row],[TE_STARTING_KN]]/(PROPERTIES[[#This Row],[WEIGHT]]*9.81),0)</f>
        <v>0</v>
      </c>
      <c r="AB332" s="19">
        <v>0.3</v>
      </c>
      <c r="AC332" s="16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6">
        <v>110</v>
      </c>
      <c r="AF332" s="6">
        <v>6</v>
      </c>
      <c r="AG332" t="s">
        <v>231</v>
      </c>
      <c r="AH332" t="s">
        <v>229</v>
      </c>
      <c r="AI332" t="s">
        <v>229</v>
      </c>
      <c r="AJ332" s="2" t="s">
        <v>229</v>
      </c>
      <c r="AK332" s="2" t="s">
        <v>244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44" t="b">
        <v>0</v>
      </c>
      <c r="AP332" s="48" t="b">
        <v>0</v>
      </c>
      <c r="AQ332" s="48" t="b">
        <v>0</v>
      </c>
      <c r="AR332" s="48">
        <v>0</v>
      </c>
      <c r="AS332" s="48" t="b">
        <v>0</v>
      </c>
      <c r="AT332" s="7" t="b">
        <v>0</v>
      </c>
      <c r="AU332" s="40" t="str" cm="1">
        <f t="array" ref="AU332">_xlfn.XLOOKUP(PROPERTIES[[#This Row],[VEHIDCODE]],GRAPHICS_PROPERTIES[VEHIDCODE],GRAPHICS_PROPERTIES[TEMPLATE_ID]&amp;GRAPHICS_PROPERTIES[TEMPLATE_AMENDMENT_CODE])</f>
        <v>TPL_02C</v>
      </c>
    </row>
    <row r="333" spans="1:47" x14ac:dyDescent="0.35">
      <c r="A333" s="2" t="s">
        <v>2967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0" t="str">
        <f>_xlfn.XLOOKUP(PROPERTIES[[#This Row],[VEHIDCODE]],CONTROL[VEHIDCODE],CONTROL[ENGLISH])</f>
        <v>AEG Berlin U-Bahn A I</v>
      </c>
      <c r="F333" t="s">
        <v>584</v>
      </c>
      <c r="G333" s="40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22</v>
      </c>
      <c r="J333">
        <v>85</v>
      </c>
      <c r="K333">
        <v>5</v>
      </c>
      <c r="L333">
        <v>0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3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0">
        <v>0</v>
      </c>
      <c r="AA333" s="19">
        <f>IFERROR(PROPERTIES[[#This Row],[TE_STARTING_KN]]/(PROPERTIES[[#This Row],[WEIGHT]]*9.81),0)</f>
        <v>0</v>
      </c>
      <c r="AB333" s="19">
        <v>0.18</v>
      </c>
      <c r="AC333" s="16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6">
        <v>88</v>
      </c>
      <c r="AF333" s="6">
        <v>5</v>
      </c>
      <c r="AG333" t="s">
        <v>230</v>
      </c>
      <c r="AH333" t="s">
        <v>229</v>
      </c>
      <c r="AI333" t="s">
        <v>229</v>
      </c>
      <c r="AJ333" s="2" t="s">
        <v>229</v>
      </c>
      <c r="AK333" s="2" t="s">
        <v>244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44" t="b">
        <v>0</v>
      </c>
      <c r="AP333" s="48" t="b">
        <v>0</v>
      </c>
      <c r="AQ333" s="48" t="b">
        <v>0</v>
      </c>
      <c r="AR333" s="48">
        <v>0</v>
      </c>
      <c r="AS333" s="48" t="b">
        <v>0</v>
      </c>
      <c r="AT333" s="7" t="b">
        <v>0</v>
      </c>
      <c r="AU333" s="40" t="str" cm="1">
        <f t="array" ref="AU333">_xlfn.XLOOKUP(PROPERTIES[[#This Row],[VEHIDCODE]],GRAPHICS_PROPERTIES[VEHIDCODE],GRAPHICS_PROPERTIES[TEMPLATE_ID]&amp;GRAPHICS_PROPERTIES[TEMPLATE_AMENDMENT_CODE])</f>
        <v>TPL_02C</v>
      </c>
    </row>
    <row r="334" spans="1:47" x14ac:dyDescent="0.35">
      <c r="A334" s="2" t="s">
        <v>2968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0" t="str">
        <f>_xlfn.XLOOKUP(PROPERTIES[[#This Row],[VEHIDCODE]],CONTROL[VEHIDCODE],CONTROL[ENGLISH])</f>
        <v>ACF New York Hedley Hi-V</v>
      </c>
      <c r="F334" t="s">
        <v>757</v>
      </c>
      <c r="G334" s="40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22</v>
      </c>
      <c r="J334">
        <v>100</v>
      </c>
      <c r="K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3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0">
        <v>0</v>
      </c>
      <c r="AA334" s="19">
        <f>IFERROR(PROPERTIES[[#This Row],[TE_STARTING_KN]]/(PROPERTIES[[#This Row],[WEIGHT]]*9.81),0)</f>
        <v>0</v>
      </c>
      <c r="AB334" s="19">
        <v>0.18</v>
      </c>
      <c r="AC334" s="16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6">
        <v>128</v>
      </c>
      <c r="AF334" s="6">
        <v>8</v>
      </c>
      <c r="AG334" t="s">
        <v>235</v>
      </c>
      <c r="AH334" t="s">
        <v>229</v>
      </c>
      <c r="AI334" t="s">
        <v>229</v>
      </c>
      <c r="AJ334" s="2" t="s">
        <v>229</v>
      </c>
      <c r="AK334" s="2" t="s">
        <v>244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44" t="b">
        <v>0</v>
      </c>
      <c r="AP334" s="48" t="b">
        <v>0</v>
      </c>
      <c r="AQ334" s="48" t="b">
        <v>0</v>
      </c>
      <c r="AR334" s="48">
        <v>0</v>
      </c>
      <c r="AS334" s="48" t="b">
        <v>0</v>
      </c>
      <c r="AT334" s="7" t="b">
        <v>0</v>
      </c>
      <c r="AU334" s="40" t="str" cm="1">
        <f t="array" ref="AU334">_xlfn.XLOOKUP(PROPERTIES[[#This Row],[VEHIDCODE]],GRAPHICS_PROPERTIES[VEHIDCODE],GRAPHICS_PROPERTIES[TEMPLATE_ID]&amp;GRAPHICS_PROPERTIES[TEMPLATE_AMENDMENT_CODE])</f>
        <v>TPL_02C</v>
      </c>
    </row>
    <row r="335" spans="1:47" x14ac:dyDescent="0.35">
      <c r="A335" s="2" t="s">
        <v>2969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0" t="str">
        <f>_xlfn.XLOOKUP(PROPERTIES[[#This Row],[VEHIDCODE]],CONTROL[VEHIDCODE],CONTROL[ENGLISH])</f>
        <v>Kawasaki Osaka 1000</v>
      </c>
      <c r="F335" t="s">
        <v>640</v>
      </c>
      <c r="G335" s="40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22</v>
      </c>
      <c r="J335">
        <v>120</v>
      </c>
      <c r="K335">
        <v>7</v>
      </c>
      <c r="L335">
        <v>0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3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0">
        <v>0</v>
      </c>
      <c r="AA335" s="19">
        <f>IFERROR(PROPERTIES[[#This Row],[TE_STARTING_KN]]/(PROPERTIES[[#This Row],[WEIGHT]]*9.81),0)</f>
        <v>0</v>
      </c>
      <c r="AB335" s="19">
        <v>0.2</v>
      </c>
      <c r="AC335" s="16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6">
        <v>145</v>
      </c>
      <c r="AF335" s="6">
        <v>7</v>
      </c>
      <c r="AG335" t="s">
        <v>238</v>
      </c>
      <c r="AH335" t="s">
        <v>229</v>
      </c>
      <c r="AI335" t="s">
        <v>229</v>
      </c>
      <c r="AJ335" s="2" t="s">
        <v>229</v>
      </c>
      <c r="AK335" s="2" t="s">
        <v>244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44" t="b">
        <v>0</v>
      </c>
      <c r="AP335" s="48" t="b">
        <v>0</v>
      </c>
      <c r="AQ335" s="48" t="b">
        <v>0</v>
      </c>
      <c r="AR335" s="48">
        <v>0</v>
      </c>
      <c r="AS335" s="48" t="b">
        <v>0</v>
      </c>
      <c r="AT335" s="7" t="b">
        <v>0</v>
      </c>
      <c r="AU335" s="40" t="str" cm="1">
        <f t="array" ref="AU335">_xlfn.XLOOKUP(PROPERTIES[[#This Row],[VEHIDCODE]],GRAPHICS_PROPERTIES[VEHIDCODE],GRAPHICS_PROPERTIES[TEMPLATE_ID]&amp;GRAPHICS_PROPERTIES[TEMPLATE_AMENDMENT_CODE])</f>
        <v>TPL_02C</v>
      </c>
    </row>
    <row r="336" spans="1:47" x14ac:dyDescent="0.35">
      <c r="A336" s="2" t="s">
        <v>2970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0" t="str">
        <f>_xlfn.XLOOKUP(PROPERTIES[[#This Row],[VEHIDCODE]],CONTROL[VEHIDCODE],CONTROL[ENGLISH])</f>
        <v>MMZ Type A</v>
      </c>
      <c r="F336" t="s">
        <v>716</v>
      </c>
      <c r="G336" s="40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22</v>
      </c>
      <c r="J336">
        <v>135</v>
      </c>
      <c r="K336">
        <v>7</v>
      </c>
      <c r="L336">
        <v>0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3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0">
        <v>0</v>
      </c>
      <c r="AA336" s="19">
        <f>IFERROR(PROPERTIES[[#This Row],[TE_STARTING_KN]]/(PROPERTIES[[#This Row],[WEIGHT]]*9.81),0)</f>
        <v>0</v>
      </c>
      <c r="AB336" s="19">
        <v>0.19</v>
      </c>
      <c r="AC336" s="16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6">
        <v>131</v>
      </c>
      <c r="AF336" s="6">
        <v>7</v>
      </c>
      <c r="AG336" t="s">
        <v>1948</v>
      </c>
      <c r="AH336" t="s">
        <v>229</v>
      </c>
      <c r="AI336" t="s">
        <v>229</v>
      </c>
      <c r="AJ336" s="2" t="s">
        <v>229</v>
      </c>
      <c r="AK336" s="2" t="s">
        <v>244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44" t="b">
        <v>0</v>
      </c>
      <c r="AP336" s="48" t="b">
        <v>0</v>
      </c>
      <c r="AQ336" s="48" t="b">
        <v>0</v>
      </c>
      <c r="AR336" s="48">
        <v>0</v>
      </c>
      <c r="AS336" s="48" t="b">
        <v>0</v>
      </c>
      <c r="AT336" s="7" t="b">
        <v>0</v>
      </c>
      <c r="AU336" s="40" t="str" cm="1">
        <f t="array" ref="AU336">_xlfn.XLOOKUP(PROPERTIES[[#This Row],[VEHIDCODE]],GRAPHICS_PROPERTIES[VEHIDCODE],GRAPHICS_PROPERTIES[TEMPLATE_ID]&amp;GRAPHICS_PROPERTIES[TEMPLATE_AMENDMENT_CODE])</f>
        <v>TPL_02C</v>
      </c>
    </row>
    <row r="337" spans="1:47" x14ac:dyDescent="0.35">
      <c r="A337" s="2" t="s">
        <v>2971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0" t="str">
        <f>_xlfn.XLOOKUP(PROPERTIES[[#This Row],[VEHIDCODE]],CONTROL[VEHIDCODE],CONTROL[ENGLISH])</f>
        <v>ACF New York R10</v>
      </c>
      <c r="F337" t="s">
        <v>757</v>
      </c>
      <c r="G337" s="40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22</v>
      </c>
      <c r="J337">
        <v>145</v>
      </c>
      <c r="K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3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0">
        <v>0</v>
      </c>
      <c r="AA337" s="19">
        <f>IFERROR(PROPERTIES[[#This Row],[TE_STARTING_KN]]/(PROPERTIES[[#This Row],[WEIGHT]]*9.81),0)</f>
        <v>0</v>
      </c>
      <c r="AB337" s="19">
        <v>0.21</v>
      </c>
      <c r="AC337" s="16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6">
        <v>160</v>
      </c>
      <c r="AF337" s="6">
        <v>8</v>
      </c>
      <c r="AG337" t="s">
        <v>235</v>
      </c>
      <c r="AH337" t="s">
        <v>229</v>
      </c>
      <c r="AI337" t="s">
        <v>229</v>
      </c>
      <c r="AJ337" s="2" t="s">
        <v>229</v>
      </c>
      <c r="AK337" s="2" t="s">
        <v>244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44" t="b">
        <v>0</v>
      </c>
      <c r="AP337" s="48" t="b">
        <v>0</v>
      </c>
      <c r="AQ337" s="48" t="b">
        <v>0</v>
      </c>
      <c r="AR337" s="48">
        <v>0</v>
      </c>
      <c r="AS337" s="48" t="b">
        <v>0</v>
      </c>
      <c r="AT337" s="7" t="b">
        <v>0</v>
      </c>
      <c r="AU337" s="40" t="str" cm="1">
        <f t="array" ref="AU337">_xlfn.XLOOKUP(PROPERTIES[[#This Row],[VEHIDCODE]],GRAPHICS_PROPERTIES[VEHIDCODE],GRAPHICS_PROPERTIES[TEMPLATE_ID]&amp;GRAPHICS_PROPERTIES[TEMPLATE_AMENDMENT_CODE])</f>
        <v>TPL_02C</v>
      </c>
    </row>
    <row r="338" spans="1:47" x14ac:dyDescent="0.35">
      <c r="A338" s="2" t="s">
        <v>2972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0" t="str">
        <f>_xlfn.XLOOKUP(PROPERTIES[[#This Row],[VEHIDCODE]],CONTROL[VEHIDCODE],CONTROL[ENGLISH])</f>
        <v>Stanga Rome MR 100</v>
      </c>
      <c r="F338" t="s">
        <v>636</v>
      </c>
      <c r="G338" s="40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22</v>
      </c>
      <c r="J338">
        <v>140</v>
      </c>
      <c r="K338">
        <v>7</v>
      </c>
      <c r="L338">
        <v>0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3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0">
        <v>0</v>
      </c>
      <c r="AA338" s="19">
        <f>IFERROR(PROPERTIES[[#This Row],[TE_STARTING_KN]]/(PROPERTIES[[#This Row],[WEIGHT]]*9.81),0)</f>
        <v>0</v>
      </c>
      <c r="AB338" s="19">
        <v>0.21</v>
      </c>
      <c r="AC338" s="16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6">
        <v>156</v>
      </c>
      <c r="AF338" s="6">
        <v>7</v>
      </c>
      <c r="AG338" t="s">
        <v>231</v>
      </c>
      <c r="AH338" t="s">
        <v>229</v>
      </c>
      <c r="AI338" t="s">
        <v>229</v>
      </c>
      <c r="AJ338" s="2" t="s">
        <v>229</v>
      </c>
      <c r="AK338" s="2" t="s">
        <v>244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44" t="b">
        <v>0</v>
      </c>
      <c r="AP338" s="48" t="b">
        <v>0</v>
      </c>
      <c r="AQ338" s="48" t="b">
        <v>0</v>
      </c>
      <c r="AR338" s="48">
        <v>0</v>
      </c>
      <c r="AS338" s="48" t="b">
        <v>0</v>
      </c>
      <c r="AT338" s="7" t="b">
        <v>0</v>
      </c>
      <c r="AU338" s="40" t="str" cm="1">
        <f t="array" ref="AU338">_xlfn.XLOOKUP(PROPERTIES[[#This Row],[VEHIDCODE]],GRAPHICS_PROPERTIES[VEHIDCODE],GRAPHICS_PROPERTIES[TEMPLATE_ID]&amp;GRAPHICS_PROPERTIES[TEMPLATE_AMENDMENT_CODE])</f>
        <v>TPL_02C</v>
      </c>
    </row>
    <row r="339" spans="1:47" x14ac:dyDescent="0.35">
      <c r="A339" s="2" t="s">
        <v>2973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0" t="str">
        <f>_xlfn.XLOOKUP(PROPERTIES[[#This Row],[VEHIDCODE]],CONTROL[VEHIDCODE],CONTROL[ENGLISH])</f>
        <v>MMZ 81-702 Type D</v>
      </c>
      <c r="F339" t="s">
        <v>716</v>
      </c>
      <c r="G339" s="40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22</v>
      </c>
      <c r="J339">
        <v>140</v>
      </c>
      <c r="K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3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0">
        <v>0</v>
      </c>
      <c r="AA339" s="19">
        <f>IFERROR(PROPERTIES[[#This Row],[TE_STARTING_KN]]/(PROPERTIES[[#This Row],[WEIGHT]]*9.81),0)</f>
        <v>0</v>
      </c>
      <c r="AB339" s="19">
        <v>0.21</v>
      </c>
      <c r="AC339" s="16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6">
        <v>132</v>
      </c>
      <c r="AF339" s="6">
        <v>8</v>
      </c>
      <c r="AG339" t="s">
        <v>1948</v>
      </c>
      <c r="AH339" t="s">
        <v>229</v>
      </c>
      <c r="AI339" t="s">
        <v>229</v>
      </c>
      <c r="AJ339" s="2" t="s">
        <v>229</v>
      </c>
      <c r="AK339" s="2" t="s">
        <v>244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44" t="b">
        <v>0</v>
      </c>
      <c r="AP339" s="48" t="b">
        <v>0</v>
      </c>
      <c r="AQ339" s="48" t="b">
        <v>0</v>
      </c>
      <c r="AR339" s="48">
        <v>0</v>
      </c>
      <c r="AS339" s="48" t="b">
        <v>0</v>
      </c>
      <c r="AT339" s="7" t="b">
        <v>0</v>
      </c>
      <c r="AU339" s="40" t="str" cm="1">
        <f t="array" ref="AU339">_xlfn.XLOOKUP(PROPERTIES[[#This Row],[VEHIDCODE]],GRAPHICS_PROPERTIES[VEHIDCODE],GRAPHICS_PROPERTIES[TEMPLATE_ID]&amp;GRAPHICS_PROPERTIES[TEMPLATE_AMENDMENT_CODE])</f>
        <v>TPL_02C</v>
      </c>
    </row>
    <row r="340" spans="1:47" x14ac:dyDescent="0.35">
      <c r="A340" s="2" t="s">
        <v>2974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0" t="str">
        <f>_xlfn.XLOOKUP(PROPERTIES[[#This Row],[VEHIDCODE]],CONTROL[VEHIDCODE],CONTROL[ENGLISH])</f>
        <v>Werkspoor Rotterdam MG2 Type M</v>
      </c>
      <c r="F340" t="s">
        <v>692</v>
      </c>
      <c r="G340" s="40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22</v>
      </c>
      <c r="J340">
        <v>140</v>
      </c>
      <c r="K340">
        <v>7</v>
      </c>
      <c r="L340">
        <v>0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3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0">
        <v>0</v>
      </c>
      <c r="AA340" s="19">
        <f>IFERROR(PROPERTIES[[#This Row],[TE_STARTING_KN]]/(PROPERTIES[[#This Row],[WEIGHT]]*9.81),0)</f>
        <v>0</v>
      </c>
      <c r="AB340" s="19">
        <v>0.23</v>
      </c>
      <c r="AC340" s="16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6">
        <v>235</v>
      </c>
      <c r="AF340" s="6">
        <v>7</v>
      </c>
      <c r="AG340" t="s">
        <v>230</v>
      </c>
      <c r="AH340" t="s">
        <v>229</v>
      </c>
      <c r="AI340" t="s">
        <v>229</v>
      </c>
      <c r="AJ340" s="2" t="s">
        <v>229</v>
      </c>
      <c r="AK340" s="2" t="s">
        <v>244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44" t="b">
        <v>0</v>
      </c>
      <c r="AP340" s="48" t="b">
        <v>0</v>
      </c>
      <c r="AQ340" s="48" t="b">
        <v>0</v>
      </c>
      <c r="AR340" s="48">
        <v>0</v>
      </c>
      <c r="AS340" s="48" t="b">
        <v>0</v>
      </c>
      <c r="AT340" s="7" t="b">
        <v>0</v>
      </c>
      <c r="AU340" s="40" t="str" cm="1">
        <f t="array" ref="AU340">_xlfn.XLOOKUP(PROPERTIES[[#This Row],[VEHIDCODE]],GRAPHICS_PROPERTIES[VEHIDCODE],GRAPHICS_PROPERTIES[TEMPLATE_ID]&amp;GRAPHICS_PROPERTIES[TEMPLATE_AMENDMENT_CODE])</f>
        <v>TPL_02C</v>
      </c>
    </row>
    <row r="341" spans="1:47" x14ac:dyDescent="0.35">
      <c r="A341" s="2" t="s">
        <v>2975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0" t="str">
        <f>_xlfn.XLOOKUP(PROPERTIES[[#This Row],[VEHIDCODE]],CONTROL[VEHIDCODE],CONTROL[ENGLISH])</f>
        <v>MMZ 81-709 ECS</v>
      </c>
      <c r="F341" t="s">
        <v>716</v>
      </c>
      <c r="G341" s="40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22</v>
      </c>
      <c r="J341">
        <v>131</v>
      </c>
      <c r="K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3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0">
        <v>0</v>
      </c>
      <c r="AA341" s="19">
        <f>IFERROR(PROPERTIES[[#This Row],[TE_STARTING_KN]]/(PROPERTIES[[#This Row],[WEIGHT]]*9.81),0)</f>
        <v>0</v>
      </c>
      <c r="AB341" s="19">
        <v>0.25</v>
      </c>
      <c r="AC341" s="16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6">
        <v>150</v>
      </c>
      <c r="AF341" s="6">
        <v>8</v>
      </c>
      <c r="AG341" t="s">
        <v>1948</v>
      </c>
      <c r="AH341" t="s">
        <v>229</v>
      </c>
      <c r="AI341" t="s">
        <v>229</v>
      </c>
      <c r="AJ341" s="2" t="s">
        <v>229</v>
      </c>
      <c r="AK341" s="2" t="s">
        <v>244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44" t="b">
        <v>0</v>
      </c>
      <c r="AP341" s="48" t="b">
        <v>0</v>
      </c>
      <c r="AQ341" s="48" t="b">
        <v>1</v>
      </c>
      <c r="AR341" s="48">
        <v>0</v>
      </c>
      <c r="AS341" s="48" t="b">
        <v>0</v>
      </c>
      <c r="AT341" s="7" t="b">
        <v>1</v>
      </c>
      <c r="AU341" s="40" t="str" cm="1">
        <f t="array" ref="AU341">_xlfn.XLOOKUP(PROPERTIES[[#This Row],[VEHIDCODE]],GRAPHICS_PROPERTIES[VEHIDCODE],GRAPHICS_PROPERTIES[TEMPLATE_ID]&amp;GRAPHICS_PROPERTIES[TEMPLATE_AMENDMENT_CODE])</f>
        <v>TPL_02C</v>
      </c>
    </row>
    <row r="342" spans="1:47" x14ac:dyDescent="0.35">
      <c r="A342" s="2" t="s">
        <v>2976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0" t="str">
        <f>_xlfn.XLOOKUP(PROPERTIES[[#This Row],[VEHIDCODE]],CONTROL[VEHIDCODE],CONTROL[ENGLISH])</f>
        <v>Hitachi Buenos Aires Serie 1200</v>
      </c>
      <c r="F342" t="s">
        <v>538</v>
      </c>
      <c r="G342" s="40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22</v>
      </c>
      <c r="J342">
        <v>115</v>
      </c>
      <c r="K342">
        <v>7</v>
      </c>
      <c r="L342">
        <v>0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3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0">
        <v>0</v>
      </c>
      <c r="AA342" s="19">
        <f>IFERROR(PROPERTIES[[#This Row],[TE_STARTING_KN]]/(PROPERTIES[[#This Row],[WEIGHT]]*9.81),0)</f>
        <v>0</v>
      </c>
      <c r="AB342" s="19">
        <v>0.23</v>
      </c>
      <c r="AC342" s="16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6">
        <v>162</v>
      </c>
      <c r="AF342" s="6">
        <v>7</v>
      </c>
      <c r="AG342" t="s">
        <v>237</v>
      </c>
      <c r="AH342" t="s">
        <v>229</v>
      </c>
      <c r="AI342" t="s">
        <v>229</v>
      </c>
      <c r="AJ342" s="2" t="s">
        <v>229</v>
      </c>
      <c r="AK342" s="2" t="s">
        <v>244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44" t="b">
        <v>0</v>
      </c>
      <c r="AP342" s="48" t="b">
        <v>0</v>
      </c>
      <c r="AQ342" s="48" t="b">
        <v>0</v>
      </c>
      <c r="AR342" s="48">
        <v>0</v>
      </c>
      <c r="AS342" s="48" t="b">
        <v>0</v>
      </c>
      <c r="AT342" s="7" t="b">
        <v>0</v>
      </c>
      <c r="AU342" s="40" t="str" cm="1">
        <f t="array" ref="AU342">_xlfn.XLOOKUP(PROPERTIES[[#This Row],[VEHIDCODE]],GRAPHICS_PROPERTIES[VEHIDCODE],GRAPHICS_PROPERTIES[TEMPLATE_ID]&amp;GRAPHICS_PROPERTIES[TEMPLATE_AMENDMENT_CODE])</f>
        <v>TPL_02C</v>
      </c>
    </row>
    <row r="343" spans="1:47" x14ac:dyDescent="0.35">
      <c r="A343" s="2" t="s">
        <v>2977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0" t="str">
        <f>_xlfn.XLOOKUP(PROPERTIES[[#This Row],[VEHIDCODE]],CONTROL[VEHIDCODE],CONTROL[ENGLISH])</f>
        <v>GEC-Alsthom Santiago NS-93</v>
      </c>
      <c r="F343" t="s">
        <v>573</v>
      </c>
      <c r="G343" s="40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22</v>
      </c>
      <c r="J343">
        <v>160</v>
      </c>
      <c r="K343">
        <v>7</v>
      </c>
      <c r="L343">
        <v>0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3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0">
        <v>0</v>
      </c>
      <c r="AA343" s="19">
        <f>IFERROR(PROPERTIES[[#This Row],[TE_STARTING_KN]]/(PROPERTIES[[#This Row],[WEIGHT]]*9.81),0)</f>
        <v>0</v>
      </c>
      <c r="AB343" s="19">
        <v>0.35</v>
      </c>
      <c r="AC343" s="16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6">
        <v>116</v>
      </c>
      <c r="AF343" s="6">
        <v>7</v>
      </c>
      <c r="AG343" t="s">
        <v>237</v>
      </c>
      <c r="AH343" t="s">
        <v>229</v>
      </c>
      <c r="AI343" t="s">
        <v>229</v>
      </c>
      <c r="AJ343" s="2" t="s">
        <v>229</v>
      </c>
      <c r="AK343" s="2" t="s">
        <v>244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44" t="b">
        <v>0</v>
      </c>
      <c r="AP343" s="48" t="b">
        <v>0</v>
      </c>
      <c r="AQ343" s="48" t="b">
        <v>0</v>
      </c>
      <c r="AR343" s="48">
        <v>0</v>
      </c>
      <c r="AS343" s="48" t="b">
        <v>0</v>
      </c>
      <c r="AT343" s="7" t="b">
        <v>0</v>
      </c>
      <c r="AU343" s="40" t="str" cm="1">
        <f t="array" ref="AU343">_xlfn.XLOOKUP(PROPERTIES[[#This Row],[VEHIDCODE]],GRAPHICS_PROPERTIES[VEHIDCODE],GRAPHICS_PROPERTIES[TEMPLATE_ID]&amp;GRAPHICS_PROPERTIES[TEMPLATE_AMENDMENT_CODE])</f>
        <v>TPL_02C</v>
      </c>
    </row>
    <row r="344" spans="1:47" x14ac:dyDescent="0.35">
      <c r="A344" s="2" t="s">
        <v>2978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0" t="str">
        <f>_xlfn.XLOOKUP(PROPERTIES[[#This Row],[VEHIDCODE]],CONTROL[VEHIDCODE],CONTROL[ENGLISH])</f>
        <v>Alstom Brasil Santiago AS-2002</v>
      </c>
      <c r="F344" t="s">
        <v>573</v>
      </c>
      <c r="G344" s="40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22</v>
      </c>
      <c r="J344">
        <v>175</v>
      </c>
      <c r="K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3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0">
        <v>0</v>
      </c>
      <c r="AA344" s="19">
        <f>IFERROR(PROPERTIES[[#This Row],[TE_STARTING_KN]]/(PROPERTIES[[#This Row],[WEIGHT]]*9.81),0)</f>
        <v>0</v>
      </c>
      <c r="AB344" s="19">
        <v>0.28000000000000003</v>
      </c>
      <c r="AC344" s="16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6">
        <v>196</v>
      </c>
      <c r="AF344" s="6">
        <v>8</v>
      </c>
      <c r="AG344" t="s">
        <v>237</v>
      </c>
      <c r="AH344" t="s">
        <v>229</v>
      </c>
      <c r="AI344" t="s">
        <v>229</v>
      </c>
      <c r="AJ344" s="2" t="s">
        <v>229</v>
      </c>
      <c r="AK344" s="2" t="s">
        <v>244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44" t="b">
        <v>0</v>
      </c>
      <c r="AP344" s="48" t="b">
        <v>0</v>
      </c>
      <c r="AQ344" s="48" t="b">
        <v>1</v>
      </c>
      <c r="AR344" s="48">
        <v>0</v>
      </c>
      <c r="AS344" s="48" t="b">
        <v>0</v>
      </c>
      <c r="AT344" s="7" t="b">
        <v>1</v>
      </c>
      <c r="AU344" s="40" t="str" cm="1">
        <f t="array" ref="AU344">_xlfn.XLOOKUP(PROPERTIES[[#This Row],[VEHIDCODE]],GRAPHICS_PROPERTIES[VEHIDCODE],GRAPHICS_PROPERTIES[TEMPLATE_ID]&amp;GRAPHICS_PROPERTIES[TEMPLATE_AMENDMENT_CODE])</f>
        <v>TPL_02C</v>
      </c>
    </row>
    <row r="345" spans="1:47" x14ac:dyDescent="0.35">
      <c r="A345" s="2" t="s">
        <v>2979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0" t="str">
        <f>_xlfn.XLOOKUP(PROPERTIES[[#This Row],[VEHIDCODE]],CONTROL[VEHIDCODE],CONTROL[ENGLISH])</f>
        <v>TUDH Recife VLT Mobile 3</v>
      </c>
      <c r="F345" t="s">
        <v>558</v>
      </c>
      <c r="G345" s="40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22</v>
      </c>
      <c r="J345">
        <v>150</v>
      </c>
      <c r="K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3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0">
        <v>0</v>
      </c>
      <c r="AA345" s="19">
        <f>IFERROR(PROPERTIES[[#This Row],[TE_STARTING_KN]]/(PROPERTIES[[#This Row],[WEIGHT]]*9.81),0)</f>
        <v>0</v>
      </c>
      <c r="AB345" s="19">
        <v>0.24</v>
      </c>
      <c r="AC345" s="16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6">
        <v>182</v>
      </c>
      <c r="AF345" s="6">
        <v>8</v>
      </c>
      <c r="AG345" t="s">
        <v>237</v>
      </c>
      <c r="AH345" t="s">
        <v>229</v>
      </c>
      <c r="AI345" t="s">
        <v>229</v>
      </c>
      <c r="AJ345" s="2" t="s">
        <v>229</v>
      </c>
      <c r="AK345" s="2" t="s">
        <v>244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44" t="b">
        <v>0</v>
      </c>
      <c r="AP345" s="48" t="b">
        <v>0</v>
      </c>
      <c r="AQ345" s="48" t="b">
        <v>0</v>
      </c>
      <c r="AR345" s="48">
        <v>0</v>
      </c>
      <c r="AS345" s="48" t="b">
        <v>0</v>
      </c>
      <c r="AT345" s="7" t="b">
        <v>0</v>
      </c>
      <c r="AU345" s="40" t="str" cm="1">
        <f t="array" ref="AU345">_xlfn.XLOOKUP(PROPERTIES[[#This Row],[VEHIDCODE]],GRAPHICS_PROPERTIES[VEHIDCODE],GRAPHICS_PROPERTIES[TEMPLATE_ID]&amp;GRAPHICS_PROPERTIES[TEMPLATE_AMENDMENT_CODE])</f>
        <v>TPL_02C</v>
      </c>
    </row>
    <row r="346" spans="1:47" x14ac:dyDescent="0.35">
      <c r="A346" s="2" t="s">
        <v>2980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0" t="str">
        <f>_xlfn.XLOOKUP(PROPERTIES[[#This Row],[VEHIDCODE]],CONTROL[VEHIDCODE],CONTROL[ENGLISH])</f>
        <v>CAF Madrid Series 5000</v>
      </c>
      <c r="F346" t="s">
        <v>595</v>
      </c>
      <c r="G346" s="40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22</v>
      </c>
      <c r="J346">
        <v>160</v>
      </c>
      <c r="K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3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0">
        <v>0</v>
      </c>
      <c r="AA346" s="19">
        <f>IFERROR(PROPERTIES[[#This Row],[TE_STARTING_KN]]/(PROPERTIES[[#This Row],[WEIGHT]]*9.81),0)</f>
        <v>0</v>
      </c>
      <c r="AB346" s="19">
        <v>0.24</v>
      </c>
      <c r="AC346" s="16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6">
        <v>192</v>
      </c>
      <c r="AF346" s="6">
        <v>8</v>
      </c>
      <c r="AG346" t="s">
        <v>231</v>
      </c>
      <c r="AH346" t="s">
        <v>229</v>
      </c>
      <c r="AI346" t="s">
        <v>229</v>
      </c>
      <c r="AJ346" s="2" t="s">
        <v>229</v>
      </c>
      <c r="AK346" s="2" t="s">
        <v>244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44" t="b">
        <v>0</v>
      </c>
      <c r="AP346" s="48" t="b">
        <v>0</v>
      </c>
      <c r="AQ346" s="48" t="b">
        <v>0</v>
      </c>
      <c r="AR346" s="48">
        <v>0</v>
      </c>
      <c r="AS346" s="48" t="b">
        <v>0</v>
      </c>
      <c r="AT346" s="7" t="b">
        <v>0</v>
      </c>
      <c r="AU346" s="40" t="str" cm="1">
        <f t="array" ref="AU346">_xlfn.XLOOKUP(PROPERTIES[[#This Row],[VEHIDCODE]],GRAPHICS_PROPERTIES[VEHIDCODE],GRAPHICS_PROPERTIES[TEMPLATE_ID]&amp;GRAPHICS_PROPERTIES[TEMPLATE_AMENDMENT_CODE])</f>
        <v>TPL_02C</v>
      </c>
    </row>
    <row r="347" spans="1:47" x14ac:dyDescent="0.35">
      <c r="A347" s="2" t="s">
        <v>2981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0" t="str">
        <f>_xlfn.XLOOKUP(PROPERTIES[[#This Row],[VEHIDCODE]],CONTROL[VEHIDCODE],CONTROL[ENGLISH])</f>
        <v>CAF Rome S/300</v>
      </c>
      <c r="F347" t="s">
        <v>636</v>
      </c>
      <c r="G347" s="40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22</v>
      </c>
      <c r="J347">
        <v>210</v>
      </c>
      <c r="K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3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0">
        <v>0</v>
      </c>
      <c r="AA347" s="19">
        <f>IFERROR(PROPERTIES[[#This Row],[TE_STARTING_KN]]/(PROPERTIES[[#This Row],[WEIGHT]]*9.81),0)</f>
        <v>0</v>
      </c>
      <c r="AB347" s="19">
        <v>0.3</v>
      </c>
      <c r="AC347" s="16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6">
        <v>194</v>
      </c>
      <c r="AF347" s="6">
        <v>8</v>
      </c>
      <c r="AG347" t="s">
        <v>231</v>
      </c>
      <c r="AH347" t="s">
        <v>229</v>
      </c>
      <c r="AI347" t="s">
        <v>229</v>
      </c>
      <c r="AJ347" s="2" t="s">
        <v>229</v>
      </c>
      <c r="AK347" s="2" t="s">
        <v>244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44" t="b">
        <v>0</v>
      </c>
      <c r="AP347" s="48" t="b">
        <v>0</v>
      </c>
      <c r="AQ347" s="48" t="b">
        <v>0</v>
      </c>
      <c r="AR347" s="48">
        <v>0</v>
      </c>
      <c r="AS347" s="48" t="b">
        <v>0</v>
      </c>
      <c r="AT347" s="7" t="b">
        <v>0</v>
      </c>
      <c r="AU347" s="40" t="str" cm="1">
        <f t="array" ref="AU347">_xlfn.XLOOKUP(PROPERTIES[[#This Row],[VEHIDCODE]],GRAPHICS_PROPERTIES[VEHIDCODE],GRAPHICS_PROPERTIES[TEMPLATE_ID]&amp;GRAPHICS_PROPERTIES[TEMPLATE_AMENDMENT_CODE])</f>
        <v>TPL_02C</v>
      </c>
    </row>
    <row r="348" spans="1:47" x14ac:dyDescent="0.35">
      <c r="A348" s="2" t="s">
        <v>2982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0" t="str">
        <f>_xlfn.XLOOKUP(PROPERTIES[[#This Row],[VEHIDCODE]],CONTROL[VEHIDCODE],CONTROL[ENGLISH])</f>
        <v>CAF Algiers 2011 Stock</v>
      </c>
      <c r="F348" t="s">
        <v>589</v>
      </c>
      <c r="G348" s="40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22</v>
      </c>
      <c r="J348">
        <v>165</v>
      </c>
      <c r="K348">
        <v>7</v>
      </c>
      <c r="L348">
        <v>0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3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0">
        <v>0</v>
      </c>
      <c r="AA348" s="19">
        <f>IFERROR(PROPERTIES[[#This Row],[TE_STARTING_KN]]/(PROPERTIES[[#This Row],[WEIGHT]]*9.81),0)</f>
        <v>0</v>
      </c>
      <c r="AB348" s="19">
        <v>0.3</v>
      </c>
      <c r="AC348" s="16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6">
        <v>215</v>
      </c>
      <c r="AF348" s="6">
        <v>7</v>
      </c>
      <c r="AG348" t="s">
        <v>233</v>
      </c>
      <c r="AH348" t="s">
        <v>229</v>
      </c>
      <c r="AI348" t="s">
        <v>229</v>
      </c>
      <c r="AJ348" s="2" t="s">
        <v>229</v>
      </c>
      <c r="AK348" s="2" t="s">
        <v>244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44" t="b">
        <v>0</v>
      </c>
      <c r="AP348" s="48" t="b">
        <v>0</v>
      </c>
      <c r="AQ348" s="48" t="b">
        <v>0</v>
      </c>
      <c r="AR348" s="48">
        <v>0</v>
      </c>
      <c r="AS348" s="48" t="b">
        <v>0</v>
      </c>
      <c r="AT348" s="7" t="b">
        <v>0</v>
      </c>
      <c r="AU348" s="40" t="str" cm="1">
        <f t="array" ref="AU348">_xlfn.XLOOKUP(PROPERTIES[[#This Row],[VEHIDCODE]],GRAPHICS_PROPERTIES[VEHIDCODE],GRAPHICS_PROPERTIES[TEMPLATE_ID]&amp;GRAPHICS_PROPERTIES[TEMPLATE_AMENDMENT_CODE])</f>
        <v>TPL_02C</v>
      </c>
    </row>
    <row r="349" spans="1:47" x14ac:dyDescent="0.35">
      <c r="A349" s="2" t="s">
        <v>2983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0" t="str">
        <f>_xlfn.XLOOKUP(PROPERTIES[[#This Row],[VEHIDCODE]],CONTROL[VEHIDCODE],CONTROL[ENGLISH])</f>
        <v>Stadler Berlin U-Bahn IK</v>
      </c>
      <c r="F349" t="s">
        <v>584</v>
      </c>
      <c r="G349" s="40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22</v>
      </c>
      <c r="J349">
        <v>125</v>
      </c>
      <c r="K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3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0">
        <v>0</v>
      </c>
      <c r="AA349" s="19">
        <f>IFERROR(PROPERTIES[[#This Row],[TE_STARTING_KN]]/(PROPERTIES[[#This Row],[WEIGHT]]*9.81),0)</f>
        <v>0</v>
      </c>
      <c r="AB349" s="19">
        <v>0.22</v>
      </c>
      <c r="AC349" s="16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6">
        <v>145</v>
      </c>
      <c r="AF349" s="6">
        <v>8</v>
      </c>
      <c r="AG349" t="s">
        <v>230</v>
      </c>
      <c r="AH349" t="s">
        <v>229</v>
      </c>
      <c r="AI349" t="s">
        <v>229</v>
      </c>
      <c r="AJ349" s="2" t="s">
        <v>229</v>
      </c>
      <c r="AK349" s="2" t="s">
        <v>244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44" t="b">
        <v>0</v>
      </c>
      <c r="AP349" s="48" t="b">
        <v>0</v>
      </c>
      <c r="AQ349" s="48" t="b">
        <v>0</v>
      </c>
      <c r="AR349" s="48">
        <v>0</v>
      </c>
      <c r="AS349" s="48" t="b">
        <v>0</v>
      </c>
      <c r="AT349" s="7" t="b">
        <v>0</v>
      </c>
      <c r="AU349" s="40" t="str" cm="1">
        <f t="array" ref="AU349">_xlfn.XLOOKUP(PROPERTIES[[#This Row],[VEHIDCODE]],GRAPHICS_PROPERTIES[VEHIDCODE],GRAPHICS_PROPERTIES[TEMPLATE_ID]&amp;GRAPHICS_PROPERTIES[TEMPLATE_AMENDMENT_CODE])</f>
        <v>TPL_02C</v>
      </c>
    </row>
    <row r="350" spans="1:47" x14ac:dyDescent="0.35">
      <c r="A350" s="2" t="s">
        <v>2984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0" t="str">
        <f>_xlfn.XLOOKUP(PROPERTIES[[#This Row],[VEHIDCODE]],CONTROL[VEHIDCODE],CONTROL[ENGLISH])</f>
        <v>St. Louis Car Company Chicago L 6000 Series</v>
      </c>
      <c r="F350" t="s">
        <v>757</v>
      </c>
      <c r="G350" s="40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22</v>
      </c>
      <c r="J350">
        <v>125</v>
      </c>
      <c r="K350">
        <v>7</v>
      </c>
      <c r="L350">
        <v>0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3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0">
        <v>0</v>
      </c>
      <c r="AA350" s="19">
        <f>IFERROR(PROPERTIES[[#This Row],[TE_STARTING_KN]]/(PROPERTIES[[#This Row],[WEIGHT]]*9.81),0)</f>
        <v>0</v>
      </c>
      <c r="AB350" s="19">
        <v>0.22</v>
      </c>
      <c r="AC350" s="16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6">
        <v>130</v>
      </c>
      <c r="AF350" s="6">
        <v>7</v>
      </c>
      <c r="AG350" t="s">
        <v>235</v>
      </c>
      <c r="AH350" t="s">
        <v>229</v>
      </c>
      <c r="AI350" t="s">
        <v>229</v>
      </c>
      <c r="AJ350" s="2" t="s">
        <v>229</v>
      </c>
      <c r="AK350" s="2" t="s">
        <v>244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44" t="b">
        <v>0</v>
      </c>
      <c r="AP350" s="48" t="b">
        <v>0</v>
      </c>
      <c r="AQ350" s="48" t="b">
        <v>0</v>
      </c>
      <c r="AR350" s="48">
        <v>0</v>
      </c>
      <c r="AS350" s="48" t="b">
        <v>0</v>
      </c>
      <c r="AT350" s="7" t="b">
        <v>0</v>
      </c>
      <c r="AU350" s="40" t="str" cm="1">
        <f t="array" ref="AU350">_xlfn.XLOOKUP(PROPERTIES[[#This Row],[VEHIDCODE]],GRAPHICS_PROPERTIES[VEHIDCODE],GRAPHICS_PROPERTIES[TEMPLATE_ID]&amp;GRAPHICS_PROPERTIES[TEMPLATE_AMENDMENT_CODE])</f>
        <v>TPL_02C</v>
      </c>
    </row>
    <row r="351" spans="1:47" x14ac:dyDescent="0.35">
      <c r="A351" s="2" t="s">
        <v>2985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0" t="str">
        <f>_xlfn.XLOOKUP(PROPERTIES[[#This Row],[VEHIDCODE]],CONTROL[VEHIDCODE],CONTROL[ENGLISH])</f>
        <v>BRC&amp;W London 1903 Stock</v>
      </c>
      <c r="F351" t="s">
        <v>603</v>
      </c>
      <c r="G351" s="40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22</v>
      </c>
      <c r="J351">
        <v>90</v>
      </c>
      <c r="K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3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0">
        <v>0</v>
      </c>
      <c r="AA351" s="19">
        <f>IFERROR(PROPERTIES[[#This Row],[TE_STARTING_KN]]/(PROPERTIES[[#This Row],[WEIGHT]]*9.81),0)</f>
        <v>0</v>
      </c>
      <c r="AB351" s="19">
        <v>0.18</v>
      </c>
      <c r="AC351" s="16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6">
        <v>125</v>
      </c>
      <c r="AF351" s="6">
        <v>8</v>
      </c>
      <c r="AG351" t="s">
        <v>234</v>
      </c>
      <c r="AH351" t="s">
        <v>229</v>
      </c>
      <c r="AI351" t="s">
        <v>229</v>
      </c>
      <c r="AJ351" s="2" t="s">
        <v>229</v>
      </c>
      <c r="AK351" s="2" t="s">
        <v>244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44" t="b">
        <v>0</v>
      </c>
      <c r="AP351" s="48" t="b">
        <v>0</v>
      </c>
      <c r="AQ351" s="48" t="b">
        <v>0</v>
      </c>
      <c r="AR351" s="48">
        <v>0</v>
      </c>
      <c r="AS351" s="48" t="b">
        <v>0</v>
      </c>
      <c r="AT351" s="7" t="b">
        <v>0</v>
      </c>
      <c r="AU351" s="40" t="str" cm="1">
        <f t="array" ref="AU351">_xlfn.XLOOKUP(PROPERTIES[[#This Row],[VEHIDCODE]],GRAPHICS_PROPERTIES[VEHIDCODE],GRAPHICS_PROPERTIES[TEMPLATE_ID]&amp;GRAPHICS_PROPERTIES[TEMPLATE_AMENDMENT_CODE])</f>
        <v>TPL_02C</v>
      </c>
    </row>
    <row r="352" spans="1:47" x14ac:dyDescent="0.35">
      <c r="A352" s="2" t="s">
        <v>2986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0" t="str">
        <f>_xlfn.XLOOKUP(PROPERTIES[[#This Row],[VEHIDCODE]],CONTROL[VEHIDCODE],CONTROL[ENGLISH])</f>
        <v>BRC&amp;W London 1938 Stock</v>
      </c>
      <c r="F352" t="s">
        <v>603</v>
      </c>
      <c r="G352" s="40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22</v>
      </c>
      <c r="J352">
        <v>105</v>
      </c>
      <c r="K352">
        <v>7</v>
      </c>
      <c r="L352">
        <v>0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3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0">
        <v>0</v>
      </c>
      <c r="AA352" s="19">
        <f>IFERROR(PROPERTIES[[#This Row],[TE_STARTING_KN]]/(PROPERTIES[[#This Row],[WEIGHT]]*9.81),0)</f>
        <v>0</v>
      </c>
      <c r="AB352" s="19">
        <v>0.2</v>
      </c>
      <c r="AC352" s="16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6">
        <v>120</v>
      </c>
      <c r="AF352" s="6">
        <v>7</v>
      </c>
      <c r="AG352" t="s">
        <v>234</v>
      </c>
      <c r="AH352" t="s">
        <v>229</v>
      </c>
      <c r="AI352" t="s">
        <v>229</v>
      </c>
      <c r="AJ352" s="2" t="s">
        <v>229</v>
      </c>
      <c r="AK352" s="2" t="s">
        <v>244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44" t="b">
        <v>0</v>
      </c>
      <c r="AP352" s="48" t="b">
        <v>0</v>
      </c>
      <c r="AQ352" s="48" t="b">
        <v>0</v>
      </c>
      <c r="AR352" s="48">
        <v>0</v>
      </c>
      <c r="AS352" s="48" t="b">
        <v>0</v>
      </c>
      <c r="AT352" s="7" t="b">
        <v>0</v>
      </c>
      <c r="AU352" s="40" t="str" cm="1">
        <f t="array" ref="AU352">_xlfn.XLOOKUP(PROPERTIES[[#This Row],[VEHIDCODE]],GRAPHICS_PROPERTIES[VEHIDCODE],GRAPHICS_PROPERTIES[TEMPLATE_ID]&amp;GRAPHICS_PROPERTIES[TEMPLATE_AMENDMENT_CODE])</f>
        <v>TPL_02C</v>
      </c>
    </row>
    <row r="353" spans="1:47" x14ac:dyDescent="0.35">
      <c r="A353" s="2" t="s">
        <v>2987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0" t="str">
        <f>_xlfn.XLOOKUP(PROPERTIES[[#This Row],[VEHIDCODE]],CONTROL[VEHIDCODE],CONTROL[ENGLISH])</f>
        <v>NER EF1</v>
      </c>
      <c r="F353" t="s">
        <v>603</v>
      </c>
      <c r="G353" s="40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17</v>
      </c>
      <c r="J353">
        <v>0</v>
      </c>
      <c r="K353">
        <v>7</v>
      </c>
      <c r="L353">
        <v>0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3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0">
        <v>125</v>
      </c>
      <c r="AA353" s="19">
        <f>IFERROR(PROPERTIES[[#This Row],[TE_STARTING_KN]]/(PROPERTIES[[#This Row],[WEIGHT]]*9.81),0)</f>
        <v>0.17219053916301622</v>
      </c>
      <c r="AB353" s="19">
        <v>0</v>
      </c>
      <c r="AC353" s="16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6">
        <v>0</v>
      </c>
      <c r="AF353" s="6">
        <v>0</v>
      </c>
      <c r="AG353" t="s">
        <v>234</v>
      </c>
      <c r="AH353" t="s">
        <v>229</v>
      </c>
      <c r="AI353" t="s">
        <v>229</v>
      </c>
      <c r="AJ353" s="2" t="s">
        <v>229</v>
      </c>
      <c r="AK353" s="2" t="s">
        <v>244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44" t="b">
        <v>0</v>
      </c>
      <c r="AP353" s="48" t="b">
        <v>0</v>
      </c>
      <c r="AQ353" s="48" t="b">
        <v>0</v>
      </c>
      <c r="AR353" s="48">
        <v>0</v>
      </c>
      <c r="AS353" s="48" t="b">
        <v>0</v>
      </c>
      <c r="AT353" s="7" t="b">
        <v>0</v>
      </c>
      <c r="AU353" s="40" t="str" cm="1">
        <f t="array" ref="AU353">_xlfn.XLOOKUP(PROPERTIES[[#This Row],[VEHIDCODE]],GRAPHICS_PROPERTIES[VEHIDCODE],GRAPHICS_PROPERTIES[TEMPLATE_ID]&amp;GRAPHICS_PROPERTIES[TEMPLATE_AMENDMENT_CODE])</f>
        <v>TPL_01A</v>
      </c>
    </row>
    <row r="354" spans="1:47" x14ac:dyDescent="0.35">
      <c r="A354" s="2" t="s">
        <v>2988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0" t="str">
        <f>_xlfn.XLOOKUP(PROPERTIES[[#This Row],[VEHIDCODE]],CONTROL[VEHIDCODE],CONTROL[ENGLISH])</f>
        <v>JNR EB10</v>
      </c>
      <c r="F354" t="s">
        <v>640</v>
      </c>
      <c r="G354" s="40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17</v>
      </c>
      <c r="J354">
        <v>0</v>
      </c>
      <c r="K354">
        <v>4</v>
      </c>
      <c r="L354">
        <v>0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3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0">
        <v>38</v>
      </c>
      <c r="AA354" s="19">
        <f>IFERROR(PROPERTIES[[#This Row],[TE_STARTING_KN]]/(PROPERTIES[[#This Row],[WEIGHT]]*9.81),0)</f>
        <v>0.17109533432028323</v>
      </c>
      <c r="AB354" s="19">
        <v>0</v>
      </c>
      <c r="AC354" s="16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6">
        <v>0</v>
      </c>
      <c r="AF354" s="6">
        <v>0</v>
      </c>
      <c r="AG354" t="s">
        <v>238</v>
      </c>
      <c r="AH354" t="s">
        <v>229</v>
      </c>
      <c r="AI354" t="s">
        <v>229</v>
      </c>
      <c r="AJ354" s="2" t="s">
        <v>229</v>
      </c>
      <c r="AK354" s="2" t="s">
        <v>244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44" t="b">
        <v>0</v>
      </c>
      <c r="AP354" s="48" t="b">
        <v>0</v>
      </c>
      <c r="AQ354" s="48" t="b">
        <v>0</v>
      </c>
      <c r="AR354" s="48">
        <v>0</v>
      </c>
      <c r="AS354" s="48" t="b">
        <v>0</v>
      </c>
      <c r="AT354" s="7" t="b">
        <v>0</v>
      </c>
      <c r="AU354" s="40" t="str" cm="1">
        <f t="array" ref="AU354">_xlfn.XLOOKUP(PROPERTIES[[#This Row],[VEHIDCODE]],GRAPHICS_PROPERTIES[VEHIDCODE],GRAPHICS_PROPERTIES[TEMPLATE_ID]&amp;GRAPHICS_PROPERTIES[TEMPLATE_AMENDMENT_CODE])</f>
        <v>TPL_01A</v>
      </c>
    </row>
    <row r="355" spans="1:47" x14ac:dyDescent="0.35">
      <c r="A355" s="2" t="s">
        <v>2989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0" t="str">
        <f>_xlfn.XLOOKUP(PROPERTIES[[#This Row],[VEHIDCODE]],CONTROL[VEHIDCODE],CONTROL[ENGLISH])</f>
        <v>Hitachi/Kawasaki EF55</v>
      </c>
      <c r="F355" t="s">
        <v>640</v>
      </c>
      <c r="G355" s="40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17</v>
      </c>
      <c r="J355">
        <v>0</v>
      </c>
      <c r="K355">
        <v>8</v>
      </c>
      <c r="L355">
        <v>0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3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0">
        <v>61.7</v>
      </c>
      <c r="AA355" s="19">
        <f>IFERROR(PROPERTIES[[#This Row],[TE_STARTING_KN]]/(PROPERTIES[[#This Row],[WEIGHT]]*9.81),0)</f>
        <v>6.2895005096839957E-2</v>
      </c>
      <c r="AB355" s="19">
        <v>0</v>
      </c>
      <c r="AC355" s="16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6">
        <v>0</v>
      </c>
      <c r="AF355" s="6">
        <v>0</v>
      </c>
      <c r="AG355" t="s">
        <v>238</v>
      </c>
      <c r="AH355" t="s">
        <v>229</v>
      </c>
      <c r="AI355" t="s">
        <v>229</v>
      </c>
      <c r="AJ355" s="2" t="s">
        <v>229</v>
      </c>
      <c r="AK355" s="2" t="s">
        <v>244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44" t="b">
        <v>0</v>
      </c>
      <c r="AP355" s="48" t="b">
        <v>0</v>
      </c>
      <c r="AQ355" s="48" t="b">
        <v>0</v>
      </c>
      <c r="AR355" s="48">
        <v>0</v>
      </c>
      <c r="AS355" s="48" t="b">
        <v>0</v>
      </c>
      <c r="AT355" s="7" t="b">
        <v>0</v>
      </c>
      <c r="AU355" s="40" t="str" cm="1">
        <f t="array" ref="AU355">_xlfn.XLOOKUP(PROPERTIES[[#This Row],[VEHIDCODE]],GRAPHICS_PROPERTIES[VEHIDCODE],GRAPHICS_PROPERTIES[TEMPLATE_ID]&amp;GRAPHICS_PROPERTIES[TEMPLATE_AMENDMENT_CODE])</f>
        <v>TPL_03F</v>
      </c>
    </row>
    <row r="356" spans="1:47" x14ac:dyDescent="0.35">
      <c r="A356" s="2" t="s">
        <v>2990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0" t="str">
        <f>_xlfn.XLOOKUP(PROPERTIES[[#This Row],[VEHIDCODE]],CONTROL[VEHIDCODE],CONTROL[ENGLISH])</f>
        <v>SLM NS 1000</v>
      </c>
      <c r="F356" t="s">
        <v>692</v>
      </c>
      <c r="G356" s="40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17</v>
      </c>
      <c r="J356">
        <v>0</v>
      </c>
      <c r="K356">
        <v>8</v>
      </c>
      <c r="L356">
        <v>0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3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0">
        <v>177</v>
      </c>
      <c r="AA356" s="19">
        <f>IFERROR(PROPERTIES[[#This Row],[TE_STARTING_KN]]/(PROPERTIES[[#This Row],[WEIGHT]]*9.81),0)</f>
        <v>0.18042813455657492</v>
      </c>
      <c r="AB356" s="19">
        <v>0</v>
      </c>
      <c r="AC356" s="16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6">
        <v>0</v>
      </c>
      <c r="AF356" s="6">
        <v>0</v>
      </c>
      <c r="AG356" t="s">
        <v>230</v>
      </c>
      <c r="AH356" t="s">
        <v>229</v>
      </c>
      <c r="AI356" t="s">
        <v>229</v>
      </c>
      <c r="AJ356" s="2" t="s">
        <v>229</v>
      </c>
      <c r="AK356" s="2" t="s">
        <v>244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44" t="b">
        <v>0</v>
      </c>
      <c r="AP356" s="48" t="b">
        <v>0</v>
      </c>
      <c r="AQ356" s="48" t="b">
        <v>0</v>
      </c>
      <c r="AR356" s="48">
        <v>0</v>
      </c>
      <c r="AS356" s="48" t="b">
        <v>0</v>
      </c>
      <c r="AT356" s="7" t="b">
        <v>0</v>
      </c>
      <c r="AU356" s="40" t="str" cm="1">
        <f t="array" ref="AU356">_xlfn.XLOOKUP(PROPERTIES[[#This Row],[VEHIDCODE]],GRAPHICS_PROPERTIES[VEHIDCODE],GRAPHICS_PROPERTIES[TEMPLATE_ID]&amp;GRAPHICS_PROPERTIES[TEMPLATE_AMENDMENT_CODE])</f>
        <v>TPL_01A</v>
      </c>
    </row>
    <row r="357" spans="1:47" x14ac:dyDescent="0.35">
      <c r="A357" s="2" t="s">
        <v>2991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0" t="str">
        <f>_xlfn.XLOOKUP(PROPERTIES[[#This Row],[VEHIDCODE]],CONTROL[VEHIDCODE],CONTROL[ENGLISH])</f>
        <v>Alsthom BB 7200/NS 1600</v>
      </c>
      <c r="F357" t="s">
        <v>692</v>
      </c>
      <c r="G357" s="40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17</v>
      </c>
      <c r="J357">
        <v>0</v>
      </c>
      <c r="K357">
        <v>8</v>
      </c>
      <c r="L357">
        <v>0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3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0">
        <v>294</v>
      </c>
      <c r="AA357" s="19">
        <f>IFERROR(PROPERTIES[[#This Row],[TE_STARTING_KN]]/(PROPERTIES[[#This Row],[WEIGHT]]*9.81),0)</f>
        <v>0.36107733687041743</v>
      </c>
      <c r="AB357" s="19">
        <v>0</v>
      </c>
      <c r="AC357" s="16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6">
        <v>0</v>
      </c>
      <c r="AF357" s="6">
        <v>0</v>
      </c>
      <c r="AG357" t="s">
        <v>230</v>
      </c>
      <c r="AH357" t="s">
        <v>229</v>
      </c>
      <c r="AI357" t="s">
        <v>229</v>
      </c>
      <c r="AJ357" s="2" t="s">
        <v>229</v>
      </c>
      <c r="AK357" s="2" t="s">
        <v>244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44" t="b">
        <v>0</v>
      </c>
      <c r="AP357" s="48" t="b">
        <v>0</v>
      </c>
      <c r="AQ357" s="48" t="b">
        <v>0</v>
      </c>
      <c r="AR357" s="48">
        <v>0</v>
      </c>
      <c r="AS357" s="48" t="b">
        <v>0</v>
      </c>
      <c r="AT357" s="7" t="b">
        <v>0</v>
      </c>
      <c r="AU357" s="40" t="str" cm="1">
        <f t="array" ref="AU357">_xlfn.XLOOKUP(PROPERTIES[[#This Row],[VEHIDCODE]],GRAPHICS_PROPERTIES[VEHIDCODE],GRAPHICS_PROPERTIES[TEMPLATE_ID]&amp;GRAPHICS_PROPERTIES[TEMPLATE_AMENDMENT_CODE])</f>
        <v>TPL_01A</v>
      </c>
    </row>
    <row r="358" spans="1:47" x14ac:dyDescent="0.35">
      <c r="A358" s="2" t="s">
        <v>2992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0" t="str">
        <f>_xlfn.XLOOKUP(PROPERTIES[[#This Row],[VEHIDCODE]],CONTROL[VEHIDCODE],CONTROL[ENGLISH])</f>
        <v>Victorian Railways E</v>
      </c>
      <c r="F358" t="s">
        <v>541</v>
      </c>
      <c r="G358" s="40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17</v>
      </c>
      <c r="J358">
        <v>0</v>
      </c>
      <c r="K358">
        <v>7</v>
      </c>
      <c r="L358">
        <v>0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3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0">
        <v>109</v>
      </c>
      <c r="AA358" s="19">
        <f>IFERROR(PROPERTIES[[#This Row],[TE_STARTING_KN]]/(PROPERTIES[[#This Row],[WEIGHT]]*9.81),0)</f>
        <v>0.1984126984126984</v>
      </c>
      <c r="AB358" s="19">
        <v>0</v>
      </c>
      <c r="AC358" s="16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6">
        <v>0</v>
      </c>
      <c r="AF358" s="6">
        <v>0</v>
      </c>
      <c r="AG358" t="s">
        <v>232</v>
      </c>
      <c r="AH358" t="s">
        <v>229</v>
      </c>
      <c r="AI358" t="s">
        <v>229</v>
      </c>
      <c r="AJ358" s="2" t="s">
        <v>229</v>
      </c>
      <c r="AK358" s="2" t="s">
        <v>244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44" t="b">
        <v>0</v>
      </c>
      <c r="AP358" s="48" t="b">
        <v>0</v>
      </c>
      <c r="AQ358" s="48" t="b">
        <v>0</v>
      </c>
      <c r="AR358" s="48">
        <v>0</v>
      </c>
      <c r="AS358" s="48" t="b">
        <v>0</v>
      </c>
      <c r="AT358" s="7" t="b">
        <v>0</v>
      </c>
      <c r="AU358" s="40" t="str" cm="1">
        <f t="array" ref="AU358">_xlfn.XLOOKUP(PROPERTIES[[#This Row],[VEHIDCODE]],GRAPHICS_PROPERTIES[VEHIDCODE],GRAPHICS_PROPERTIES[TEMPLATE_ID]&amp;GRAPHICS_PROPERTIES[TEMPLATE_AMENDMENT_CODE])</f>
        <v>TPL_01A</v>
      </c>
    </row>
    <row r="359" spans="1:47" x14ac:dyDescent="0.35">
      <c r="A359" s="2" t="s">
        <v>2993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0" t="str">
        <f>_xlfn.XLOOKUP(PROPERTIES[[#This Row],[VEHIDCODE]],CONTROL[VEHIDCODE],CONTROL[ENGLISH])</f>
        <v>British Thomson-Houston ES1</v>
      </c>
      <c r="F359" t="s">
        <v>603</v>
      </c>
      <c r="G359" s="40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17</v>
      </c>
      <c r="J359">
        <v>0</v>
      </c>
      <c r="K359">
        <v>6</v>
      </c>
      <c r="L359">
        <v>0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3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0">
        <v>111.2</v>
      </c>
      <c r="AA359" s="19">
        <f>IFERROR(PROPERTIES[[#This Row],[TE_STARTING_KN]]/(PROPERTIES[[#This Row],[WEIGHT]]*9.81),0)</f>
        <v>0.19886617665468459</v>
      </c>
      <c r="AB359" s="19">
        <v>0</v>
      </c>
      <c r="AC359" s="16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6">
        <v>0</v>
      </c>
      <c r="AF359" s="6">
        <v>0</v>
      </c>
      <c r="AG359" t="s">
        <v>234</v>
      </c>
      <c r="AH359" t="s">
        <v>229</v>
      </c>
      <c r="AI359" t="s">
        <v>229</v>
      </c>
      <c r="AJ359" s="2" t="s">
        <v>229</v>
      </c>
      <c r="AK359" s="2" t="s">
        <v>244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44" t="b">
        <v>0</v>
      </c>
      <c r="AP359" s="48" t="b">
        <v>0</v>
      </c>
      <c r="AQ359" s="48" t="b">
        <v>0</v>
      </c>
      <c r="AR359" s="48">
        <v>0</v>
      </c>
      <c r="AS359" s="48" t="b">
        <v>0</v>
      </c>
      <c r="AT359" s="7" t="b">
        <v>0</v>
      </c>
      <c r="AU359" s="40" t="str" cm="1">
        <f t="array" ref="AU359">_xlfn.XLOOKUP(PROPERTIES[[#This Row],[VEHIDCODE]],GRAPHICS_PROPERTIES[VEHIDCODE],GRAPHICS_PROPERTIES[TEMPLATE_ID]&amp;GRAPHICS_PROPERTIES[TEMPLATE_AMENDMENT_CODE])</f>
        <v>TPL_01A</v>
      </c>
    </row>
    <row r="360" spans="1:47" x14ac:dyDescent="0.35">
      <c r="A360" s="2" t="s">
        <v>2994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0" t="str">
        <f>_xlfn.XLOOKUP(PROPERTIES[[#This Row],[VEHIDCODE]],CONTROL[VEHIDCODE],CONTROL[ENGLISH])</f>
        <v>ALCO-GE NYC S-Motor S1</v>
      </c>
      <c r="F360" t="s">
        <v>757</v>
      </c>
      <c r="G360" s="40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17</v>
      </c>
      <c r="J360">
        <v>0</v>
      </c>
      <c r="K360">
        <v>7</v>
      </c>
      <c r="L360">
        <v>0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3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0">
        <v>160</v>
      </c>
      <c r="AA360" s="19">
        <f>IFERROR(PROPERTIES[[#This Row],[TE_STARTING_KN]]/(PROPERTIES[[#This Row],[WEIGHT]]*9.81),0)</f>
        <v>0.15834842591767861</v>
      </c>
      <c r="AB360" s="19">
        <v>0</v>
      </c>
      <c r="AC360" s="16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6">
        <v>0</v>
      </c>
      <c r="AF360" s="6">
        <v>0</v>
      </c>
      <c r="AG360" t="s">
        <v>235</v>
      </c>
      <c r="AH360" t="s">
        <v>229</v>
      </c>
      <c r="AI360" t="s">
        <v>229</v>
      </c>
      <c r="AJ360" s="2" t="s">
        <v>229</v>
      </c>
      <c r="AK360" s="2" t="s">
        <v>244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44" t="b">
        <v>0</v>
      </c>
      <c r="AP360" s="48" t="b">
        <v>0</v>
      </c>
      <c r="AQ360" s="48" t="b">
        <v>0</v>
      </c>
      <c r="AR360" s="48">
        <v>0</v>
      </c>
      <c r="AS360" s="48" t="b">
        <v>0</v>
      </c>
      <c r="AT360" s="7" t="b">
        <v>0</v>
      </c>
      <c r="AU360" s="40" t="str" cm="1">
        <f t="array" ref="AU360">_xlfn.XLOOKUP(PROPERTIES[[#This Row],[VEHIDCODE]],GRAPHICS_PROPERTIES[VEHIDCODE],GRAPHICS_PROPERTIES[TEMPLATE_ID]&amp;GRAPHICS_PROPERTIES[TEMPLATE_AMENDMENT_CODE])</f>
        <v>TPL_01A</v>
      </c>
    </row>
    <row r="361" spans="1:47" x14ac:dyDescent="0.35">
      <c r="A361" s="2" t="s">
        <v>2995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0" t="str">
        <f>_xlfn.XLOOKUP(PROPERTIES[[#This Row],[VEHIDCODE]],CONTROL[VEHIDCODE],CONTROL[ENGLISH])</f>
        <v>Nippon Sharyo DeKi 400</v>
      </c>
      <c r="F361" t="s">
        <v>640</v>
      </c>
      <c r="G361" s="40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17</v>
      </c>
      <c r="J361">
        <v>0</v>
      </c>
      <c r="K361">
        <v>6</v>
      </c>
      <c r="L361">
        <v>0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3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0">
        <v>78</v>
      </c>
      <c r="AA361" s="19">
        <f>IFERROR(PROPERTIES[[#This Row],[TE_STARTING_KN]]/(PROPERTIES[[#This Row],[WEIGHT]]*9.81),0)</f>
        <v>0.19877675840978593</v>
      </c>
      <c r="AB361" s="19">
        <v>0</v>
      </c>
      <c r="AC361" s="16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6">
        <v>0</v>
      </c>
      <c r="AF361" s="6">
        <v>0</v>
      </c>
      <c r="AG361" t="s">
        <v>238</v>
      </c>
      <c r="AH361" t="s">
        <v>229</v>
      </c>
      <c r="AI361" t="s">
        <v>229</v>
      </c>
      <c r="AJ361" s="2" t="s">
        <v>229</v>
      </c>
      <c r="AK361" s="2" t="s">
        <v>244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44" t="b">
        <v>0</v>
      </c>
      <c r="AP361" s="48" t="b">
        <v>0</v>
      </c>
      <c r="AQ361" s="48" t="b">
        <v>0</v>
      </c>
      <c r="AR361" s="48">
        <v>0</v>
      </c>
      <c r="AS361" s="48" t="b">
        <v>0</v>
      </c>
      <c r="AT361" s="7" t="b">
        <v>0</v>
      </c>
      <c r="AU361" s="40" t="str" cm="1">
        <f t="array" ref="AU361">_xlfn.XLOOKUP(PROPERTIES[[#This Row],[VEHIDCODE]],GRAPHICS_PROPERTIES[VEHIDCODE],GRAPHICS_PROPERTIES[TEMPLATE_ID]&amp;GRAPHICS_PROPERTIES[TEMPLATE_AMENDMENT_CODE])</f>
        <v>TPL_01A</v>
      </c>
    </row>
    <row r="362" spans="1:47" x14ac:dyDescent="0.35">
      <c r="A362" s="2" t="s">
        <v>2996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0" t="str">
        <f>_xlfn.XLOOKUP(PROPERTIES[[#This Row],[VEHIDCODE]],CONTROL[VEHIDCODE],CONTROL[ENGLISH])</f>
        <v>Vulcan Foundry-SLM EF/1</v>
      </c>
      <c r="F362" t="s">
        <v>631</v>
      </c>
      <c r="G362" s="40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17</v>
      </c>
      <c r="J362">
        <v>0</v>
      </c>
      <c r="K362">
        <v>8</v>
      </c>
      <c r="L362">
        <v>0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3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0">
        <v>300</v>
      </c>
      <c r="AA362" s="19">
        <f>IFERROR(PROPERTIES[[#This Row],[TE_STARTING_KN]]/(PROPERTIES[[#This Row],[WEIGHT]]*9.81),0)</f>
        <v>0.24862633947440391</v>
      </c>
      <c r="AB362" s="19">
        <v>0</v>
      </c>
      <c r="AC362" s="16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6">
        <v>0</v>
      </c>
      <c r="AF362" s="6">
        <v>0</v>
      </c>
      <c r="AG362" t="s">
        <v>238</v>
      </c>
      <c r="AH362" t="s">
        <v>229</v>
      </c>
      <c r="AI362" t="s">
        <v>229</v>
      </c>
      <c r="AJ362" s="2" t="s">
        <v>229</v>
      </c>
      <c r="AK362" s="2" t="s">
        <v>244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44" t="b">
        <v>0</v>
      </c>
      <c r="AP362" s="48" t="b">
        <v>0</v>
      </c>
      <c r="AQ362" s="48" t="b">
        <v>0</v>
      </c>
      <c r="AR362" s="48">
        <v>0</v>
      </c>
      <c r="AS362" s="48" t="b">
        <v>0</v>
      </c>
      <c r="AT362" s="7" t="b">
        <v>0</v>
      </c>
      <c r="AU362" s="40" t="str" cm="1">
        <f t="array" ref="AU362">_xlfn.XLOOKUP(PROPERTIES[[#This Row],[VEHIDCODE]],GRAPHICS_PROPERTIES[VEHIDCODE],GRAPHICS_PROPERTIES[TEMPLATE_ID]&amp;GRAPHICS_PROPERTIES[TEMPLATE_AMENDMENT_CODE])</f>
        <v>TPL_03C</v>
      </c>
    </row>
    <row r="363" spans="1:47" x14ac:dyDescent="0.35">
      <c r="A363" s="2" t="s">
        <v>2997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0" t="str">
        <f>_xlfn.XLOOKUP(PROPERTIES[[#This Row],[VEHIDCODE]],CONTROL[VEHIDCODE],CONTROL[ENGLISH])</f>
        <v>Jeumont-Schneider BB 9004</v>
      </c>
      <c r="F363" t="s">
        <v>602</v>
      </c>
      <c r="G363" s="40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17</v>
      </c>
      <c r="J363">
        <v>0</v>
      </c>
      <c r="K363">
        <v>8</v>
      </c>
      <c r="L363">
        <v>0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3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0">
        <v>235</v>
      </c>
      <c r="AA363" s="19">
        <f>IFERROR(PROPERTIES[[#This Row],[TE_STARTING_KN]]/(PROPERTIES[[#This Row],[WEIGHT]]*9.81),0)</f>
        <v>0.28861623865492553</v>
      </c>
      <c r="AB363" s="19">
        <v>0</v>
      </c>
      <c r="AC363" s="16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6">
        <v>0</v>
      </c>
      <c r="AF363" s="6">
        <v>0</v>
      </c>
      <c r="AG363" t="s">
        <v>230</v>
      </c>
      <c r="AH363" t="s">
        <v>229</v>
      </c>
      <c r="AI363" t="s">
        <v>229</v>
      </c>
      <c r="AJ363" s="2" t="s">
        <v>229</v>
      </c>
      <c r="AK363" s="2" t="s">
        <v>244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44" t="b">
        <v>0</v>
      </c>
      <c r="AP363" s="48" t="b">
        <v>0</v>
      </c>
      <c r="AQ363" s="48" t="b">
        <v>0</v>
      </c>
      <c r="AR363" s="48">
        <v>0</v>
      </c>
      <c r="AS363" s="48" t="b">
        <v>0</v>
      </c>
      <c r="AT363" s="7" t="b">
        <v>0</v>
      </c>
      <c r="AU363" s="40" t="str" cm="1">
        <f t="array" ref="AU363">_xlfn.XLOOKUP(PROPERTIES[[#This Row],[VEHIDCODE]],GRAPHICS_PROPERTIES[VEHIDCODE],GRAPHICS_PROPERTIES[TEMPLATE_ID]&amp;GRAPHICS_PROPERTIES[TEMPLATE_AMENDMENT_CODE])</f>
        <v>TPL_01A</v>
      </c>
    </row>
    <row r="364" spans="1:47" x14ac:dyDescent="0.35">
      <c r="A364" s="2" t="s">
        <v>2998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0" t="str">
        <f>_xlfn.XLOOKUP(PROPERTIES[[#This Row],[VEHIDCODE]],CONTROL[VEHIDCODE],CONTROL[ENGLISH])</f>
        <v>Werkspoor ESS 3200</v>
      </c>
      <c r="F364" t="s">
        <v>627</v>
      </c>
      <c r="G364" s="40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17</v>
      </c>
      <c r="J364">
        <v>0</v>
      </c>
      <c r="K364">
        <v>6</v>
      </c>
      <c r="L364">
        <v>0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3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0">
        <v>0</v>
      </c>
      <c r="AA364" s="19">
        <f>IFERROR(PROPERTIES[[#This Row],[TE_STARTING_KN]]/(PROPERTIES[[#This Row],[WEIGHT]]*9.81),0)</f>
        <v>0</v>
      </c>
      <c r="AB364" s="19">
        <v>0.23</v>
      </c>
      <c r="AC364" s="16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6">
        <v>0</v>
      </c>
      <c r="AF364" s="6">
        <v>0</v>
      </c>
      <c r="AG364" t="s">
        <v>232</v>
      </c>
      <c r="AH364" t="s">
        <v>229</v>
      </c>
      <c r="AI364" t="s">
        <v>229</v>
      </c>
      <c r="AJ364" s="2" t="s">
        <v>229</v>
      </c>
      <c r="AK364" s="2" t="s">
        <v>244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44" t="b">
        <v>0</v>
      </c>
      <c r="AP364" s="48" t="b">
        <v>0</v>
      </c>
      <c r="AQ364" s="48" t="b">
        <v>0</v>
      </c>
      <c r="AR364" s="48">
        <v>0</v>
      </c>
      <c r="AS364" s="48" t="b">
        <v>0</v>
      </c>
      <c r="AT364" s="7" t="b">
        <v>0</v>
      </c>
      <c r="AU364" s="40" t="str" cm="1">
        <f t="array" ref="AU364">_xlfn.XLOOKUP(PROPERTIES[[#This Row],[VEHIDCODE]],GRAPHICS_PROPERTIES[VEHIDCODE],GRAPHICS_PROPERTIES[TEMPLATE_ID]&amp;GRAPHICS_PROPERTIES[TEMPLATE_AMENDMENT_CODE])</f>
        <v>TPL_01A</v>
      </c>
    </row>
    <row r="365" spans="1:47" x14ac:dyDescent="0.35">
      <c r="A365" s="2" t="s">
        <v>2999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0" t="str">
        <f>_xlfn.XLOOKUP(PROPERTIES[[#This Row],[VEHIDCODE]],CONTROL[VEHIDCODE],CONTROL[ENGLISH])</f>
        <v>Metropolitan-Vickers EM2</v>
      </c>
      <c r="F365" t="s">
        <v>603</v>
      </c>
      <c r="G365" s="40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17</v>
      </c>
      <c r="J365">
        <v>0</v>
      </c>
      <c r="K365">
        <v>8</v>
      </c>
      <c r="L365">
        <v>0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3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0">
        <v>200</v>
      </c>
      <c r="AA365" s="19">
        <f>IFERROR(PROPERTIES[[#This Row],[TE_STARTING_KN]]/(PROPERTIES[[#This Row],[WEIGHT]]*9.81),0)</f>
        <v>0.19603230612404923</v>
      </c>
      <c r="AB365" s="19">
        <v>0</v>
      </c>
      <c r="AC365" s="16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6">
        <v>0</v>
      </c>
      <c r="AF365" s="6">
        <v>0</v>
      </c>
      <c r="AG365" t="s">
        <v>234</v>
      </c>
      <c r="AH365" t="s">
        <v>229</v>
      </c>
      <c r="AI365" t="s">
        <v>229</v>
      </c>
      <c r="AJ365" s="2" t="s">
        <v>229</v>
      </c>
      <c r="AK365" s="2" t="s">
        <v>244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44" t="b">
        <v>0</v>
      </c>
      <c r="AP365" s="48" t="b">
        <v>0</v>
      </c>
      <c r="AQ365" s="48" t="b">
        <v>0</v>
      </c>
      <c r="AR365" s="48">
        <v>0</v>
      </c>
      <c r="AS365" s="48" t="b">
        <v>0</v>
      </c>
      <c r="AT365" s="7" t="b">
        <v>0</v>
      </c>
      <c r="AU365" s="40" t="str" cm="1">
        <f t="array" ref="AU365">_xlfn.XLOOKUP(PROPERTIES[[#This Row],[VEHIDCODE]],GRAPHICS_PROPERTIES[VEHIDCODE],GRAPHICS_PROPERTIES[TEMPLATE_ID]&amp;GRAPHICS_PROPERTIES[TEMPLATE_AMENDMENT_CODE])</f>
        <v>TPL_01A</v>
      </c>
    </row>
    <row r="366" spans="1:47" x14ac:dyDescent="0.35">
      <c r="A366" s="2" t="s">
        <v>3000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0" t="str">
        <f>_xlfn.XLOOKUP(PROPERTIES[[#This Row],[VEHIDCODE]],CONTROL[VEHIDCODE],CONTROL[ENGLISH])</f>
        <v>NER EE1</v>
      </c>
      <c r="F366" t="s">
        <v>603</v>
      </c>
      <c r="G366" s="40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17</v>
      </c>
      <c r="J366">
        <v>0</v>
      </c>
      <c r="K366">
        <v>8</v>
      </c>
      <c r="L366">
        <v>0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3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0">
        <v>126.4</v>
      </c>
      <c r="AA366" s="19">
        <f>IFERROR(PROPERTIES[[#This Row],[TE_STARTING_KN]]/(PROPERTIES[[#This Row],[WEIGHT]]*9.81),0)</f>
        <v>0.11607938213442801</v>
      </c>
      <c r="AB366" s="19">
        <v>0</v>
      </c>
      <c r="AC366" s="16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6">
        <v>0</v>
      </c>
      <c r="AF366" s="6">
        <v>0</v>
      </c>
      <c r="AG366" t="s">
        <v>234</v>
      </c>
      <c r="AH366" t="s">
        <v>229</v>
      </c>
      <c r="AI366" t="s">
        <v>229</v>
      </c>
      <c r="AJ366" s="2" t="s">
        <v>229</v>
      </c>
      <c r="AK366" s="2" t="s">
        <v>244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44" t="b">
        <v>0</v>
      </c>
      <c r="AP366" s="48" t="b">
        <v>0</v>
      </c>
      <c r="AQ366" s="48" t="b">
        <v>0</v>
      </c>
      <c r="AR366" s="48">
        <v>0</v>
      </c>
      <c r="AS366" s="48" t="b">
        <v>0</v>
      </c>
      <c r="AT366" s="7" t="b">
        <v>0</v>
      </c>
      <c r="AU366" s="40" t="str" cm="1">
        <f t="array" ref="AU366">_xlfn.XLOOKUP(PROPERTIES[[#This Row],[VEHIDCODE]],GRAPHICS_PROPERTIES[VEHIDCODE],GRAPHICS_PROPERTIES[TEMPLATE_ID]&amp;GRAPHICS_PROPERTIES[TEMPLATE_AMENDMENT_CODE])</f>
        <v>TPL_01A</v>
      </c>
    </row>
    <row r="367" spans="1:47" x14ac:dyDescent="0.35">
      <c r="A367" s="2" t="s">
        <v>3001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0" t="str">
        <f>_xlfn.XLOOKUP(PROPERTIES[[#This Row],[VEHIDCODE]],CONTROL[VEHIDCODE],CONTROL[ENGLISH])</f>
        <v>GE ES-2</v>
      </c>
      <c r="F367" t="s">
        <v>757</v>
      </c>
      <c r="G367" s="40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17</v>
      </c>
      <c r="J367">
        <v>0</v>
      </c>
      <c r="K367">
        <v>6</v>
      </c>
      <c r="L367">
        <v>0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3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0">
        <v>0</v>
      </c>
      <c r="AA367" s="19">
        <f>IFERROR(PROPERTIES[[#This Row],[TE_STARTING_KN]]/(PROPERTIES[[#This Row],[WEIGHT]]*9.81),0)</f>
        <v>0</v>
      </c>
      <c r="AB367" s="19">
        <v>0.18</v>
      </c>
      <c r="AC367" s="16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6">
        <v>0</v>
      </c>
      <c r="AF367" s="6">
        <v>0</v>
      </c>
      <c r="AG367" t="s">
        <v>235</v>
      </c>
      <c r="AH367" t="s">
        <v>229</v>
      </c>
      <c r="AI367" t="s">
        <v>229</v>
      </c>
      <c r="AJ367" s="2" t="s">
        <v>229</v>
      </c>
      <c r="AK367" s="2" t="s">
        <v>244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44" t="b">
        <v>0</v>
      </c>
      <c r="AP367" s="48" t="b">
        <v>0</v>
      </c>
      <c r="AQ367" s="48" t="b">
        <v>0</v>
      </c>
      <c r="AR367" s="48">
        <v>0</v>
      </c>
      <c r="AS367" s="48" t="b">
        <v>0</v>
      </c>
      <c r="AT367" s="7" t="b">
        <v>0</v>
      </c>
      <c r="AU367" s="40" t="str" cm="1">
        <f t="array" ref="AU367">_xlfn.XLOOKUP(PROPERTIES[[#This Row],[VEHIDCODE]],GRAPHICS_PROPERTIES[VEHIDCODE],GRAPHICS_PROPERTIES[TEMPLATE_ID]&amp;GRAPHICS_PROPERTIES[TEMPLATE_AMENDMENT_CODE])</f>
        <v>TPL_01A</v>
      </c>
    </row>
    <row r="368" spans="1:47" x14ac:dyDescent="0.35">
      <c r="A368" s="2" t="s">
        <v>3002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0" t="str">
        <f>_xlfn.XLOOKUP(PROPERTIES[[#This Row],[VEHIDCODE]],CONTROL[VEHIDCODE],CONTROL[ENGLISH])</f>
        <v>GE 2-4-8-0+0-8-4-2 EP2</v>
      </c>
      <c r="F368" t="s">
        <v>757</v>
      </c>
      <c r="G368" s="40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17</v>
      </c>
      <c r="J368">
        <v>0</v>
      </c>
      <c r="K368">
        <v>8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3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0">
        <v>516</v>
      </c>
      <c r="AA368" s="19">
        <f>IFERROR(PROPERTIES[[#This Row],[TE_STARTING_KN]]/(PROPERTIES[[#This Row],[WEIGHT]]*9.81),0)</f>
        <v>0.21916411824668705</v>
      </c>
      <c r="AB368" s="19">
        <v>0</v>
      </c>
      <c r="AC368" s="16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6">
        <v>0</v>
      </c>
      <c r="AF368" s="6">
        <v>2</v>
      </c>
      <c r="AG368" t="s">
        <v>235</v>
      </c>
      <c r="AH368" t="s">
        <v>229</v>
      </c>
      <c r="AI368" t="s">
        <v>229</v>
      </c>
      <c r="AJ368" s="2" t="s">
        <v>229</v>
      </c>
      <c r="AK368" s="2" t="s">
        <v>244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44" t="b">
        <v>0</v>
      </c>
      <c r="AP368" s="48" t="b">
        <v>0</v>
      </c>
      <c r="AQ368" s="48" t="b">
        <v>0</v>
      </c>
      <c r="AR368" s="48">
        <v>0</v>
      </c>
      <c r="AS368" s="48" t="b">
        <v>0</v>
      </c>
      <c r="AT368" s="7" t="b">
        <v>0</v>
      </c>
      <c r="AU368" s="40" t="str" cm="1">
        <f t="array" ref="AU368">_xlfn.XLOOKUP(PROPERTIES[[#This Row],[VEHIDCODE]],GRAPHICS_PROPERTIES[VEHIDCODE],GRAPHICS_PROPERTIES[TEMPLATE_ID]&amp;GRAPHICS_PROPERTIES[TEMPLATE_AMENDMENT_CODE])</f>
        <v>TPL_16A</v>
      </c>
    </row>
    <row r="369" spans="1:47" x14ac:dyDescent="0.35">
      <c r="A369" s="2" t="s">
        <v>3003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0" t="str">
        <f>_xlfn.XLOOKUP(PROPERTIES[[#This Row],[VEHIDCODE]],CONTROL[VEHIDCODE],CONTROL[ENGLISH])</f>
        <v>Baldwin Westinghouse E-28</v>
      </c>
      <c r="F369" t="s">
        <v>573</v>
      </c>
      <c r="G369" s="40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17</v>
      </c>
      <c r="J369">
        <v>0</v>
      </c>
      <c r="K369">
        <v>8</v>
      </c>
      <c r="L369">
        <v>0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3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0">
        <v>200</v>
      </c>
      <c r="AA369" s="19">
        <f>IFERROR(PROPERTIES[[#This Row],[TE_STARTING_KN]]/(PROPERTIES[[#This Row],[WEIGHT]]*9.81),0)</f>
        <v>0.17728138988609668</v>
      </c>
      <c r="AB369" s="19">
        <v>0</v>
      </c>
      <c r="AC369" s="16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6">
        <v>0</v>
      </c>
      <c r="AF369" s="6">
        <v>0</v>
      </c>
      <c r="AG369" t="s">
        <v>237</v>
      </c>
      <c r="AH369" t="s">
        <v>229</v>
      </c>
      <c r="AI369" t="s">
        <v>229</v>
      </c>
      <c r="AJ369" s="2" t="s">
        <v>229</v>
      </c>
      <c r="AK369" s="2" t="s">
        <v>244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44" t="b">
        <v>0</v>
      </c>
      <c r="AP369" s="48" t="b">
        <v>0</v>
      </c>
      <c r="AQ369" s="48" t="b">
        <v>0</v>
      </c>
      <c r="AR369" s="48">
        <v>0</v>
      </c>
      <c r="AS369" s="48" t="b">
        <v>0</v>
      </c>
      <c r="AT369" s="7" t="b">
        <v>0</v>
      </c>
      <c r="AU369" s="40" t="str" cm="1">
        <f t="array" ref="AU369">_xlfn.XLOOKUP(PROPERTIES[[#This Row],[VEHIDCODE]],GRAPHICS_PROPERTIES[VEHIDCODE],GRAPHICS_PROPERTIES[TEMPLATE_ID]&amp;GRAPHICS_PROPERTIES[TEMPLATE_AMENDMENT_CODE])</f>
        <v>TPL_01A</v>
      </c>
    </row>
    <row r="370" spans="1:47" x14ac:dyDescent="0.35">
      <c r="A370" s="2" t="s">
        <v>3004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0" t="str">
        <f>_xlfn.XLOOKUP(PROPERTIES[[#This Row],[VEHIDCODE]],CONTROL[VEHIDCODE],CONTROL[ENGLISH])</f>
        <v>Breda E.428</v>
      </c>
      <c r="F370" t="s">
        <v>636</v>
      </c>
      <c r="G370" s="40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17</v>
      </c>
      <c r="J370">
        <v>0</v>
      </c>
      <c r="K370">
        <v>8</v>
      </c>
      <c r="L370">
        <v>0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3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0">
        <v>180</v>
      </c>
      <c r="AA370" s="19">
        <f>IFERROR(PROPERTIES[[#This Row],[TE_STARTING_KN]]/(PROPERTIES[[#This Row],[WEIGHT]]*9.81),0)</f>
        <v>0.14114326040931546</v>
      </c>
      <c r="AB370" s="19">
        <v>0</v>
      </c>
      <c r="AC370" s="16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6">
        <v>0</v>
      </c>
      <c r="AF370" s="6">
        <v>0</v>
      </c>
      <c r="AG370" t="s">
        <v>231</v>
      </c>
      <c r="AH370" t="s">
        <v>229</v>
      </c>
      <c r="AI370" t="s">
        <v>229</v>
      </c>
      <c r="AJ370" s="2" t="s">
        <v>229</v>
      </c>
      <c r="AK370" s="2" t="s">
        <v>244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44" t="b">
        <v>0</v>
      </c>
      <c r="AP370" s="48" t="b">
        <v>0</v>
      </c>
      <c r="AQ370" s="48" t="b">
        <v>0</v>
      </c>
      <c r="AR370" s="48">
        <v>0</v>
      </c>
      <c r="AS370" s="48" t="b">
        <v>0</v>
      </c>
      <c r="AT370" s="7" t="b">
        <v>0</v>
      </c>
      <c r="AU370" s="40" t="str" cm="1">
        <f t="array" ref="AU370">_xlfn.XLOOKUP(PROPERTIES[[#This Row],[VEHIDCODE]],GRAPHICS_PROPERTIES[VEHIDCODE],GRAPHICS_PROPERTIES[TEMPLATE_ID]&amp;GRAPHICS_PROPERTIES[TEMPLATE_AMENDMENT_CODE])</f>
        <v>TPL_01A</v>
      </c>
    </row>
    <row r="371" spans="1:47" x14ac:dyDescent="0.35">
      <c r="A371" s="2" t="s">
        <v>3005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0" t="str">
        <f>_xlfn.XLOOKUP(PROPERTIES[[#This Row],[VEHIDCODE]],CONTROL[VEHIDCODE],CONTROL[ENGLISH])</f>
        <v>Werkspoor SAR ES</v>
      </c>
      <c r="F371" t="s">
        <v>771</v>
      </c>
      <c r="G371" s="40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17</v>
      </c>
      <c r="J371">
        <v>0</v>
      </c>
      <c r="K371">
        <v>8</v>
      </c>
      <c r="L371">
        <v>0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3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0">
        <v>176</v>
      </c>
      <c r="AA371" s="19">
        <f>IFERROR(PROPERTIES[[#This Row],[TE_STARTING_KN]]/(PROPERTIES[[#This Row],[WEIGHT]]*9.81),0)</f>
        <v>0.26383642141872038</v>
      </c>
      <c r="AB371" s="19">
        <v>0</v>
      </c>
      <c r="AC371" s="16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6">
        <v>0</v>
      </c>
      <c r="AF371" s="6">
        <v>0</v>
      </c>
      <c r="AG371" t="s">
        <v>233</v>
      </c>
      <c r="AH371" t="s">
        <v>229</v>
      </c>
      <c r="AI371" t="s">
        <v>229</v>
      </c>
      <c r="AJ371" s="2" t="s">
        <v>229</v>
      </c>
      <c r="AK371" s="2" t="s">
        <v>244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44" t="b">
        <v>0</v>
      </c>
      <c r="AP371" s="48" t="b">
        <v>0</v>
      </c>
      <c r="AQ371" s="48" t="b">
        <v>0</v>
      </c>
      <c r="AR371" s="48">
        <v>0</v>
      </c>
      <c r="AS371" s="48" t="b">
        <v>0</v>
      </c>
      <c r="AT371" s="7" t="b">
        <v>0</v>
      </c>
      <c r="AU371" s="40" t="str" cm="1">
        <f t="array" ref="AU371">_xlfn.XLOOKUP(PROPERTIES[[#This Row],[VEHIDCODE]],GRAPHICS_PROPERTIES[VEHIDCODE],GRAPHICS_PROPERTIES[TEMPLATE_ID]&amp;GRAPHICS_PROPERTIES[TEMPLATE_AMENDMENT_CODE])</f>
        <v>TPL_01A</v>
      </c>
    </row>
    <row r="372" spans="1:47" x14ac:dyDescent="0.35">
      <c r="A372" s="2" t="s">
        <v>3006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0" t="str">
        <f>_xlfn.XLOOKUP(PROPERTIES[[#This Row],[VEHIDCODE]],CONTROL[VEHIDCODE],CONTROL[ENGLISH])</f>
        <v>English Electric E [AEI E]</v>
      </c>
      <c r="F372" t="s">
        <v>705</v>
      </c>
      <c r="G372" s="40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17</v>
      </c>
      <c r="J372">
        <v>0</v>
      </c>
      <c r="K372">
        <v>7</v>
      </c>
      <c r="L372">
        <v>0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3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0">
        <v>280</v>
      </c>
      <c r="AA372" s="19">
        <f>IFERROR(PROPERTIES[[#This Row],[TE_STARTING_KN]]/(PROPERTIES[[#This Row],[WEIGHT]]*9.81),0)</f>
        <v>0.35237412063779716</v>
      </c>
      <c r="AB372" s="19">
        <v>0</v>
      </c>
      <c r="AC372" s="16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6">
        <v>0</v>
      </c>
      <c r="AF372" s="6">
        <v>0</v>
      </c>
      <c r="AG372" t="s">
        <v>236</v>
      </c>
      <c r="AH372" t="s">
        <v>229</v>
      </c>
      <c r="AI372" t="s">
        <v>229</v>
      </c>
      <c r="AJ372" s="2" t="s">
        <v>229</v>
      </c>
      <c r="AK372" s="2" t="s">
        <v>244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44" t="b">
        <v>0</v>
      </c>
      <c r="AP372" s="48" t="b">
        <v>0</v>
      </c>
      <c r="AQ372" s="48" t="b">
        <v>0</v>
      </c>
      <c r="AR372" s="48">
        <v>0</v>
      </c>
      <c r="AS372" s="48" t="b">
        <v>0</v>
      </c>
      <c r="AT372" s="7" t="b">
        <v>0</v>
      </c>
      <c r="AU372" s="40" t="str" cm="1">
        <f t="array" ref="AU372">_xlfn.XLOOKUP(PROPERTIES[[#This Row],[VEHIDCODE]],GRAPHICS_PROPERTIES[VEHIDCODE],GRAPHICS_PROPERTIES[TEMPLATE_ID]&amp;GRAPHICS_PROPERTIES[TEMPLATE_AMENDMENT_CODE])</f>
        <v>TPL_01A</v>
      </c>
    </row>
    <row r="373" spans="1:47" x14ac:dyDescent="0.35">
      <c r="A373" s="2" t="s">
        <v>3007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0" t="str">
        <f>_xlfn.XLOOKUP(PROPERTIES[[#This Row],[VEHIDCODE]],CONTROL[VEHIDCODE],CONTROL[ENGLISH])</f>
        <v>HCP 203E</v>
      </c>
      <c r="F373" t="s">
        <v>705</v>
      </c>
      <c r="G373" s="40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17</v>
      </c>
      <c r="J373">
        <v>0</v>
      </c>
      <c r="K373">
        <v>7</v>
      </c>
      <c r="L373">
        <v>0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3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0">
        <v>500</v>
      </c>
      <c r="AA373" s="19">
        <f>IFERROR(PROPERTIES[[#This Row],[TE_STARTING_KN]]/(PROPERTIES[[#This Row],[WEIGHT]]*9.81),0)</f>
        <v>0.30519999755840005</v>
      </c>
      <c r="AB373" s="19">
        <v>0</v>
      </c>
      <c r="AC373" s="16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6">
        <v>0</v>
      </c>
      <c r="AF373" s="6">
        <v>7</v>
      </c>
      <c r="AG373" t="s">
        <v>236</v>
      </c>
      <c r="AH373" t="s">
        <v>229</v>
      </c>
      <c r="AI373" t="s">
        <v>229</v>
      </c>
      <c r="AJ373" s="2" t="s">
        <v>229</v>
      </c>
      <c r="AK373" s="2" t="s">
        <v>244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44" t="b">
        <v>0</v>
      </c>
      <c r="AP373" s="48" t="b">
        <v>0</v>
      </c>
      <c r="AQ373" s="48" t="b">
        <v>0</v>
      </c>
      <c r="AR373" s="48">
        <v>0</v>
      </c>
      <c r="AS373" s="48" t="b">
        <v>0</v>
      </c>
      <c r="AT373" s="7" t="b">
        <v>0</v>
      </c>
      <c r="AU373" s="40" t="str" cm="1">
        <f t="array" ref="AU373">_xlfn.XLOOKUP(PROPERTIES[[#This Row],[VEHIDCODE]],GRAPHICS_PROPERTIES[VEHIDCODE],GRAPHICS_PROPERTIES[TEMPLATE_ID]&amp;GRAPHICS_PROPERTIES[TEMPLATE_AMENDMENT_CODE])</f>
        <v>TPL_03D</v>
      </c>
    </row>
    <row r="374" spans="1:47" x14ac:dyDescent="0.35">
      <c r="A374" s="2" t="s">
        <v>3008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0" t="str">
        <f>_xlfn.XLOOKUP(PROPERTIES[[#This Row],[VEHIDCODE]],CONTROL[VEHIDCODE],CONTROL[ENGLISH])</f>
        <v>Pafawag 104E</v>
      </c>
      <c r="F374" t="s">
        <v>705</v>
      </c>
      <c r="G374" s="40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17</v>
      </c>
      <c r="J374">
        <v>0</v>
      </c>
      <c r="K374">
        <v>7</v>
      </c>
      <c r="L374">
        <v>0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3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0">
        <v>195</v>
      </c>
      <c r="AA374" s="19">
        <f>IFERROR(PROPERTIES[[#This Row],[TE_STARTING_KN]]/(PROPERTIES[[#This Row],[WEIGHT]]*9.81),0)</f>
        <v>0.23805599809555203</v>
      </c>
      <c r="AB374" s="19">
        <v>0</v>
      </c>
      <c r="AC374" s="16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6">
        <v>0</v>
      </c>
      <c r="AF374" s="6">
        <v>0</v>
      </c>
      <c r="AG374" t="s">
        <v>236</v>
      </c>
      <c r="AH374" t="s">
        <v>229</v>
      </c>
      <c r="AI374" t="s">
        <v>229</v>
      </c>
      <c r="AJ374" s="2" t="s">
        <v>229</v>
      </c>
      <c r="AK374" s="2" t="s">
        <v>244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44" t="b">
        <v>0</v>
      </c>
      <c r="AP374" s="48" t="b">
        <v>0</v>
      </c>
      <c r="AQ374" s="48" t="b">
        <v>0</v>
      </c>
      <c r="AR374" s="48">
        <v>0</v>
      </c>
      <c r="AS374" s="48" t="b">
        <v>0</v>
      </c>
      <c r="AT374" s="7" t="b">
        <v>0</v>
      </c>
      <c r="AU374" s="40" t="str" cm="1">
        <f t="array" ref="AU374">_xlfn.XLOOKUP(PROPERTIES[[#This Row],[VEHIDCODE]],GRAPHICS_PROPERTIES[VEHIDCODE],GRAPHICS_PROPERTIES[TEMPLATE_ID]&amp;GRAPHICS_PROPERTIES[TEMPLATE_AMENDMENT_CODE])</f>
        <v>TPL_01A</v>
      </c>
    </row>
    <row r="375" spans="1:47" x14ac:dyDescent="0.35">
      <c r="A375" s="2" t="s">
        <v>3009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0" t="str">
        <f>_xlfn.XLOOKUP(PROPERTIES[[#This Row],[VEHIDCODE]],CONTROL[VEHIDCODE],CONTROL[ENGLISH])</f>
        <v>Skoda 98E</v>
      </c>
      <c r="F375" t="s">
        <v>727</v>
      </c>
      <c r="G375" s="40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17</v>
      </c>
      <c r="J375">
        <v>0</v>
      </c>
      <c r="K375">
        <v>7</v>
      </c>
      <c r="L375">
        <v>0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3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0">
        <v>258</v>
      </c>
      <c r="AA375" s="19">
        <f>IFERROR(PROPERTIES[[#This Row],[TE_STARTING_KN]]/(PROPERTIES[[#This Row],[WEIGHT]]*9.81),0)</f>
        <v>0.30940816693649936</v>
      </c>
      <c r="AB375" s="19">
        <v>0</v>
      </c>
      <c r="AC375" s="16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6">
        <v>0</v>
      </c>
      <c r="AF375" s="6">
        <v>0</v>
      </c>
      <c r="AG375" t="s">
        <v>236</v>
      </c>
      <c r="AH375" t="s">
        <v>229</v>
      </c>
      <c r="AI375" t="s">
        <v>229</v>
      </c>
      <c r="AJ375" s="2" t="s">
        <v>229</v>
      </c>
      <c r="AK375" s="2" t="s">
        <v>244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44" t="b">
        <v>0</v>
      </c>
      <c r="AP375" s="48" t="b">
        <v>0</v>
      </c>
      <c r="AQ375" s="48" t="b">
        <v>0</v>
      </c>
      <c r="AR375" s="48">
        <v>0</v>
      </c>
      <c r="AS375" s="48" t="b">
        <v>0</v>
      </c>
      <c r="AT375" s="7" t="b">
        <v>0</v>
      </c>
      <c r="AU375" s="40" t="str" cm="1">
        <f t="array" ref="AU375">_xlfn.XLOOKUP(PROPERTIES[[#This Row],[VEHIDCODE]],GRAPHICS_PROPERTIES[VEHIDCODE],GRAPHICS_PROPERTIES[TEMPLATE_ID]&amp;GRAPHICS_PROPERTIES[TEMPLATE_AMENDMENT_CODE])</f>
        <v>TPL_01A</v>
      </c>
    </row>
    <row r="376" spans="1:47" x14ac:dyDescent="0.35">
      <c r="A376" s="2" t="s">
        <v>3010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0" t="str">
        <f>_xlfn.XLOOKUP(PROPERTIES[[#This Row],[VEHIDCODE]],CONTROL[VEHIDCODE],CONTROL[ENGLISH])</f>
        <v>TIBB E.646</v>
      </c>
      <c r="F376" t="s">
        <v>636</v>
      </c>
      <c r="G376" s="40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17</v>
      </c>
      <c r="J376">
        <v>0</v>
      </c>
      <c r="K376">
        <v>5</v>
      </c>
      <c r="L376">
        <v>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3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0">
        <v>233</v>
      </c>
      <c r="AA376" s="19">
        <f>IFERROR(PROPERTIES[[#This Row],[TE_STARTING_KN]]/(PROPERTIES[[#This Row],[WEIGHT]]*9.81),0)</f>
        <v>0.21592067463627093</v>
      </c>
      <c r="AB376" s="19">
        <v>0</v>
      </c>
      <c r="AC376" s="16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6">
        <v>0</v>
      </c>
      <c r="AF376" s="6">
        <v>5</v>
      </c>
      <c r="AG376" t="s">
        <v>231</v>
      </c>
      <c r="AH376" t="s">
        <v>229</v>
      </c>
      <c r="AI376" t="s">
        <v>229</v>
      </c>
      <c r="AJ376" s="2" t="s">
        <v>229</v>
      </c>
      <c r="AK376" s="2" t="s">
        <v>244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44" t="b">
        <v>0</v>
      </c>
      <c r="AP376" s="48" t="b">
        <v>0</v>
      </c>
      <c r="AQ376" s="48" t="b">
        <v>0</v>
      </c>
      <c r="AR376" s="48">
        <v>0</v>
      </c>
      <c r="AS376" s="48" t="b">
        <v>0</v>
      </c>
      <c r="AT376" s="7" t="b">
        <v>0</v>
      </c>
      <c r="AU376" s="40" t="str" cm="1">
        <f t="array" ref="AU376">_xlfn.XLOOKUP(PROPERTIES[[#This Row],[VEHIDCODE]],GRAPHICS_PROPERTIES[VEHIDCODE],GRAPHICS_PROPERTIES[TEMPLATE_ID]&amp;GRAPHICS_PROPERTIES[TEMPLATE_AMENDMENT_CODE])</f>
        <v>TPL_03D</v>
      </c>
    </row>
    <row r="377" spans="1:47" x14ac:dyDescent="0.35">
      <c r="A377" s="2" t="s">
        <v>3011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0" t="str">
        <f>_xlfn.XLOOKUP(PROPERTIES[[#This Row],[VEHIDCODE]],CONTROL[VEHIDCODE],CONTROL[ENGLISH])</f>
        <v>Breda E.424</v>
      </c>
      <c r="F377" t="s">
        <v>636</v>
      </c>
      <c r="G377" s="40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17</v>
      </c>
      <c r="J377">
        <v>0</v>
      </c>
      <c r="K377">
        <v>8</v>
      </c>
      <c r="L377">
        <v>0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3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0">
        <v>168</v>
      </c>
      <c r="AA377" s="19">
        <f>IFERROR(PROPERTIES[[#This Row],[TE_STARTING_KN]]/(PROPERTIES[[#This Row],[WEIGHT]]*9.81),0)</f>
        <v>0.26346741943072222</v>
      </c>
      <c r="AB377" s="19">
        <v>0</v>
      </c>
      <c r="AC377" s="16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6">
        <v>0</v>
      </c>
      <c r="AF377" s="6">
        <v>0</v>
      </c>
      <c r="AG377" t="s">
        <v>231</v>
      </c>
      <c r="AH377" t="s">
        <v>229</v>
      </c>
      <c r="AI377" t="s">
        <v>229</v>
      </c>
      <c r="AJ377" s="2" t="s">
        <v>229</v>
      </c>
      <c r="AK377" s="2" t="s">
        <v>244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44" t="b">
        <v>0</v>
      </c>
      <c r="AP377" s="48" t="b">
        <v>0</v>
      </c>
      <c r="AQ377" s="48" t="b">
        <v>0</v>
      </c>
      <c r="AR377" s="48">
        <v>0</v>
      </c>
      <c r="AS377" s="48" t="b">
        <v>0</v>
      </c>
      <c r="AT377" s="7" t="b">
        <v>0</v>
      </c>
      <c r="AU377" s="40" t="str" cm="1">
        <f t="array" ref="AU377">_xlfn.XLOOKUP(PROPERTIES[[#This Row],[VEHIDCODE]],GRAPHICS_PROPERTIES[VEHIDCODE],GRAPHICS_PROPERTIES[TEMPLATE_ID]&amp;GRAPHICS_PROPERTIES[TEMPLATE_AMENDMENT_CODE])</f>
        <v>TPL_01A</v>
      </c>
    </row>
    <row r="378" spans="1:47" x14ac:dyDescent="0.35">
      <c r="A378" s="2" t="s">
        <v>3012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0" t="str">
        <f>_xlfn.XLOOKUP(PROPERTIES[[#This Row],[VEHIDCODE]],CONTROL[VEHIDCODE],CONTROL[ENGLISH])</f>
        <v>Savigliano E.444</v>
      </c>
      <c r="F378" t="s">
        <v>636</v>
      </c>
      <c r="G378" s="40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17</v>
      </c>
      <c r="J378">
        <v>0</v>
      </c>
      <c r="K378">
        <v>8</v>
      </c>
      <c r="L378">
        <v>0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3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0">
        <v>201</v>
      </c>
      <c r="AA378" s="19">
        <f>IFERROR(PROPERTIES[[#This Row],[TE_STARTING_KN]]/(PROPERTIES[[#This Row],[WEIGHT]]*9.81),0)</f>
        <v>0.24685899561548946</v>
      </c>
      <c r="AB378" s="19">
        <v>0</v>
      </c>
      <c r="AC378" s="16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6">
        <v>0</v>
      </c>
      <c r="AF378" s="6">
        <v>0</v>
      </c>
      <c r="AG378" t="s">
        <v>231</v>
      </c>
      <c r="AH378" t="s">
        <v>229</v>
      </c>
      <c r="AI378" t="s">
        <v>229</v>
      </c>
      <c r="AJ378" s="2" t="s">
        <v>229</v>
      </c>
      <c r="AK378" s="2" t="s">
        <v>244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44" t="b">
        <v>0</v>
      </c>
      <c r="AP378" s="48" t="b">
        <v>0</v>
      </c>
      <c r="AQ378" s="48" t="b">
        <v>0</v>
      </c>
      <c r="AR378" s="48">
        <v>0</v>
      </c>
      <c r="AS378" s="48" t="b">
        <v>0</v>
      </c>
      <c r="AT378" s="7" t="b">
        <v>0</v>
      </c>
      <c r="AU378" s="40" t="str" cm="1">
        <f t="array" ref="AU378">_xlfn.XLOOKUP(PROPERTIES[[#This Row],[VEHIDCODE]],GRAPHICS_PROPERTIES[VEHIDCODE],GRAPHICS_PROPERTIES[TEMPLATE_ID]&amp;GRAPHICS_PROPERTIES[TEMPLATE_AMENDMENT_CODE])</f>
        <v>TPL_01A</v>
      </c>
    </row>
    <row r="379" spans="1:47" x14ac:dyDescent="0.35">
      <c r="A379" s="2" t="s">
        <v>3013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0" t="str">
        <f>_xlfn.XLOOKUP(PROPERTIES[[#This Row],[VEHIDCODE]],CONTROL[VEHIDCODE],CONTROL[ENGLISH])</f>
        <v>Fiat E.633</v>
      </c>
      <c r="F379" t="s">
        <v>636</v>
      </c>
      <c r="G379" s="40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17</v>
      </c>
      <c r="J379">
        <v>0</v>
      </c>
      <c r="K379">
        <v>8</v>
      </c>
      <c r="L379">
        <v>0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3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0">
        <v>308</v>
      </c>
      <c r="AA379" s="19">
        <f>IFERROR(PROPERTIES[[#This Row],[TE_STARTING_KN]]/(PROPERTIES[[#This Row],[WEIGHT]]*9.81),0)</f>
        <v>0.30482071989153131</v>
      </c>
      <c r="AB379" s="19">
        <v>0</v>
      </c>
      <c r="AC379" s="16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6">
        <v>0</v>
      </c>
      <c r="AF379" s="6">
        <v>0</v>
      </c>
      <c r="AG379" t="s">
        <v>231</v>
      </c>
      <c r="AH379" t="s">
        <v>229</v>
      </c>
      <c r="AI379" t="s">
        <v>229</v>
      </c>
      <c r="AJ379" s="2" t="s">
        <v>229</v>
      </c>
      <c r="AK379" s="2" t="s">
        <v>244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44" t="b">
        <v>0</v>
      </c>
      <c r="AP379" s="48" t="b">
        <v>0</v>
      </c>
      <c r="AQ379" s="48" t="b">
        <v>0</v>
      </c>
      <c r="AR379" s="48">
        <v>0</v>
      </c>
      <c r="AS379" s="48" t="b">
        <v>0</v>
      </c>
      <c r="AT379" s="7" t="b">
        <v>0</v>
      </c>
      <c r="AU379" s="40" t="str" cm="1">
        <f t="array" ref="AU379">_xlfn.XLOOKUP(PROPERTIES[[#This Row],[VEHIDCODE]],GRAPHICS_PROPERTIES[VEHIDCODE],GRAPHICS_PROPERTIES[TEMPLATE_ID]&amp;GRAPHICS_PROPERTIES[TEMPLATE_AMENDMENT_CODE])</f>
        <v>TPL_01A</v>
      </c>
    </row>
    <row r="380" spans="1:47" x14ac:dyDescent="0.35">
      <c r="A380" s="2" t="s">
        <v>3014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0" t="str">
        <f>_xlfn.XLOOKUP(PROPERTIES[[#This Row],[VEHIDCODE]],CONTROL[VEHIDCODE],CONTROL[ENGLISH])</f>
        <v>BN/ACEC 25.5</v>
      </c>
      <c r="F380" t="s">
        <v>548</v>
      </c>
      <c r="G380" s="40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17</v>
      </c>
      <c r="J380">
        <v>0</v>
      </c>
      <c r="K380">
        <v>8</v>
      </c>
      <c r="L380">
        <v>0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3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0">
        <v>196</v>
      </c>
      <c r="AA380" s="19">
        <f>IFERROR(PROPERTIES[[#This Row],[TE_STARTING_KN]]/(PROPERTIES[[#This Row],[WEIGHT]]*9.81),0)</f>
        <v>0.23505426635485999</v>
      </c>
      <c r="AB380" s="19">
        <v>0</v>
      </c>
      <c r="AC380" s="16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6">
        <v>0</v>
      </c>
      <c r="AF380" s="6">
        <v>0</v>
      </c>
      <c r="AG380" t="s">
        <v>230</v>
      </c>
      <c r="AH380" t="s">
        <v>229</v>
      </c>
      <c r="AI380" t="s">
        <v>229</v>
      </c>
      <c r="AJ380" s="2" t="s">
        <v>229</v>
      </c>
      <c r="AK380" s="2" t="s">
        <v>244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44" t="b">
        <v>0</v>
      </c>
      <c r="AP380" s="48" t="b">
        <v>0</v>
      </c>
      <c r="AQ380" s="48" t="b">
        <v>0</v>
      </c>
      <c r="AR380" s="48">
        <v>0</v>
      </c>
      <c r="AS380" s="48" t="b">
        <v>0</v>
      </c>
      <c r="AT380" s="7" t="b">
        <v>0</v>
      </c>
      <c r="AU380" s="40" t="str" cm="1">
        <f t="array" ref="AU380">_xlfn.XLOOKUP(PROPERTIES[[#This Row],[VEHIDCODE]],GRAPHICS_PROPERTIES[VEHIDCODE],GRAPHICS_PROPERTIES[TEMPLATE_ID]&amp;GRAPHICS_PROPERTIES[TEMPLATE_AMENDMENT_CODE])</f>
        <v>TPL_01A</v>
      </c>
    </row>
    <row r="381" spans="1:47" x14ac:dyDescent="0.35">
      <c r="A381" s="2" t="s">
        <v>3015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0" t="str">
        <f>_xlfn.XLOOKUP(PROPERTIES[[#This Row],[VEHIDCODE]],CONTROL[VEHIDCODE],CONTROL[ENGLISH])</f>
        <v>Krauss Maffei/CAF 250</v>
      </c>
      <c r="F381" t="s">
        <v>595</v>
      </c>
      <c r="G381" s="40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17</v>
      </c>
      <c r="J381">
        <v>0</v>
      </c>
      <c r="K381">
        <v>8</v>
      </c>
      <c r="L381">
        <v>0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3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0">
        <v>410</v>
      </c>
      <c r="AA381" s="19">
        <f>IFERROR(PROPERTIES[[#This Row],[TE_STARTING_KN]]/(PROPERTIES[[#This Row],[WEIGHT]]*9.81),0)</f>
        <v>0.33704909407780076</v>
      </c>
      <c r="AB381" s="19">
        <v>0</v>
      </c>
      <c r="AC381" s="16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6">
        <v>0</v>
      </c>
      <c r="AF381" s="6">
        <v>0</v>
      </c>
      <c r="AG381" t="s">
        <v>231</v>
      </c>
      <c r="AH381" t="s">
        <v>229</v>
      </c>
      <c r="AI381" t="s">
        <v>229</v>
      </c>
      <c r="AJ381" s="2" t="s">
        <v>229</v>
      </c>
      <c r="AK381" s="2" t="s">
        <v>244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44" t="b">
        <v>0</v>
      </c>
      <c r="AP381" s="48" t="b">
        <v>0</v>
      </c>
      <c r="AQ381" s="48" t="b">
        <v>0</v>
      </c>
      <c r="AR381" s="48">
        <v>0</v>
      </c>
      <c r="AS381" s="48" t="b">
        <v>0</v>
      </c>
      <c r="AT381" s="7" t="b">
        <v>0</v>
      </c>
      <c r="AU381" s="40" t="str" cm="1">
        <f t="array" ref="AU381">_xlfn.XLOOKUP(PROPERTIES[[#This Row],[VEHIDCODE]],GRAPHICS_PROPERTIES[VEHIDCODE],GRAPHICS_PROPERTIES[TEMPLATE_ID]&amp;GRAPHICS_PROPERTIES[TEMPLATE_AMENDMENT_CODE])</f>
        <v>TPL_01A</v>
      </c>
    </row>
    <row r="382" spans="1:47" x14ac:dyDescent="0.35">
      <c r="A382" s="2" t="s">
        <v>3016</v>
      </c>
      <c r="B382">
        <v>1940</v>
      </c>
      <c r="C382">
        <v>1992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0" t="str">
        <f>_xlfn.XLOOKUP(PROPERTIES[[#This Row],[VEHIDCODE]],CONTROL[VEHIDCODE],CONTROL[ENGLISH])</f>
        <v>EF-E 29 GE 2-C+C-2</v>
      </c>
      <c r="F382" t="s">
        <v>573</v>
      </c>
      <c r="G382" s="40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17</v>
      </c>
      <c r="J382">
        <v>0</v>
      </c>
      <c r="K382">
        <v>8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3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0">
        <v>315</v>
      </c>
      <c r="AA382" s="19">
        <f>IFERROR(PROPERTIES[[#This Row],[TE_STARTING_KN]]/(PROPERTIES[[#This Row],[WEIGHT]]*9.81),0)</f>
        <v>0.27681113571654536</v>
      </c>
      <c r="AB382" s="19">
        <v>0</v>
      </c>
      <c r="AC382" s="16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6">
        <v>0</v>
      </c>
      <c r="AF382" s="6">
        <v>1</v>
      </c>
      <c r="AG382" t="s">
        <v>240</v>
      </c>
      <c r="AH382" t="s">
        <v>1948</v>
      </c>
      <c r="AI382" t="s">
        <v>229</v>
      </c>
      <c r="AJ382" s="2" t="s">
        <v>229</v>
      </c>
      <c r="AK382" s="2" t="s">
        <v>244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44" t="b">
        <v>0</v>
      </c>
      <c r="AP382" s="48" t="b">
        <v>0</v>
      </c>
      <c r="AQ382" s="48" t="b">
        <v>1</v>
      </c>
      <c r="AR382" s="48">
        <v>0</v>
      </c>
      <c r="AS382" s="48" t="b">
        <v>0</v>
      </c>
      <c r="AT382" s="7" t="b">
        <v>1</v>
      </c>
      <c r="AU382" s="40" t="str" cm="1">
        <f t="array" ref="AU382">_xlfn.XLOOKUP(PROPERTIES[[#This Row],[VEHIDCODE]],GRAPHICS_PROPERTIES[VEHIDCODE],GRAPHICS_PROPERTIES[TEMPLATE_ID]&amp;GRAPHICS_PROPERTIES[TEMPLATE_AMENDMENT_CODE])</f>
        <v>TPL_16A</v>
      </c>
    </row>
    <row r="383" spans="1:47" x14ac:dyDescent="0.35">
      <c r="A383" s="2" t="s">
        <v>3017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0" t="str">
        <f>_xlfn.XLOOKUP(PROPERTIES[[#This Row],[VEHIDCODE]],CONTROL[VEHIDCODE],CONTROL[ENGLISH])</f>
        <v>GAI/Breda E-17</v>
      </c>
      <c r="F383" t="s">
        <v>573</v>
      </c>
      <c r="G383" s="40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17</v>
      </c>
      <c r="J383">
        <v>0</v>
      </c>
      <c r="K383">
        <v>6</v>
      </c>
      <c r="L383">
        <v>0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3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0">
        <v>0</v>
      </c>
      <c r="AA383" s="19">
        <f>IFERROR(PROPERTIES[[#This Row],[TE_STARTING_KN]]/(PROPERTIES[[#This Row],[WEIGHT]]*9.81),0)</f>
        <v>0</v>
      </c>
      <c r="AB383" s="19">
        <v>0.24</v>
      </c>
      <c r="AC383" s="16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6">
        <v>0</v>
      </c>
      <c r="AF383" s="6">
        <v>0</v>
      </c>
      <c r="AG383" t="s">
        <v>237</v>
      </c>
      <c r="AH383" t="s">
        <v>229</v>
      </c>
      <c r="AI383" t="s">
        <v>229</v>
      </c>
      <c r="AJ383" s="2" t="s">
        <v>229</v>
      </c>
      <c r="AK383" s="2" t="s">
        <v>244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44" t="b">
        <v>0</v>
      </c>
      <c r="AP383" s="48" t="b">
        <v>0</v>
      </c>
      <c r="AQ383" s="48" t="b">
        <v>0</v>
      </c>
      <c r="AR383" s="48">
        <v>0</v>
      </c>
      <c r="AS383" s="48" t="b">
        <v>0</v>
      </c>
      <c r="AT383" s="7" t="b">
        <v>0</v>
      </c>
      <c r="AU383" s="40" t="str" cm="1">
        <f t="array" ref="AU383">_xlfn.XLOOKUP(PROPERTIES[[#This Row],[VEHIDCODE]],GRAPHICS_PROPERTIES[VEHIDCODE],GRAPHICS_PROPERTIES[TEMPLATE_ID]&amp;GRAPHICS_PROPERTIES[TEMPLATE_AMENDMENT_CODE])</f>
        <v>TPL_01A</v>
      </c>
    </row>
    <row r="384" spans="1:47" x14ac:dyDescent="0.35">
      <c r="A384" s="2" t="s">
        <v>3018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0" t="str">
        <f>_xlfn.XLOOKUP(PROPERTIES[[#This Row],[VEHIDCODE]],CONTROL[VEHIDCODE],CONTROL[ENGLISH])</f>
        <v>Alsthom BB 8100</v>
      </c>
      <c r="F384" t="s">
        <v>602</v>
      </c>
      <c r="G384" s="40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17</v>
      </c>
      <c r="J384">
        <v>0</v>
      </c>
      <c r="K384">
        <v>6</v>
      </c>
      <c r="L384">
        <v>0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3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0">
        <v>0</v>
      </c>
      <c r="AA384" s="19">
        <f>IFERROR(PROPERTIES[[#This Row],[TE_STARTING_KN]]/(PROPERTIES[[#This Row],[WEIGHT]]*9.81),0)</f>
        <v>0</v>
      </c>
      <c r="AB384" s="19">
        <v>0.17</v>
      </c>
      <c r="AC384" s="16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6">
        <v>0</v>
      </c>
      <c r="AF384" s="6">
        <v>0</v>
      </c>
      <c r="AG384" t="s">
        <v>233</v>
      </c>
      <c r="AH384" t="s">
        <v>230</v>
      </c>
      <c r="AI384" t="s">
        <v>229</v>
      </c>
      <c r="AJ384" s="2" t="s">
        <v>229</v>
      </c>
      <c r="AK384" s="2" t="s">
        <v>244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44" t="b">
        <v>0</v>
      </c>
      <c r="AP384" s="48" t="b">
        <v>0</v>
      </c>
      <c r="AQ384" s="48" t="b">
        <v>0</v>
      </c>
      <c r="AR384" s="48">
        <v>0</v>
      </c>
      <c r="AS384" s="48" t="b">
        <v>0</v>
      </c>
      <c r="AT384" s="7" t="b">
        <v>0</v>
      </c>
      <c r="AU384" s="40" t="str" cm="1">
        <f t="array" ref="AU384">_xlfn.XLOOKUP(PROPERTIES[[#This Row],[VEHIDCODE]],GRAPHICS_PROPERTIES[VEHIDCODE],GRAPHICS_PROPERTIES[TEMPLATE_ID]&amp;GRAPHICS_PROPERTIES[TEMPLATE_AMENDMENT_CODE])</f>
        <v>TPL_01A</v>
      </c>
    </row>
    <row r="385" spans="1:47" x14ac:dyDescent="0.35">
      <c r="A385" s="2" t="s">
        <v>3019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0" t="str">
        <f>_xlfn.XLOOKUP(PROPERTIES[[#This Row],[VEHIDCODE]],CONTROL[VEHIDCODE],CONTROL[ENGLISH])</f>
        <v>Vulcan Foundry-EE EM/1</v>
      </c>
      <c r="F385" t="s">
        <v>631</v>
      </c>
      <c r="G385" s="40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17</v>
      </c>
      <c r="J385">
        <v>0</v>
      </c>
      <c r="K385">
        <v>8</v>
      </c>
      <c r="L385">
        <v>0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3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0">
        <v>300</v>
      </c>
      <c r="AA385" s="19">
        <f>IFERROR(PROPERTIES[[#This Row],[TE_STARTING_KN]]/(PROPERTIES[[#This Row],[WEIGHT]]*9.81),0)</f>
        <v>0.24662128834961033</v>
      </c>
      <c r="AB385" s="19">
        <v>0</v>
      </c>
      <c r="AC385" s="16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6">
        <v>0</v>
      </c>
      <c r="AF385" s="6">
        <v>0</v>
      </c>
      <c r="AG385" t="s">
        <v>238</v>
      </c>
      <c r="AH385" t="s">
        <v>229</v>
      </c>
      <c r="AI385" t="s">
        <v>229</v>
      </c>
      <c r="AJ385" s="2" t="s">
        <v>229</v>
      </c>
      <c r="AK385" s="2" t="s">
        <v>244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44" t="b">
        <v>0</v>
      </c>
      <c r="AP385" s="48" t="b">
        <v>0</v>
      </c>
      <c r="AQ385" s="48" t="b">
        <v>0</v>
      </c>
      <c r="AR385" s="48">
        <v>0</v>
      </c>
      <c r="AS385" s="48" t="b">
        <v>0</v>
      </c>
      <c r="AT385" s="7" t="b">
        <v>0</v>
      </c>
      <c r="AU385" s="40" t="str" cm="1">
        <f t="array" ref="AU385">_xlfn.XLOOKUP(PROPERTIES[[#This Row],[VEHIDCODE]],GRAPHICS_PROPERTIES[VEHIDCODE],GRAPHICS_PROPERTIES[TEMPLATE_ID]&amp;GRAPHICS_PROPERTIES[TEMPLATE_AMENDMENT_CODE])</f>
        <v>TPL_01A</v>
      </c>
    </row>
    <row r="386" spans="1:47" x14ac:dyDescent="0.35">
      <c r="A386" s="2" t="s">
        <v>3020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0" t="str">
        <f>_xlfn.XLOOKUP(PROPERTIES[[#This Row],[VEHIDCODE]],CONTROL[VEHIDCODE],CONTROL[ENGLISH])</f>
        <v>Union Carriage &amp; Wagon E38</v>
      </c>
      <c r="F386" t="s">
        <v>771</v>
      </c>
      <c r="G386" s="40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17</v>
      </c>
      <c r="J386">
        <v>0</v>
      </c>
      <c r="K386">
        <v>6</v>
      </c>
      <c r="L386">
        <v>0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3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0">
        <v>260</v>
      </c>
      <c r="AA386" s="19">
        <f>IFERROR(PROPERTIES[[#This Row],[TE_STARTING_KN]]/(PROPERTIES[[#This Row],[WEIGHT]]*9.81),0)</f>
        <v>0.35815632145907372</v>
      </c>
      <c r="AB386" s="19">
        <v>0</v>
      </c>
      <c r="AC386" s="16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6">
        <v>0</v>
      </c>
      <c r="AF386" s="6">
        <v>0</v>
      </c>
      <c r="AG386" t="s">
        <v>233</v>
      </c>
      <c r="AH386" t="s">
        <v>229</v>
      </c>
      <c r="AI386" t="s">
        <v>229</v>
      </c>
      <c r="AJ386" s="2" t="s">
        <v>229</v>
      </c>
      <c r="AK386" s="2" t="s">
        <v>244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44" t="b">
        <v>0</v>
      </c>
      <c r="AP386" s="48" t="b">
        <v>0</v>
      </c>
      <c r="AQ386" s="48" t="b">
        <v>0</v>
      </c>
      <c r="AR386" s="48">
        <v>0</v>
      </c>
      <c r="AS386" s="48" t="b">
        <v>0</v>
      </c>
      <c r="AT386" s="7" t="b">
        <v>0</v>
      </c>
      <c r="AU386" s="40" t="str" cm="1">
        <f t="array" ref="AU386">_xlfn.XLOOKUP(PROPERTIES[[#This Row],[VEHIDCODE]],GRAPHICS_PROPERTIES[VEHIDCODE],GRAPHICS_PROPERTIES[TEMPLATE_ID]&amp;GRAPHICS_PROPERTIES[TEMPLATE_AMENDMENT_CODE])</f>
        <v>TPL_01A</v>
      </c>
    </row>
    <row r="387" spans="1:47" x14ac:dyDescent="0.35">
      <c r="A387" s="2" t="s">
        <v>3021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0" t="str">
        <f>_xlfn.XLOOKUP(PROPERTIES[[#This Row],[VEHIDCODE]],CONTROL[VEHIDCODE],CONTROL[ENGLISH])</f>
        <v>Mitsubishi series 269</v>
      </c>
      <c r="F387" t="s">
        <v>573</v>
      </c>
      <c r="G387" s="40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17</v>
      </c>
      <c r="J387">
        <v>0</v>
      </c>
      <c r="K387">
        <v>7</v>
      </c>
      <c r="L387">
        <v>0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3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0">
        <v>0</v>
      </c>
      <c r="AA387" s="19">
        <f>IFERROR(PROPERTIES[[#This Row],[TE_STARTING_KN]]/(PROPERTIES[[#This Row],[WEIGHT]]*9.81),0)</f>
        <v>0</v>
      </c>
      <c r="AB387" s="19">
        <v>0.16</v>
      </c>
      <c r="AC387" s="16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6">
        <v>0</v>
      </c>
      <c r="AF387" s="6">
        <v>0</v>
      </c>
      <c r="AG387" t="s">
        <v>237</v>
      </c>
      <c r="AH387" t="s">
        <v>231</v>
      </c>
      <c r="AI387" t="s">
        <v>229</v>
      </c>
      <c r="AJ387" s="2" t="s">
        <v>229</v>
      </c>
      <c r="AK387" s="2" t="s">
        <v>244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44" t="b">
        <v>0</v>
      </c>
      <c r="AP387" s="48" t="b">
        <v>0</v>
      </c>
      <c r="AQ387" s="48" t="b">
        <v>0</v>
      </c>
      <c r="AR387" s="48">
        <v>0</v>
      </c>
      <c r="AS387" s="48" t="b">
        <v>0</v>
      </c>
      <c r="AT387" s="7" t="b">
        <v>0</v>
      </c>
      <c r="AU387" s="40" t="str" cm="1">
        <f t="array" ref="AU387">_xlfn.XLOOKUP(PROPERTIES[[#This Row],[VEHIDCODE]],GRAPHICS_PROPERTIES[VEHIDCODE],GRAPHICS_PROPERTIES[TEMPLATE_ID]&amp;GRAPHICS_PROPERTIES[TEMPLATE_AMENDMENT_CODE])</f>
        <v>TPL_01A</v>
      </c>
    </row>
    <row r="388" spans="1:47" x14ac:dyDescent="0.35">
      <c r="A388" s="2" t="s">
        <v>3022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0" t="str">
        <f>_xlfn.XLOOKUP(PROPERTIES[[#This Row],[VEHIDCODE]],CONTROL[VEHIDCODE],CONTROL[ENGLISH])</f>
        <v>Skoda 69E</v>
      </c>
      <c r="F388" t="s">
        <v>583</v>
      </c>
      <c r="G388" s="40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17</v>
      </c>
      <c r="J388">
        <v>0</v>
      </c>
      <c r="K388">
        <v>7</v>
      </c>
      <c r="L388">
        <v>0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3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0">
        <v>260</v>
      </c>
      <c r="AA388" s="19">
        <f>IFERROR(PROPERTIES[[#This Row],[TE_STARTING_KN]]/(PROPERTIES[[#This Row],[WEIGHT]]*9.81),0)</f>
        <v>0.30463871020656846</v>
      </c>
      <c r="AB388" s="19">
        <v>0</v>
      </c>
      <c r="AC388" s="16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6">
        <v>0</v>
      </c>
      <c r="AF388" s="6">
        <v>0</v>
      </c>
      <c r="AG388" t="s">
        <v>236</v>
      </c>
      <c r="AH388" t="s">
        <v>229</v>
      </c>
      <c r="AI388" t="s">
        <v>229</v>
      </c>
      <c r="AJ388" s="2" t="s">
        <v>229</v>
      </c>
      <c r="AK388" s="2" t="s">
        <v>244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44" t="b">
        <v>0</v>
      </c>
      <c r="AP388" s="48" t="b">
        <v>0</v>
      </c>
      <c r="AQ388" s="48" t="b">
        <v>0</v>
      </c>
      <c r="AR388" s="48">
        <v>0</v>
      </c>
      <c r="AS388" s="48" t="b">
        <v>0</v>
      </c>
      <c r="AT388" s="7" t="b">
        <v>0</v>
      </c>
      <c r="AU388" s="40" t="str" cm="1">
        <f t="array" ref="AU388">_xlfn.XLOOKUP(PROPERTIES[[#This Row],[VEHIDCODE]],GRAPHICS_PROPERTIES[VEHIDCODE],GRAPHICS_PROPERTIES[TEMPLATE_ID]&amp;GRAPHICS_PROPERTIES[TEMPLATE_AMENDMENT_CODE])</f>
        <v>TPL_01A</v>
      </c>
    </row>
    <row r="389" spans="1:47" x14ac:dyDescent="0.35">
      <c r="A389" s="2" t="s">
        <v>3023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0" t="str">
        <f>_xlfn.XLOOKUP(PROPERTIES[[#This Row],[VEHIDCODE]],CONTROL[VEHIDCODE],CONTROL[ENGLISH])</f>
        <v>AEG/Skabo EL7</v>
      </c>
      <c r="F389" t="s">
        <v>693</v>
      </c>
      <c r="G389" s="40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17</v>
      </c>
      <c r="J389">
        <v>0</v>
      </c>
      <c r="K389">
        <v>6</v>
      </c>
      <c r="L389">
        <v>0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3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0">
        <v>0</v>
      </c>
      <c r="AA389" s="19">
        <f>IFERROR(PROPERTIES[[#This Row],[TE_STARTING_KN]]/(PROPERTIES[[#This Row],[WEIGHT]]*9.81),0)</f>
        <v>0</v>
      </c>
      <c r="AB389" s="19">
        <v>0.22</v>
      </c>
      <c r="AC389" s="16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6">
        <v>0</v>
      </c>
      <c r="AF389" s="6">
        <v>0</v>
      </c>
      <c r="AG389" t="s">
        <v>234</v>
      </c>
      <c r="AH389" t="s">
        <v>229</v>
      </c>
      <c r="AI389" t="s">
        <v>229</v>
      </c>
      <c r="AJ389" s="2" t="s">
        <v>229</v>
      </c>
      <c r="AK389" s="2" t="s">
        <v>244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44" t="b">
        <v>0</v>
      </c>
      <c r="AP389" s="48" t="b">
        <v>0</v>
      </c>
      <c r="AQ389" s="48" t="b">
        <v>0</v>
      </c>
      <c r="AR389" s="48">
        <v>0</v>
      </c>
      <c r="AS389" s="48" t="b">
        <v>0</v>
      </c>
      <c r="AT389" s="7" t="b">
        <v>0</v>
      </c>
      <c r="AU389" s="40" t="str" cm="1">
        <f t="array" ref="AU389">_xlfn.XLOOKUP(PROPERTIES[[#This Row],[VEHIDCODE]],GRAPHICS_PROPERTIES[VEHIDCODE],GRAPHICS_PROPERTIES[TEMPLATE_ID]&amp;GRAPHICS_PROPERTIES[TEMPLATE_AMENDMENT_CODE])</f>
        <v>TPL_01A</v>
      </c>
    </row>
    <row r="390" spans="1:47" x14ac:dyDescent="0.35">
      <c r="A390" s="2" t="s">
        <v>3024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0" t="str">
        <f>_xlfn.XLOOKUP(PROPERTIES[[#This Row],[VEHIDCODE]],CONTROL[VEHIDCODE],CONTROL[ENGLISH])</f>
        <v xml:space="preserve">Westinghouse FF-1 'Big Liz' </v>
      </c>
      <c r="F390" t="s">
        <v>757</v>
      </c>
      <c r="G390" s="40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17</v>
      </c>
      <c r="J390">
        <v>0</v>
      </c>
      <c r="K390">
        <v>8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3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0">
        <v>620</v>
      </c>
      <c r="AA390" s="19">
        <f>IFERROR(PROPERTIES[[#This Row],[TE_STARTING_KN]]/(PROPERTIES[[#This Row],[WEIGHT]]*9.81),0)</f>
        <v>0.27008895510424563</v>
      </c>
      <c r="AB390" s="19">
        <v>0</v>
      </c>
      <c r="AC390" s="16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6">
        <v>0</v>
      </c>
      <c r="AF390" s="6">
        <v>2</v>
      </c>
      <c r="AG390" t="s">
        <v>235</v>
      </c>
      <c r="AH390" t="s">
        <v>229</v>
      </c>
      <c r="AI390" t="s">
        <v>229</v>
      </c>
      <c r="AJ390" s="2" t="s">
        <v>229</v>
      </c>
      <c r="AK390" s="2" t="s">
        <v>244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44" t="b">
        <v>0</v>
      </c>
      <c r="AP390" s="48" t="b">
        <v>0</v>
      </c>
      <c r="AQ390" s="48" t="b">
        <v>0</v>
      </c>
      <c r="AR390" s="48">
        <v>0</v>
      </c>
      <c r="AS390" s="48" t="b">
        <v>0</v>
      </c>
      <c r="AT390" s="7" t="b">
        <v>0</v>
      </c>
      <c r="AU390" s="40" t="str" cm="1">
        <f t="array" ref="AU390">_xlfn.XLOOKUP(PROPERTIES[[#This Row],[VEHIDCODE]],GRAPHICS_PROPERTIES[VEHIDCODE],GRAPHICS_PROPERTIES[TEMPLATE_ID]&amp;GRAPHICS_PROPERTIES[TEMPLATE_AMENDMENT_CODE])</f>
        <v>TPL_32C</v>
      </c>
    </row>
    <row r="391" spans="1:47" x14ac:dyDescent="0.35">
      <c r="A391" s="2" t="s">
        <v>3025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0" t="str">
        <f>_xlfn.XLOOKUP(PROPERTIES[[#This Row],[VEHIDCODE]],CONTROL[VEHIDCODE],CONTROL[ENGLISH])</f>
        <v>ELIN/Floridsdorf 1161</v>
      </c>
      <c r="F391" t="s">
        <v>540</v>
      </c>
      <c r="G391" s="40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17</v>
      </c>
      <c r="J391">
        <v>0</v>
      </c>
      <c r="K391">
        <v>5</v>
      </c>
      <c r="L391">
        <v>0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3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0">
        <v>140</v>
      </c>
      <c r="AA391" s="19">
        <f>IFERROR(PROPERTIES[[#This Row],[TE_STARTING_KN]]/(PROPERTIES[[#This Row],[WEIGHT]]*9.81),0)</f>
        <v>0.25947548883328697</v>
      </c>
      <c r="AB391" s="19">
        <v>0</v>
      </c>
      <c r="AC391" s="16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6">
        <v>0</v>
      </c>
      <c r="AF391" s="6">
        <v>0</v>
      </c>
      <c r="AG391" t="s">
        <v>230</v>
      </c>
      <c r="AH391" t="s">
        <v>229</v>
      </c>
      <c r="AI391" t="s">
        <v>229</v>
      </c>
      <c r="AJ391" s="2" t="s">
        <v>229</v>
      </c>
      <c r="AK391" s="2" t="s">
        <v>244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44" t="b">
        <v>0</v>
      </c>
      <c r="AP391" s="48" t="b">
        <v>0</v>
      </c>
      <c r="AQ391" s="48" t="b">
        <v>0</v>
      </c>
      <c r="AR391" s="48">
        <v>0</v>
      </c>
      <c r="AS391" s="48" t="b">
        <v>0</v>
      </c>
      <c r="AT391" s="7" t="b">
        <v>0</v>
      </c>
      <c r="AU391" s="40" t="str" cm="1">
        <f t="array" ref="AU391">_xlfn.XLOOKUP(PROPERTIES[[#This Row],[VEHIDCODE]],GRAPHICS_PROPERTIES[VEHIDCODE],GRAPHICS_PROPERTIES[TEMPLATE_ID]&amp;GRAPHICS_PROPERTIES[TEMPLATE_AMENDMENT_CODE])</f>
        <v>TPL_03C</v>
      </c>
    </row>
    <row r="392" spans="1:47" x14ac:dyDescent="0.35">
      <c r="A392" s="2" t="s">
        <v>3026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0" t="str">
        <f>_xlfn.XLOOKUP(PROPERTIES[[#This Row],[VEHIDCODE]],CONTROL[VEHIDCODE],CONTROL[ENGLISH])</f>
        <v>Maffei/SSW Lok 5 'Adolphine'</v>
      </c>
      <c r="F392" t="s">
        <v>584</v>
      </c>
      <c r="G392" s="40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17</v>
      </c>
      <c r="J392">
        <v>0</v>
      </c>
      <c r="K392">
        <v>6</v>
      </c>
      <c r="L392">
        <v>0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3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0">
        <v>93</v>
      </c>
      <c r="AA392" s="19">
        <f>IFERROR(PROPERTIES[[#This Row],[TE_STARTING_KN]]/(PROPERTIES[[#This Row],[WEIGHT]]*9.81),0)</f>
        <v>0.29625382262996941</v>
      </c>
      <c r="AB392" s="19">
        <v>0</v>
      </c>
      <c r="AC392" s="16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6">
        <v>0</v>
      </c>
      <c r="AF392" s="6">
        <v>0</v>
      </c>
      <c r="AG392" t="s">
        <v>230</v>
      </c>
      <c r="AH392" t="s">
        <v>229</v>
      </c>
      <c r="AI392" t="s">
        <v>229</v>
      </c>
      <c r="AJ392" s="2" t="s">
        <v>229</v>
      </c>
      <c r="AK392" s="2" t="s">
        <v>244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44" t="b">
        <v>0</v>
      </c>
      <c r="AP392" s="48" t="b">
        <v>0</v>
      </c>
      <c r="AQ392" s="48" t="b">
        <v>0</v>
      </c>
      <c r="AR392" s="48">
        <v>0</v>
      </c>
      <c r="AS392" s="48" t="b">
        <v>0</v>
      </c>
      <c r="AT392" s="7" t="b">
        <v>0</v>
      </c>
      <c r="AU392" s="40" t="str" cm="1">
        <f t="array" ref="AU392">_xlfn.XLOOKUP(PROPERTIES[[#This Row],[VEHIDCODE]],GRAPHICS_PROPERTIES[VEHIDCODE],GRAPHICS_PROPERTIES[TEMPLATE_ID]&amp;GRAPHICS_PROPERTIES[TEMPLATE_AMENDMENT_CODE])</f>
        <v>TPL_01A</v>
      </c>
    </row>
    <row r="393" spans="1:47" x14ac:dyDescent="0.35">
      <c r="A393" s="2" t="s">
        <v>3027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0" t="str">
        <f>_xlfn.XLOOKUP(PROPERTIES[[#This Row],[VEHIDCODE]],CONTROL[VEHIDCODE],CONTROL[ENGLISH])</f>
        <v>Thune/ASEA EL10</v>
      </c>
      <c r="F393" t="s">
        <v>693</v>
      </c>
      <c r="G393" s="40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17</v>
      </c>
      <c r="J393">
        <v>0</v>
      </c>
      <c r="K393">
        <v>6</v>
      </c>
      <c r="L393">
        <v>0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3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0">
        <v>110</v>
      </c>
      <c r="AA393" s="19">
        <f>IFERROR(PROPERTIES[[#This Row],[TE_STARTING_KN]]/(PROPERTIES[[#This Row],[WEIGHT]]*9.81),0)</f>
        <v>0.23706232368489677</v>
      </c>
      <c r="AB393" s="19">
        <v>0</v>
      </c>
      <c r="AC393" s="16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6">
        <v>0</v>
      </c>
      <c r="AF393" s="6">
        <v>0</v>
      </c>
      <c r="AG393" t="s">
        <v>234</v>
      </c>
      <c r="AH393" t="s">
        <v>229</v>
      </c>
      <c r="AI393" t="s">
        <v>229</v>
      </c>
      <c r="AJ393" s="2" t="s">
        <v>229</v>
      </c>
      <c r="AK393" s="2" t="s">
        <v>244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44" t="b">
        <v>0</v>
      </c>
      <c r="AP393" s="48" t="b">
        <v>0</v>
      </c>
      <c r="AQ393" s="48" t="b">
        <v>0</v>
      </c>
      <c r="AR393" s="48">
        <v>0</v>
      </c>
      <c r="AS393" s="48" t="b">
        <v>0</v>
      </c>
      <c r="AT393" s="7" t="b">
        <v>0</v>
      </c>
      <c r="AU393" s="40" t="str" cm="1">
        <f t="array" ref="AU393">_xlfn.XLOOKUP(PROPERTIES[[#This Row],[VEHIDCODE]],GRAPHICS_PROPERTIES[VEHIDCODE],GRAPHICS_PROPERTIES[TEMPLATE_ID]&amp;GRAPHICS_PROPERTIES[TEMPLATE_AMENDMENT_CODE])</f>
        <v>TPL_01A</v>
      </c>
    </row>
    <row r="394" spans="1:47" x14ac:dyDescent="0.35">
      <c r="A394" s="2" t="s">
        <v>3028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0" t="str">
        <f>_xlfn.XLOOKUP(PROPERTIES[[#This Row],[VEHIDCODE]],CONTROL[VEHIDCODE],CONTROL[ENGLISH])</f>
        <v>AEG E 04</v>
      </c>
      <c r="F394" t="s">
        <v>584</v>
      </c>
      <c r="G394" s="40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17</v>
      </c>
      <c r="J394">
        <v>0</v>
      </c>
      <c r="K394">
        <v>8</v>
      </c>
      <c r="L394">
        <v>0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3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0">
        <v>177</v>
      </c>
      <c r="AA394" s="19">
        <f>IFERROR(PROPERTIES[[#This Row],[TE_STARTING_KN]]/(PROPERTIES[[#This Row],[WEIGHT]]*9.81),0)</f>
        <v>0.19611753756149447</v>
      </c>
      <c r="AB394" s="19">
        <v>0</v>
      </c>
      <c r="AC394" s="16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6">
        <v>0</v>
      </c>
      <c r="AF394" s="6">
        <v>0</v>
      </c>
      <c r="AG394" t="s">
        <v>230</v>
      </c>
      <c r="AH394" t="s">
        <v>229</v>
      </c>
      <c r="AI394" t="s">
        <v>229</v>
      </c>
      <c r="AJ394" s="2" t="s">
        <v>229</v>
      </c>
      <c r="AK394" s="2" t="s">
        <v>244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44" t="b">
        <v>0</v>
      </c>
      <c r="AP394" s="48" t="b">
        <v>0</v>
      </c>
      <c r="AQ394" s="48" t="b">
        <v>0</v>
      </c>
      <c r="AR394" s="48">
        <v>0</v>
      </c>
      <c r="AS394" s="48" t="b">
        <v>0</v>
      </c>
      <c r="AT394" s="7" t="b">
        <v>0</v>
      </c>
      <c r="AU394" s="40" t="str" cm="1">
        <f t="array" ref="AU394">_xlfn.XLOOKUP(PROPERTIES[[#This Row],[VEHIDCODE]],GRAPHICS_PROPERTIES[VEHIDCODE],GRAPHICS_PROPERTIES[TEMPLATE_ID]&amp;GRAPHICS_PROPERTIES[TEMPLATE_AMENDMENT_CODE])</f>
        <v>TPL_01A</v>
      </c>
    </row>
    <row r="395" spans="1:47" x14ac:dyDescent="0.35">
      <c r="A395" s="2" t="s">
        <v>3029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0" t="str">
        <f>_xlfn.XLOOKUP(PROPERTIES[[#This Row],[VEHIDCODE]],CONTROL[VEHIDCODE],CONTROL[ENGLISH])</f>
        <v>GE 4-6-0+0-6-4OE GG-1</v>
      </c>
      <c r="F395" t="s">
        <v>757</v>
      </c>
      <c r="G395" s="40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17</v>
      </c>
      <c r="J395">
        <v>0</v>
      </c>
      <c r="K395">
        <v>8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3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0">
        <v>291</v>
      </c>
      <c r="AA395" s="19">
        <f>IFERROR(PROPERTIES[[#This Row],[TE_STARTING_KN]]/(PROPERTIES[[#This Row],[WEIGHT]]*9.81),0)</f>
        <v>0.1379702723846099</v>
      </c>
      <c r="AB395" s="19">
        <v>0</v>
      </c>
      <c r="AC395" s="16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6">
        <v>0</v>
      </c>
      <c r="AF395" s="6">
        <v>2</v>
      </c>
      <c r="AG395" t="s">
        <v>235</v>
      </c>
      <c r="AH395" t="s">
        <v>229</v>
      </c>
      <c r="AI395" t="s">
        <v>229</v>
      </c>
      <c r="AJ395" s="2" t="s">
        <v>229</v>
      </c>
      <c r="AK395" s="2" t="s">
        <v>244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44" t="b">
        <v>0</v>
      </c>
      <c r="AP395" s="48" t="b">
        <v>0</v>
      </c>
      <c r="AQ395" s="48" t="b">
        <v>0</v>
      </c>
      <c r="AR395" s="48">
        <v>0</v>
      </c>
      <c r="AS395" s="48" t="b">
        <v>0</v>
      </c>
      <c r="AT395" s="7" t="b">
        <v>0</v>
      </c>
      <c r="AU395" s="40" t="str" cm="1">
        <f t="array" ref="AU395">_xlfn.XLOOKUP(PROPERTIES[[#This Row],[VEHIDCODE]],GRAPHICS_PROPERTIES[VEHIDCODE],GRAPHICS_PROPERTIES[TEMPLATE_ID]&amp;GRAPHICS_PROPERTIES[TEMPLATE_AMENDMENT_CODE])</f>
        <v>TPL_16A</v>
      </c>
    </row>
    <row r="396" spans="1:47" x14ac:dyDescent="0.35">
      <c r="A396" s="2" t="s">
        <v>3030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0" t="str">
        <f>_xlfn.XLOOKUP(PROPERTIES[[#This Row],[VEHIDCODE]],CONTROL[VEHIDCODE],CONTROL[ENGLISH])</f>
        <v>SLM 1100 'Crocodile'</v>
      </c>
      <c r="F396" t="s">
        <v>584</v>
      </c>
      <c r="G396" s="40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17</v>
      </c>
      <c r="J396">
        <v>0</v>
      </c>
      <c r="K396">
        <v>8</v>
      </c>
      <c r="L396">
        <v>0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3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0">
        <v>300</v>
      </c>
      <c r="AA396" s="19">
        <f>IFERROR(PROPERTIES[[#This Row],[TE_STARTING_KN]]/(PROPERTIES[[#This Row],[WEIGHT]]*9.81),0)</f>
        <v>0.23891437308868502</v>
      </c>
      <c r="AB396" s="19">
        <v>0</v>
      </c>
      <c r="AC396" s="16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6">
        <v>0</v>
      </c>
      <c r="AF396" s="6">
        <v>0</v>
      </c>
      <c r="AG396" t="s">
        <v>230</v>
      </c>
      <c r="AH396" t="s">
        <v>229</v>
      </c>
      <c r="AI396" t="s">
        <v>229</v>
      </c>
      <c r="AJ396" s="2" t="s">
        <v>229</v>
      </c>
      <c r="AK396" s="2" t="s">
        <v>244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44" t="b">
        <v>0</v>
      </c>
      <c r="AP396" s="48" t="b">
        <v>0</v>
      </c>
      <c r="AQ396" s="48" t="b">
        <v>0</v>
      </c>
      <c r="AR396" s="48">
        <v>0</v>
      </c>
      <c r="AS396" s="48" t="b">
        <v>0</v>
      </c>
      <c r="AT396" s="7" t="b">
        <v>0</v>
      </c>
      <c r="AU396" s="40" t="str" cm="1">
        <f t="array" ref="AU396">_xlfn.XLOOKUP(PROPERTIES[[#This Row],[VEHIDCODE]],GRAPHICS_PROPERTIES[VEHIDCODE],GRAPHICS_PROPERTIES[TEMPLATE_ID]&amp;GRAPHICS_PROPERTIES[TEMPLATE_AMENDMENT_CODE])</f>
        <v>TPL_01A</v>
      </c>
    </row>
    <row r="397" spans="1:47" x14ac:dyDescent="0.35">
      <c r="A397" s="2" t="s">
        <v>3031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0" t="str">
        <f>_xlfn.XLOOKUP(PROPERTIES[[#This Row],[VEHIDCODE]],CONTROL[VEHIDCODE],CONTROL[ENGLISH])</f>
        <v>AEG/BBC/Henschel/Siemens E03</v>
      </c>
      <c r="F397" t="s">
        <v>584</v>
      </c>
      <c r="G397" s="40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17</v>
      </c>
      <c r="J397">
        <v>0</v>
      </c>
      <c r="K397">
        <v>8</v>
      </c>
      <c r="L397">
        <v>0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3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0">
        <v>312</v>
      </c>
      <c r="AA397" s="19">
        <f>IFERROR(PROPERTIES[[#This Row],[TE_STARTING_KN]]/(PROPERTIES[[#This Row],[WEIGHT]]*9.81),0)</f>
        <v>0.27898492408391007</v>
      </c>
      <c r="AB397" s="19">
        <v>0</v>
      </c>
      <c r="AC397" s="16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6">
        <v>0</v>
      </c>
      <c r="AF397" s="6">
        <v>0</v>
      </c>
      <c r="AG397" t="s">
        <v>230</v>
      </c>
      <c r="AH397" t="s">
        <v>229</v>
      </c>
      <c r="AI397" t="s">
        <v>229</v>
      </c>
      <c r="AJ397" s="2" t="s">
        <v>229</v>
      </c>
      <c r="AK397" s="2" t="s">
        <v>244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44" t="b">
        <v>0</v>
      </c>
      <c r="AP397" s="48" t="b">
        <v>0</v>
      </c>
      <c r="AQ397" s="48" t="b">
        <v>0</v>
      </c>
      <c r="AR397" s="48">
        <v>0</v>
      </c>
      <c r="AS397" s="48" t="b">
        <v>0</v>
      </c>
      <c r="AT397" s="7" t="b">
        <v>0</v>
      </c>
      <c r="AU397" s="40" t="str" cm="1">
        <f t="array" ref="AU397">_xlfn.XLOOKUP(PROPERTIES[[#This Row],[VEHIDCODE]],GRAPHICS_PROPERTIES[VEHIDCODE],GRAPHICS_PROPERTIES[TEMPLATE_ID]&amp;GRAPHICS_PROPERTIES[TEMPLATE_AMENDMENT_CODE])</f>
        <v>TPL_01A</v>
      </c>
    </row>
    <row r="398" spans="1:47" x14ac:dyDescent="0.35">
      <c r="A398" s="2" t="s">
        <v>3032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0" t="str">
        <f>_xlfn.XLOOKUP(PROPERTIES[[#This Row],[VEHIDCODE]],CONTROL[VEHIDCODE],CONTROL[ENGLISH])</f>
        <v>Krauss/WASSEG E 91.9</v>
      </c>
      <c r="F398" t="s">
        <v>584</v>
      </c>
      <c r="G398" s="40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17</v>
      </c>
      <c r="J398">
        <v>0</v>
      </c>
      <c r="K398">
        <v>8</v>
      </c>
      <c r="L398">
        <v>0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3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0">
        <v>294</v>
      </c>
      <c r="AA398" s="19">
        <f>IFERROR(PROPERTIES[[#This Row],[TE_STARTING_KN]]/(PROPERTIES[[#This Row],[WEIGHT]]*9.81),0)</f>
        <v>0.24168886258261812</v>
      </c>
      <c r="AB398" s="19">
        <v>0</v>
      </c>
      <c r="AC398" s="16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6">
        <v>0</v>
      </c>
      <c r="AF398" s="6">
        <v>0</v>
      </c>
      <c r="AG398" t="s">
        <v>230</v>
      </c>
      <c r="AH398" t="s">
        <v>229</v>
      </c>
      <c r="AI398" t="s">
        <v>229</v>
      </c>
      <c r="AJ398" s="2" t="s">
        <v>229</v>
      </c>
      <c r="AK398" s="2" t="s">
        <v>244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44" t="b">
        <v>0</v>
      </c>
      <c r="AP398" s="48" t="b">
        <v>0</v>
      </c>
      <c r="AQ398" s="48" t="b">
        <v>0</v>
      </c>
      <c r="AR398" s="48">
        <v>0</v>
      </c>
      <c r="AS398" s="48" t="b">
        <v>0</v>
      </c>
      <c r="AT398" s="7" t="b">
        <v>0</v>
      </c>
      <c r="AU398" s="40" t="str" cm="1">
        <f t="array" ref="AU398">_xlfn.XLOOKUP(PROPERTIES[[#This Row],[VEHIDCODE]],GRAPHICS_PROPERTIES[VEHIDCODE],GRAPHICS_PROPERTIES[TEMPLATE_ID]&amp;GRAPHICS_PROPERTIES[TEMPLATE_AMENDMENT_CODE])</f>
        <v>TPL_01A</v>
      </c>
    </row>
    <row r="399" spans="1:47" x14ac:dyDescent="0.35">
      <c r="A399" s="2" t="s">
        <v>3033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0" t="str">
        <f>_xlfn.XLOOKUP(PROPERTIES[[#This Row],[VEHIDCODE]],CONTROL[VEHIDCODE],CONTROL[ENGLISH])</f>
        <v>SLM Ce 4/4</v>
      </c>
      <c r="F399" t="s">
        <v>570</v>
      </c>
      <c r="G399" s="40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17</v>
      </c>
      <c r="J399">
        <v>0</v>
      </c>
      <c r="K399">
        <v>5</v>
      </c>
      <c r="L399">
        <v>0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3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0">
        <v>74</v>
      </c>
      <c r="AA399" s="19">
        <f>IFERROR(PROPERTIES[[#This Row],[TE_STARTING_KN]]/(PROPERTIES[[#This Row],[WEIGHT]]*9.81),0)</f>
        <v>0.10776175913790592</v>
      </c>
      <c r="AB399" s="19">
        <v>0</v>
      </c>
      <c r="AC399" s="16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6">
        <v>0</v>
      </c>
      <c r="AF399" s="6">
        <v>0</v>
      </c>
      <c r="AG399" t="s">
        <v>230</v>
      </c>
      <c r="AH399" t="s">
        <v>229</v>
      </c>
      <c r="AI399" t="s">
        <v>229</v>
      </c>
      <c r="AJ399" s="2" t="s">
        <v>229</v>
      </c>
      <c r="AK399" s="2" t="s">
        <v>244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44" t="b">
        <v>0</v>
      </c>
      <c r="AP399" s="48" t="b">
        <v>0</v>
      </c>
      <c r="AQ399" s="48" t="b">
        <v>0</v>
      </c>
      <c r="AR399" s="48">
        <v>0</v>
      </c>
      <c r="AS399" s="48" t="b">
        <v>0</v>
      </c>
      <c r="AT399" s="7" t="b">
        <v>0</v>
      </c>
      <c r="AU399" s="40" t="str" cm="1">
        <f t="array" ref="AU399">_xlfn.XLOOKUP(PROPERTIES[[#This Row],[VEHIDCODE]],GRAPHICS_PROPERTIES[VEHIDCODE],GRAPHICS_PROPERTIES[TEMPLATE_ID]&amp;GRAPHICS_PROPERTIES[TEMPLATE_AMENDMENT_CODE])</f>
        <v>TPL_01A</v>
      </c>
    </row>
    <row r="400" spans="1:47" x14ac:dyDescent="0.35">
      <c r="A400" s="2" t="s">
        <v>3034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0" t="str">
        <f>_xlfn.XLOOKUP(PROPERTIES[[#This Row],[VEHIDCODE]],CONTROL[VEHIDCODE],CONTROL[ENGLISH])</f>
        <v>SLM Ae 6/6</v>
      </c>
      <c r="F400" t="s">
        <v>570</v>
      </c>
      <c r="G400" s="40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17</v>
      </c>
      <c r="J400">
        <v>0</v>
      </c>
      <c r="K400">
        <v>8</v>
      </c>
      <c r="L400">
        <v>0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3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0">
        <v>392</v>
      </c>
      <c r="AA400" s="19">
        <f>IFERROR(PROPERTIES[[#This Row],[TE_STARTING_KN]]/(PROPERTIES[[#This Row],[WEIGHT]]*9.81),0)</f>
        <v>0.3329935440027183</v>
      </c>
      <c r="AB400" s="19">
        <v>0</v>
      </c>
      <c r="AC400" s="16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6">
        <v>0</v>
      </c>
      <c r="AF400" s="6">
        <v>0</v>
      </c>
      <c r="AG400" t="s">
        <v>230</v>
      </c>
      <c r="AH400" t="s">
        <v>229</v>
      </c>
      <c r="AI400" t="s">
        <v>229</v>
      </c>
      <c r="AJ400" s="2" t="s">
        <v>229</v>
      </c>
      <c r="AK400" s="2" t="s">
        <v>244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44" t="b">
        <v>0</v>
      </c>
      <c r="AP400" s="48" t="b">
        <v>0</v>
      </c>
      <c r="AQ400" s="48" t="b">
        <v>0</v>
      </c>
      <c r="AR400" s="48">
        <v>0</v>
      </c>
      <c r="AS400" s="48" t="b">
        <v>0</v>
      </c>
      <c r="AT400" s="7" t="b">
        <v>0</v>
      </c>
      <c r="AU400" s="40" t="str" cm="1">
        <f t="array" ref="AU400">_xlfn.XLOOKUP(PROPERTIES[[#This Row],[VEHIDCODE]],GRAPHICS_PROPERTIES[VEHIDCODE],GRAPHICS_PROPERTIES[TEMPLATE_ID]&amp;GRAPHICS_PROPERTIES[TEMPLATE_AMENDMENT_CODE])</f>
        <v>TPL_01A</v>
      </c>
    </row>
    <row r="401" spans="1:47" x14ac:dyDescent="0.35">
      <c r="A401" s="2" t="s">
        <v>3035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0" t="str">
        <f>_xlfn.XLOOKUP(PROPERTIES[[#This Row],[VEHIDCODE]],CONTROL[VEHIDCODE],CONTROL[ENGLISH])</f>
        <v>SLM-ABB Lok 2000</v>
      </c>
      <c r="F401" t="s">
        <v>570</v>
      </c>
      <c r="G401" s="40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17</v>
      </c>
      <c r="J401">
        <v>0</v>
      </c>
      <c r="K401">
        <v>8</v>
      </c>
      <c r="L401">
        <v>0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3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0">
        <v>300</v>
      </c>
      <c r="AA401" s="19">
        <f>IFERROR(PROPERTIES[[#This Row],[TE_STARTING_KN]]/(PROPERTIES[[#This Row],[WEIGHT]]*9.81),0)</f>
        <v>0.36405999708752002</v>
      </c>
      <c r="AB401" s="19">
        <v>0</v>
      </c>
      <c r="AC401" s="16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6">
        <v>0</v>
      </c>
      <c r="AF401" s="6">
        <v>0</v>
      </c>
      <c r="AG401" t="s">
        <v>1950</v>
      </c>
      <c r="AH401" t="s">
        <v>238</v>
      </c>
      <c r="AI401" t="s">
        <v>229</v>
      </c>
      <c r="AJ401" s="2" t="s">
        <v>229</v>
      </c>
      <c r="AK401" s="2" t="s">
        <v>244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44" t="b">
        <v>0</v>
      </c>
      <c r="AP401" s="48" t="b">
        <v>0</v>
      </c>
      <c r="AQ401" s="48" t="b">
        <v>0</v>
      </c>
      <c r="AR401" s="48">
        <v>0</v>
      </c>
      <c r="AS401" s="48" t="b">
        <v>0</v>
      </c>
      <c r="AT401" s="7" t="b">
        <v>0</v>
      </c>
      <c r="AU401" s="40" t="str" cm="1">
        <f t="array" ref="AU401">_xlfn.XLOOKUP(PROPERTIES[[#This Row],[VEHIDCODE]],GRAPHICS_PROPERTIES[VEHIDCODE],GRAPHICS_PROPERTIES[TEMPLATE_ID]&amp;GRAPHICS_PROPERTIES[TEMPLATE_AMENDMENT_CODE])</f>
        <v>TPL_01A</v>
      </c>
    </row>
    <row r="402" spans="1:47" x14ac:dyDescent="0.35">
      <c r="A402" s="2" t="s">
        <v>3036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0" t="str">
        <f>_xlfn.XLOOKUP(PROPERTIES[[#This Row],[VEHIDCODE]],CONTROL[VEHIDCODE],CONTROL[ENGLISH])</f>
        <v>Stadler Butler Eem 923</v>
      </c>
      <c r="F402" t="s">
        <v>570</v>
      </c>
      <c r="G402" s="40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17</v>
      </c>
      <c r="J402">
        <v>0</v>
      </c>
      <c r="K402">
        <v>5</v>
      </c>
      <c r="L402">
        <v>0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3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0">
        <v>150</v>
      </c>
      <c r="AA402" s="19">
        <f>IFERROR(PROPERTIES[[#This Row],[TE_STARTING_KN]]/(PROPERTIES[[#This Row],[WEIGHT]]*9.81),0)</f>
        <v>0.33978933061501865</v>
      </c>
      <c r="AB402" s="19">
        <v>0</v>
      </c>
      <c r="AC402" s="16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6">
        <v>0</v>
      </c>
      <c r="AF402" s="6">
        <v>0</v>
      </c>
      <c r="AG402" t="s">
        <v>230</v>
      </c>
      <c r="AH402" t="s">
        <v>229</v>
      </c>
      <c r="AI402" t="s">
        <v>229</v>
      </c>
      <c r="AJ402" s="2" t="s">
        <v>229</v>
      </c>
      <c r="AK402" s="2" t="s">
        <v>244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44" t="s">
        <v>3645</v>
      </c>
      <c r="AP402" s="48" t="b">
        <v>0</v>
      </c>
      <c r="AQ402" s="48" t="b">
        <v>0</v>
      </c>
      <c r="AR402" s="48">
        <v>0</v>
      </c>
      <c r="AS402" s="48" t="b">
        <v>0</v>
      </c>
      <c r="AT402" s="7" t="b">
        <v>0</v>
      </c>
      <c r="AU402" s="40" t="str" cm="1">
        <f t="array" ref="AU402">_xlfn.XLOOKUP(PROPERTIES[[#This Row],[VEHIDCODE]],GRAPHICS_PROPERTIES[VEHIDCODE],GRAPHICS_PROPERTIES[TEMPLATE_ID]&amp;GRAPHICS_PROPERTIES[TEMPLATE_AMENDMENT_CODE])</f>
        <v>TPL_01A</v>
      </c>
    </row>
    <row r="403" spans="1:47" x14ac:dyDescent="0.35">
      <c r="A403" s="2" t="s">
        <v>3037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0" t="str">
        <f>_xlfn.XLOOKUP(PROPERTIES[[#This Row],[VEHIDCODE]],CONTROL[VEHIDCODE],CONTROL[ENGLISH])</f>
        <v>SGP 1044</v>
      </c>
      <c r="F403" t="s">
        <v>540</v>
      </c>
      <c r="G403" s="40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17</v>
      </c>
      <c r="J403">
        <v>0</v>
      </c>
      <c r="K403">
        <v>8</v>
      </c>
      <c r="L403">
        <v>0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3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0">
        <v>341</v>
      </c>
      <c r="AA403" s="19">
        <f>IFERROR(PROPERTIES[[#This Row],[TE_STARTING_KN]]/(PROPERTIES[[#This Row],[WEIGHT]]*9.81),0)</f>
        <v>0.4138148633561477</v>
      </c>
      <c r="AB403" s="19">
        <v>0</v>
      </c>
      <c r="AC403" s="16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6">
        <v>0</v>
      </c>
      <c r="AF403" s="6">
        <v>0</v>
      </c>
      <c r="AG403" t="s">
        <v>230</v>
      </c>
      <c r="AH403" t="s">
        <v>229</v>
      </c>
      <c r="AI403" t="s">
        <v>229</v>
      </c>
      <c r="AJ403" s="2" t="s">
        <v>229</v>
      </c>
      <c r="AK403" s="2" t="s">
        <v>244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44" t="b">
        <v>0</v>
      </c>
      <c r="AP403" s="48" t="b">
        <v>0</v>
      </c>
      <c r="AQ403" s="48" t="b">
        <v>0</v>
      </c>
      <c r="AR403" s="48">
        <v>0</v>
      </c>
      <c r="AS403" s="48" t="b">
        <v>0</v>
      </c>
      <c r="AT403" s="7" t="b">
        <v>0</v>
      </c>
      <c r="AU403" s="40" t="str" cm="1">
        <f t="array" ref="AU403">_xlfn.XLOOKUP(PROPERTIES[[#This Row],[VEHIDCODE]],GRAPHICS_PROPERTIES[VEHIDCODE],GRAPHICS_PROPERTIES[TEMPLATE_ID]&amp;GRAPHICS_PROPERTIES[TEMPLATE_AMENDMENT_CODE])</f>
        <v>TPL_01A</v>
      </c>
    </row>
    <row r="404" spans="1:47" x14ac:dyDescent="0.35">
      <c r="A404" s="2" t="s">
        <v>3038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0" t="str">
        <f>_xlfn.XLOOKUP(PROPERTIES[[#This Row],[VEHIDCODE]],CONTROL[VEHIDCODE],CONTROL[ENGLISH])</f>
        <v>SGP 1063</v>
      </c>
      <c r="F404" t="s">
        <v>540</v>
      </c>
      <c r="G404" s="40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17</v>
      </c>
      <c r="J404">
        <v>0</v>
      </c>
      <c r="K404">
        <v>8</v>
      </c>
      <c r="L404">
        <v>0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3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0">
        <v>260</v>
      </c>
      <c r="AA404" s="19">
        <f>IFERROR(PROPERTIES[[#This Row],[TE_STARTING_KN]]/(PROPERTIES[[#This Row],[WEIGHT]]*9.81),0)</f>
        <v>0.32321424131672505</v>
      </c>
      <c r="AB404" s="19">
        <v>0</v>
      </c>
      <c r="AC404" s="16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6">
        <v>0</v>
      </c>
      <c r="AF404" s="6">
        <v>0</v>
      </c>
      <c r="AG404" t="s">
        <v>230</v>
      </c>
      <c r="AH404" t="s">
        <v>229</v>
      </c>
      <c r="AI404" t="s">
        <v>229</v>
      </c>
      <c r="AJ404" s="2" t="s">
        <v>229</v>
      </c>
      <c r="AK404" s="2" t="s">
        <v>244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44" t="b">
        <v>0</v>
      </c>
      <c r="AP404" s="48" t="b">
        <v>0</v>
      </c>
      <c r="AQ404" s="48" t="b">
        <v>0</v>
      </c>
      <c r="AR404" s="48">
        <v>0</v>
      </c>
      <c r="AS404" s="48" t="b">
        <v>0</v>
      </c>
      <c r="AT404" s="7" t="b">
        <v>0</v>
      </c>
      <c r="AU404" s="40" t="str" cm="1">
        <f t="array" ref="AU404">_xlfn.XLOOKUP(PROPERTIES[[#This Row],[VEHIDCODE]],GRAPHICS_PROPERTIES[VEHIDCODE],GRAPHICS_PROPERTIES[TEMPLATE_ID]&amp;GRAPHICS_PROPERTIES[TEMPLATE_AMENDMENT_CODE])</f>
        <v>TPL_01A</v>
      </c>
    </row>
    <row r="405" spans="1:47" x14ac:dyDescent="0.35">
      <c r="A405" s="2" t="s">
        <v>3039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0" t="str">
        <f>_xlfn.XLOOKUP(PROPERTIES[[#This Row],[VEHIDCODE]],CONTROL[VEHIDCODE],CONTROL[ENGLISH])</f>
        <v>ASEA Dm3</v>
      </c>
      <c r="F405" t="s">
        <v>722</v>
      </c>
      <c r="G405" s="40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17</v>
      </c>
      <c r="J405">
        <v>0</v>
      </c>
      <c r="K405">
        <v>7</v>
      </c>
      <c r="L405">
        <v>6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3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0">
        <v>940</v>
      </c>
      <c r="AA405" s="19">
        <f>IFERROR(PROPERTIES[[#This Row],[TE_STARTING_KN]]/(PROPERTIES[[#This Row],[WEIGHT]]*9.81),0)</f>
        <v>0.35099117667925006</v>
      </c>
      <c r="AB405" s="19">
        <v>0</v>
      </c>
      <c r="AC405" s="16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6">
        <v>0</v>
      </c>
      <c r="AF405" s="6">
        <v>7</v>
      </c>
      <c r="AG405" t="s">
        <v>234</v>
      </c>
      <c r="AH405" t="s">
        <v>229</v>
      </c>
      <c r="AI405" t="s">
        <v>229</v>
      </c>
      <c r="AJ405" s="2" t="s">
        <v>229</v>
      </c>
      <c r="AK405" s="2" t="s">
        <v>244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44" t="b">
        <v>0</v>
      </c>
      <c r="AP405" s="48" t="b">
        <v>0</v>
      </c>
      <c r="AQ405" s="48" t="b">
        <v>0</v>
      </c>
      <c r="AR405" s="48">
        <v>0</v>
      </c>
      <c r="AS405" s="48" t="b">
        <v>0</v>
      </c>
      <c r="AT405" s="7" t="b">
        <v>0</v>
      </c>
      <c r="AU405" s="40" t="str" cm="1">
        <f t="array" ref="AU405">_xlfn.XLOOKUP(PROPERTIES[[#This Row],[VEHIDCODE]],GRAPHICS_PROPERTIES[VEHIDCODE],GRAPHICS_PROPERTIES[TEMPLATE_ID]&amp;GRAPHICS_PROPERTIES[TEMPLATE_AMENDMENT_CODE])</f>
        <v>TPL_17D</v>
      </c>
    </row>
    <row r="406" spans="1:47" x14ac:dyDescent="0.35">
      <c r="A406" s="2" t="s">
        <v>3040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0" t="str">
        <f>_xlfn.XLOOKUP(PROPERTIES[[#This Row],[VEHIDCODE]],CONTROL[VEHIDCODE],CONTROL[ENGLISH])</f>
        <v>Bombardier Traxx H80 AC</v>
      </c>
      <c r="F406" t="s">
        <v>722</v>
      </c>
      <c r="G406" s="40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17</v>
      </c>
      <c r="J406">
        <v>0</v>
      </c>
      <c r="K406">
        <v>8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3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0">
        <f>600*2</f>
        <v>1200</v>
      </c>
      <c r="AA406" s="19">
        <f>IFERROR(PROPERTIES[[#This Row],[TE_STARTING_KN]]/(PROPERTIES[[#This Row],[WEIGHT]]*9.81),0)</f>
        <v>0.33978933061501865</v>
      </c>
      <c r="AB406" s="19">
        <v>0</v>
      </c>
      <c r="AC406" s="16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6">
        <v>0</v>
      </c>
      <c r="AF406" s="6">
        <v>8</v>
      </c>
      <c r="AG406" t="s">
        <v>234</v>
      </c>
      <c r="AH406" t="s">
        <v>229</v>
      </c>
      <c r="AI406" t="s">
        <v>229</v>
      </c>
      <c r="AJ406" s="2" t="s">
        <v>229</v>
      </c>
      <c r="AK406" s="2" t="s">
        <v>244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44" t="b">
        <v>0</v>
      </c>
      <c r="AP406" s="48" t="b">
        <v>0</v>
      </c>
      <c r="AQ406" s="48" t="b">
        <v>0</v>
      </c>
      <c r="AR406" s="48">
        <v>0</v>
      </c>
      <c r="AS406" s="48" t="b">
        <v>0</v>
      </c>
      <c r="AT406" s="7" t="b">
        <v>0</v>
      </c>
      <c r="AU406" s="40" t="str" cm="1">
        <f t="array" ref="AU406">_xlfn.XLOOKUP(PROPERTIES[[#This Row],[VEHIDCODE]],GRAPHICS_PROPERTIES[VEHIDCODE],GRAPHICS_PROPERTIES[TEMPLATE_ID]&amp;GRAPHICS_PROPERTIES[TEMPLATE_AMENDMENT_CODE])</f>
        <v>TPL_03D</v>
      </c>
    </row>
    <row r="407" spans="1:47" x14ac:dyDescent="0.35">
      <c r="A407" s="2" t="s">
        <v>3041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0" t="str">
        <f>_xlfn.XLOOKUP(PROPERTIES[[#This Row],[VEHIDCODE]],CONTROL[VEHIDCODE],CONTROL[ENGLISH])</f>
        <v>Siemens Oa</v>
      </c>
      <c r="F407" t="s">
        <v>722</v>
      </c>
      <c r="G407" s="40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17</v>
      </c>
      <c r="J407">
        <v>0</v>
      </c>
      <c r="K407">
        <v>6</v>
      </c>
      <c r="L407">
        <v>0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3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0">
        <v>248</v>
      </c>
      <c r="AA407" s="19">
        <f>IFERROR(PROPERTIES[[#This Row],[TE_STARTING_KN]]/(PROPERTIES[[#This Row],[WEIGHT]]*9.81),0)</f>
        <v>0.18479770612395749</v>
      </c>
      <c r="AB407" s="19">
        <v>0</v>
      </c>
      <c r="AC407" s="16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6">
        <v>0</v>
      </c>
      <c r="AF407" s="6">
        <v>6</v>
      </c>
      <c r="AG407" t="s">
        <v>234</v>
      </c>
      <c r="AH407" t="s">
        <v>229</v>
      </c>
      <c r="AI407" t="s">
        <v>229</v>
      </c>
      <c r="AJ407" s="2" t="s">
        <v>229</v>
      </c>
      <c r="AK407" s="2" t="s">
        <v>244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44" t="b">
        <v>0</v>
      </c>
      <c r="AP407" s="48" t="b">
        <v>0</v>
      </c>
      <c r="AQ407" s="48" t="b">
        <v>0</v>
      </c>
      <c r="AR407" s="48">
        <v>0</v>
      </c>
      <c r="AS407" s="48" t="b">
        <v>0</v>
      </c>
      <c r="AT407" s="7" t="b">
        <v>0</v>
      </c>
      <c r="AU407" s="40" t="str" cm="1">
        <f t="array" ref="AU407">_xlfn.XLOOKUP(PROPERTIES[[#This Row],[VEHIDCODE]],GRAPHICS_PROPERTIES[VEHIDCODE],GRAPHICS_PROPERTIES[TEMPLATE_ID]&amp;GRAPHICS_PROPERTIES[TEMPLATE_AMENDMENT_CODE])</f>
        <v>TPL_17E</v>
      </c>
    </row>
    <row r="408" spans="1:47" x14ac:dyDescent="0.35">
      <c r="A408" s="2" t="s">
        <v>3042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0" t="str">
        <f>_xlfn.XLOOKUP(PROPERTIES[[#This Row],[VEHIDCODE]],CONTROL[VEHIDCODE],CONTROL[ENGLISH])</f>
        <v>ASEA F</v>
      </c>
      <c r="F408" t="s">
        <v>722</v>
      </c>
      <c r="G408" s="40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17</v>
      </c>
      <c r="J408">
        <v>0</v>
      </c>
      <c r="K408">
        <v>8</v>
      </c>
      <c r="L408">
        <v>0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3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0">
        <v>203</v>
      </c>
      <c r="AA408" s="19">
        <f>IFERROR(PROPERTIES[[#This Row],[TE_STARTING_KN]]/(PROPERTIES[[#This Row],[WEIGHT]]*9.81),0)</f>
        <v>0.20287421798484939</v>
      </c>
      <c r="AB408" s="19">
        <v>0</v>
      </c>
      <c r="AC408" s="16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6">
        <v>0</v>
      </c>
      <c r="AF408" s="6">
        <v>0</v>
      </c>
      <c r="AG408" t="s">
        <v>234</v>
      </c>
      <c r="AH408" t="s">
        <v>229</v>
      </c>
      <c r="AI408" t="s">
        <v>229</v>
      </c>
      <c r="AJ408" s="2" t="s">
        <v>229</v>
      </c>
      <c r="AK408" s="2" t="s">
        <v>244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44" t="b">
        <v>0</v>
      </c>
      <c r="AP408" s="48" t="b">
        <v>0</v>
      </c>
      <c r="AQ408" s="48" t="b">
        <v>0</v>
      </c>
      <c r="AR408" s="48">
        <v>0</v>
      </c>
      <c r="AS408" s="48" t="b">
        <v>0</v>
      </c>
      <c r="AT408" s="7" t="b">
        <v>0</v>
      </c>
      <c r="AU408" s="40" t="str" cm="1">
        <f t="array" ref="AU408">_xlfn.XLOOKUP(PROPERTIES[[#This Row],[VEHIDCODE]],GRAPHICS_PROPERTIES[VEHIDCODE],GRAPHICS_PROPERTIES[TEMPLATE_ID]&amp;GRAPHICS_PROPERTIES[TEMPLATE_AMENDMENT_CODE])</f>
        <v>TPL_01A</v>
      </c>
    </row>
    <row r="409" spans="1:47" x14ac:dyDescent="0.35">
      <c r="A409" s="2" t="s">
        <v>3043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0" t="str">
        <f>_xlfn.XLOOKUP(PROPERTIES[[#This Row],[VEHIDCODE]],CONTROL[VEHIDCODE],CONTROL[ENGLISH])</f>
        <v>Thyssen-Henschel EL17</v>
      </c>
      <c r="F409" t="s">
        <v>693</v>
      </c>
      <c r="G409" s="40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17</v>
      </c>
      <c r="J409">
        <v>0</v>
      </c>
      <c r="K409">
        <v>7</v>
      </c>
      <c r="L409">
        <v>0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3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0">
        <v>240</v>
      </c>
      <c r="AA409" s="19">
        <f>IFERROR(PROPERTIES[[#This Row],[TE_STARTING_KN]]/(PROPERTIES[[#This Row],[WEIGHT]]*9.81),0)</f>
        <v>0.38226299694189603</v>
      </c>
      <c r="AB409" s="19">
        <v>0</v>
      </c>
      <c r="AC409" s="16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6">
        <v>0</v>
      </c>
      <c r="AF409" s="6">
        <v>0</v>
      </c>
      <c r="AG409" t="s">
        <v>234</v>
      </c>
      <c r="AH409" t="s">
        <v>229</v>
      </c>
      <c r="AI409" t="s">
        <v>229</v>
      </c>
      <c r="AJ409" s="2" t="s">
        <v>229</v>
      </c>
      <c r="AK409" s="2" t="s">
        <v>244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44" t="b">
        <v>0</v>
      </c>
      <c r="AP409" s="48" t="b">
        <v>0</v>
      </c>
      <c r="AQ409" s="48" t="b">
        <v>0</v>
      </c>
      <c r="AR409" s="48">
        <v>0</v>
      </c>
      <c r="AS409" s="48" t="b">
        <v>0</v>
      </c>
      <c r="AT409" s="7" t="b">
        <v>0</v>
      </c>
      <c r="AU409" s="40" t="str" cm="1">
        <f t="array" ref="AU409">_xlfn.XLOOKUP(PROPERTIES[[#This Row],[VEHIDCODE]],GRAPHICS_PROPERTIES[VEHIDCODE],GRAPHICS_PROPERTIES[TEMPLATE_ID]&amp;GRAPHICS_PROPERTIES[TEMPLATE_AMENDMENT_CODE])</f>
        <v>TPL_01A</v>
      </c>
    </row>
    <row r="410" spans="1:47" x14ac:dyDescent="0.35">
      <c r="A410" s="2" t="s">
        <v>3044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0" t="str">
        <f>_xlfn.XLOOKUP(PROPERTIES[[#This Row],[VEHIDCODE]],CONTROL[VEHIDCODE],CONTROL[ENGLISH])</f>
        <v>Borsig/SSW ES 6</v>
      </c>
      <c r="F410" t="s">
        <v>584</v>
      </c>
      <c r="G410" s="40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17</v>
      </c>
      <c r="J410">
        <v>0</v>
      </c>
      <c r="K410">
        <v>6</v>
      </c>
      <c r="L410">
        <v>0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3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0">
        <v>81</v>
      </c>
      <c r="AA410" s="19">
        <f>IFERROR(PROPERTIES[[#This Row],[TE_STARTING_KN]]/(PROPERTIES[[#This Row],[WEIGHT]]*9.81),0)</f>
        <v>0.1019367991845056</v>
      </c>
      <c r="AB410" s="19">
        <v>0</v>
      </c>
      <c r="AC410" s="16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6">
        <v>0</v>
      </c>
      <c r="AF410" s="6">
        <v>0</v>
      </c>
      <c r="AG410" t="s">
        <v>230</v>
      </c>
      <c r="AH410" t="s">
        <v>229</v>
      </c>
      <c r="AI410" t="s">
        <v>229</v>
      </c>
      <c r="AJ410" s="2" t="s">
        <v>229</v>
      </c>
      <c r="AK410" s="2" t="s">
        <v>244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44" t="b">
        <v>0</v>
      </c>
      <c r="AP410" s="48" t="b">
        <v>0</v>
      </c>
      <c r="AQ410" s="48" t="b">
        <v>0</v>
      </c>
      <c r="AR410" s="48">
        <v>0</v>
      </c>
      <c r="AS410" s="48" t="b">
        <v>0</v>
      </c>
      <c r="AT410" s="7" t="b">
        <v>0</v>
      </c>
      <c r="AU410" s="40" t="str" cm="1">
        <f t="array" ref="AU410">_xlfn.XLOOKUP(PROPERTIES[[#This Row],[VEHIDCODE]],GRAPHICS_PROPERTIES[VEHIDCODE],GRAPHICS_PROPERTIES[TEMPLATE_ID]&amp;GRAPHICS_PROPERTIES[TEMPLATE_AMENDMENT_CODE])</f>
        <v>TPL_03C</v>
      </c>
    </row>
    <row r="411" spans="1:47" x14ac:dyDescent="0.35">
      <c r="A411" s="2" t="s">
        <v>3045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0" t="str">
        <f>_xlfn.XLOOKUP(PROPERTIES[[#This Row],[VEHIDCODE]],CONTROL[VEHIDCODE],CONTROL[ENGLISH])</f>
        <v>GE EL-2B</v>
      </c>
      <c r="F411" t="s">
        <v>757</v>
      </c>
      <c r="G411" s="40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17</v>
      </c>
      <c r="J411">
        <v>0</v>
      </c>
      <c r="K411">
        <v>8</v>
      </c>
      <c r="L411">
        <v>0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3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0">
        <v>1200</v>
      </c>
      <c r="AA411" s="19">
        <f>IFERROR(PROPERTIES[[#This Row],[TE_STARTING_KN]]/(PROPERTIES[[#This Row],[WEIGHT]]*9.81),0)</f>
        <v>0.27183146449201495</v>
      </c>
      <c r="AB411" s="19">
        <v>0</v>
      </c>
      <c r="AC411" s="16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6">
        <v>0</v>
      </c>
      <c r="AF411" s="6">
        <v>0</v>
      </c>
      <c r="AG411" t="s">
        <v>235</v>
      </c>
      <c r="AH411" t="s">
        <v>229</v>
      </c>
      <c r="AI411" t="s">
        <v>229</v>
      </c>
      <c r="AJ411" s="2" t="s">
        <v>229</v>
      </c>
      <c r="AK411" s="2" t="s">
        <v>244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44" t="b">
        <v>0</v>
      </c>
      <c r="AP411" s="48" t="b">
        <v>0</v>
      </c>
      <c r="AQ411" s="48" t="b">
        <v>0</v>
      </c>
      <c r="AR411" s="48">
        <v>0</v>
      </c>
      <c r="AS411" s="48" t="b">
        <v>0</v>
      </c>
      <c r="AT411" s="7" t="b">
        <v>0</v>
      </c>
      <c r="AU411" s="40" t="str" cm="1">
        <f t="array" ref="AU411">_xlfn.XLOOKUP(PROPERTIES[[#This Row],[VEHIDCODE]],GRAPHICS_PROPERTIES[VEHIDCODE],GRAPHICS_PROPERTIES[TEMPLATE_ID]&amp;GRAPHICS_PROPERTIES[TEMPLATE_AMENDMENT_CODE])</f>
        <v>TPL_03D</v>
      </c>
    </row>
    <row r="412" spans="1:47" x14ac:dyDescent="0.35">
      <c r="A412" s="2" t="s">
        <v>3046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0" t="str">
        <f>_xlfn.XLOOKUP(PROPERTIES[[#This Row],[VEHIDCODE]],CONTROL[VEHIDCODE],CONTROL[ENGLISH])</f>
        <v>GE W-1</v>
      </c>
      <c r="F412" t="s">
        <v>757</v>
      </c>
      <c r="G412" s="40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17</v>
      </c>
      <c r="J412">
        <v>0</v>
      </c>
      <c r="K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3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0">
        <v>530</v>
      </c>
      <c r="AA412" s="19">
        <f>IFERROR(PROPERTIES[[#This Row],[TE_STARTING_KN]]/(PROPERTIES[[#This Row],[WEIGHT]]*9.81),0)</f>
        <v>0.16371667747814536</v>
      </c>
      <c r="AB412" s="19">
        <v>0</v>
      </c>
      <c r="AC412" s="16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6">
        <v>0</v>
      </c>
      <c r="AF412" s="6">
        <v>4</v>
      </c>
      <c r="AG412" t="s">
        <v>235</v>
      </c>
      <c r="AH412" t="s">
        <v>229</v>
      </c>
      <c r="AI412" t="s">
        <v>229</v>
      </c>
      <c r="AJ412" s="2" t="s">
        <v>229</v>
      </c>
      <c r="AK412" s="2" t="s">
        <v>244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44" t="b">
        <v>0</v>
      </c>
      <c r="AP412" s="48" t="b">
        <v>0</v>
      </c>
      <c r="AQ412" s="48" t="b">
        <v>0</v>
      </c>
      <c r="AR412" s="48">
        <v>0</v>
      </c>
      <c r="AS412" s="48" t="b">
        <v>0</v>
      </c>
      <c r="AT412" s="7" t="b">
        <v>0</v>
      </c>
      <c r="AU412" s="40" t="str" cm="1">
        <f t="array" ref="AU412">_xlfn.XLOOKUP(PROPERTIES[[#This Row],[VEHIDCODE]],GRAPHICS_PROPERTIES[VEHIDCODE],GRAPHICS_PROPERTIES[TEMPLATE_ID]&amp;GRAPHICS_PROPERTIES[TEMPLATE_AMENDMENT_CODE])</f>
        <v>TPL_16A</v>
      </c>
    </row>
    <row r="413" spans="1:47" x14ac:dyDescent="0.35">
      <c r="A413" s="2" t="s">
        <v>3047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0" t="str">
        <f>_xlfn.XLOOKUP(PROPERTIES[[#This Row],[VEHIDCODE]],CONTROL[VEHIDCODE],CONTROL[ENGLISH])</f>
        <v>Westinghouse 6wOE B1</v>
      </c>
      <c r="F413" t="s">
        <v>757</v>
      </c>
      <c r="G413" s="40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17</v>
      </c>
      <c r="J413">
        <v>0</v>
      </c>
      <c r="K413">
        <v>4</v>
      </c>
      <c r="L413">
        <v>0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3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0">
        <v>174.6</v>
      </c>
      <c r="AA413" s="19">
        <f>IFERROR(PROPERTIES[[#This Row],[TE_STARTING_KN]]/(PROPERTIES[[#This Row],[WEIGHT]]*9.81),0)</f>
        <v>0.25067838221992506</v>
      </c>
      <c r="AB413" s="19">
        <v>0</v>
      </c>
      <c r="AC413" s="16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6">
        <v>0</v>
      </c>
      <c r="AF413" s="6">
        <v>0</v>
      </c>
      <c r="AG413" t="s">
        <v>235</v>
      </c>
      <c r="AH413" t="s">
        <v>229</v>
      </c>
      <c r="AI413" t="s">
        <v>229</v>
      </c>
      <c r="AJ413" s="2" t="s">
        <v>229</v>
      </c>
      <c r="AK413" s="2" t="s">
        <v>244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44" t="b">
        <v>0</v>
      </c>
      <c r="AP413" s="48" t="b">
        <v>0</v>
      </c>
      <c r="AQ413" s="48" t="b">
        <v>0</v>
      </c>
      <c r="AR413" s="48">
        <v>0</v>
      </c>
      <c r="AS413" s="48" t="b">
        <v>0</v>
      </c>
      <c r="AT413" s="7" t="b">
        <v>0</v>
      </c>
      <c r="AU413" s="40" t="str" cm="1">
        <f t="array" ref="AU413">_xlfn.XLOOKUP(PROPERTIES[[#This Row],[VEHIDCODE]],GRAPHICS_PROPERTIES[VEHIDCODE],GRAPHICS_PROPERTIES[TEMPLATE_ID]&amp;GRAPHICS_PROPERTIES[TEMPLATE_AMENDMENT_CODE])</f>
        <v>TPL_01A</v>
      </c>
    </row>
    <row r="414" spans="1:47" x14ac:dyDescent="0.35">
      <c r="A414" s="2" t="s">
        <v>3048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0" t="str">
        <f>_xlfn.XLOOKUP(PROPERTIES[[#This Row],[VEHIDCODE]],CONTROL[VEHIDCODE],CONTROL[ENGLISH])</f>
        <v>Siemens E40 AG-V1</v>
      </c>
      <c r="F414" t="s">
        <v>541</v>
      </c>
      <c r="G414" s="40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17</v>
      </c>
      <c r="J414">
        <v>0</v>
      </c>
      <c r="K414">
        <v>8</v>
      </c>
      <c r="L414">
        <v>0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3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0">
        <v>450</v>
      </c>
      <c r="AA414" s="19">
        <f>IFERROR(PROPERTIES[[#This Row],[TE_STARTING_KN]]/(PROPERTIES[[#This Row],[WEIGHT]]*9.81),0)</f>
        <v>0.42083999663328003</v>
      </c>
      <c r="AB414" s="19">
        <v>0</v>
      </c>
      <c r="AC414" s="16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6">
        <v>0</v>
      </c>
      <c r="AF414" s="6">
        <v>0</v>
      </c>
      <c r="AG414" t="s">
        <v>232</v>
      </c>
      <c r="AH414" t="s">
        <v>229</v>
      </c>
      <c r="AI414" t="s">
        <v>229</v>
      </c>
      <c r="AJ414" s="2" t="s">
        <v>229</v>
      </c>
      <c r="AK414" s="2" t="s">
        <v>244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44" t="b">
        <v>0</v>
      </c>
      <c r="AP414" s="48" t="b">
        <v>0</v>
      </c>
      <c r="AQ414" s="48" t="b">
        <v>0</v>
      </c>
      <c r="AR414" s="48">
        <v>0</v>
      </c>
      <c r="AS414" s="48" t="b">
        <v>0</v>
      </c>
      <c r="AT414" s="7" t="b">
        <v>0</v>
      </c>
      <c r="AU414" s="40" t="str" cm="1">
        <f t="array" ref="AU414">_xlfn.XLOOKUP(PROPERTIES[[#This Row],[VEHIDCODE]],GRAPHICS_PROPERTIES[VEHIDCODE],GRAPHICS_PROPERTIES[TEMPLATE_ID]&amp;GRAPHICS_PROPERTIES[TEMPLATE_AMENDMENT_CODE])</f>
        <v>TPL_01A</v>
      </c>
    </row>
    <row r="415" spans="1:47" x14ac:dyDescent="0.35">
      <c r="A415" s="2" t="s">
        <v>3049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0" t="str">
        <f>_xlfn.XLOOKUP(PROPERTIES[[#This Row],[VEHIDCODE]],CONTROL[VEHIDCODE],CONTROL[ENGLISH])</f>
        <v>Zuzhou SS6</v>
      </c>
      <c r="F415" t="s">
        <v>575</v>
      </c>
      <c r="G415" s="40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17</v>
      </c>
      <c r="J415">
        <v>0</v>
      </c>
      <c r="K415">
        <v>8</v>
      </c>
      <c r="L415">
        <v>0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3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0">
        <v>485</v>
      </c>
      <c r="AA415" s="19">
        <f>IFERROR(PROPERTIES[[#This Row],[TE_STARTING_KN]]/(PROPERTIES[[#This Row],[WEIGHT]]*9.81),0)</f>
        <v>0.35825614206148709</v>
      </c>
      <c r="AB415" s="19">
        <v>0</v>
      </c>
      <c r="AC415" s="16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6">
        <v>0</v>
      </c>
      <c r="AF415" s="6">
        <v>0</v>
      </c>
      <c r="AG415" t="s">
        <v>238</v>
      </c>
      <c r="AH415" t="s">
        <v>229</v>
      </c>
      <c r="AI415" t="s">
        <v>229</v>
      </c>
      <c r="AJ415" s="2" t="s">
        <v>229</v>
      </c>
      <c r="AK415" s="2" t="s">
        <v>244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44" t="b">
        <v>0</v>
      </c>
      <c r="AP415" s="48" t="b">
        <v>0</v>
      </c>
      <c r="AQ415" s="48" t="b">
        <v>0</v>
      </c>
      <c r="AR415" s="48">
        <v>0</v>
      </c>
      <c r="AS415" s="48" t="b">
        <v>0</v>
      </c>
      <c r="AT415" s="7" t="b">
        <v>0</v>
      </c>
      <c r="AU415" s="40" t="str" cm="1">
        <f t="array" ref="AU415">_xlfn.XLOOKUP(PROPERTIES[[#This Row],[VEHIDCODE]],GRAPHICS_PROPERTIES[VEHIDCODE],GRAPHICS_PROPERTIES[TEMPLATE_ID]&amp;GRAPHICS_PROPERTIES[TEMPLATE_AMENDMENT_CODE])</f>
        <v>TPL_01A</v>
      </c>
    </row>
    <row r="416" spans="1:47" x14ac:dyDescent="0.35">
      <c r="A416" s="2" t="s">
        <v>3050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0" t="str">
        <f>_xlfn.XLOOKUP(PROPERTIES[[#This Row],[VEHIDCODE]],CONTROL[VEHIDCODE],CONTROL[ENGLISH])</f>
        <v>Zuzhou SS3</v>
      </c>
      <c r="F416" t="s">
        <v>575</v>
      </c>
      <c r="G416" s="40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17</v>
      </c>
      <c r="J416">
        <v>0</v>
      </c>
      <c r="K416">
        <v>8</v>
      </c>
      <c r="L416">
        <v>0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3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0">
        <v>470</v>
      </c>
      <c r="AA416" s="19">
        <f>IFERROR(PROPERTIES[[#This Row],[TE_STARTING_KN]]/(PROPERTIES[[#This Row],[WEIGHT]]*9.81),0)</f>
        <v>0.34717605519360606</v>
      </c>
      <c r="AB416" s="19">
        <v>0</v>
      </c>
      <c r="AC416" s="16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6">
        <v>0</v>
      </c>
      <c r="AF416" s="6">
        <v>0</v>
      </c>
      <c r="AG416" t="s">
        <v>238</v>
      </c>
      <c r="AH416" t="s">
        <v>229</v>
      </c>
      <c r="AI416" t="s">
        <v>229</v>
      </c>
      <c r="AJ416" s="2" t="s">
        <v>229</v>
      </c>
      <c r="AK416" s="2" t="s">
        <v>244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44" t="b">
        <v>0</v>
      </c>
      <c r="AP416" s="48" t="b">
        <v>0</v>
      </c>
      <c r="AQ416" s="48" t="b">
        <v>0</v>
      </c>
      <c r="AR416" s="48">
        <v>0</v>
      </c>
      <c r="AS416" s="48" t="b">
        <v>0</v>
      </c>
      <c r="AT416" s="7" t="b">
        <v>0</v>
      </c>
      <c r="AU416" s="40" t="str" cm="1">
        <f t="array" ref="AU416">_xlfn.XLOOKUP(PROPERTIES[[#This Row],[VEHIDCODE]],GRAPHICS_PROPERTIES[VEHIDCODE],GRAPHICS_PROPERTIES[TEMPLATE_ID]&amp;GRAPHICS_PROPERTIES[TEMPLATE_AMENDMENT_CODE])</f>
        <v>TPL_01A</v>
      </c>
    </row>
    <row r="417" spans="1:47" x14ac:dyDescent="0.35">
      <c r="A417" s="2" t="s">
        <v>3051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0" t="str">
        <f>_xlfn.XLOOKUP(PROPERTIES[[#This Row],[VEHIDCODE]],CONTROL[VEHIDCODE],CONTROL[ENGLISH])</f>
        <v>Toshiba/CNR Dalian HXD3</v>
      </c>
      <c r="F417" t="s">
        <v>575</v>
      </c>
      <c r="G417" s="40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17</v>
      </c>
      <c r="J417">
        <v>0</v>
      </c>
      <c r="K417">
        <v>8</v>
      </c>
      <c r="L417">
        <v>0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3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0">
        <v>520</v>
      </c>
      <c r="AA417" s="19">
        <f>IFERROR(PROPERTIES[[#This Row],[TE_STARTING_KN]]/(PROPERTIES[[#This Row],[WEIGHT]]*9.81),0)</f>
        <v>0.35338090383961945</v>
      </c>
      <c r="AB417" s="19">
        <v>0</v>
      </c>
      <c r="AC417" s="16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6">
        <v>0</v>
      </c>
      <c r="AF417" s="6">
        <v>0</v>
      </c>
      <c r="AG417" t="s">
        <v>238</v>
      </c>
      <c r="AH417" t="s">
        <v>229</v>
      </c>
      <c r="AI417" t="s">
        <v>229</v>
      </c>
      <c r="AJ417" s="2" t="s">
        <v>229</v>
      </c>
      <c r="AK417" s="2" t="s">
        <v>244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44" t="b">
        <v>0</v>
      </c>
      <c r="AP417" s="48" t="b">
        <v>0</v>
      </c>
      <c r="AQ417" s="48" t="b">
        <v>0</v>
      </c>
      <c r="AR417" s="48">
        <v>0</v>
      </c>
      <c r="AS417" s="48" t="b">
        <v>0</v>
      </c>
      <c r="AT417" s="7" t="b">
        <v>0</v>
      </c>
      <c r="AU417" s="40" t="str" cm="1">
        <f t="array" ref="AU417">_xlfn.XLOOKUP(PROPERTIES[[#This Row],[VEHIDCODE]],GRAPHICS_PROPERTIES[VEHIDCODE],GRAPHICS_PROPERTIES[TEMPLATE_ID]&amp;GRAPHICS_PROPERTIES[TEMPLATE_AMENDMENT_CODE])</f>
        <v>TPL_01A</v>
      </c>
    </row>
    <row r="418" spans="1:47" x14ac:dyDescent="0.35">
      <c r="A418" s="2" t="s">
        <v>3052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0" t="str">
        <f>_xlfn.XLOOKUP(PROPERTIES[[#This Row],[VEHIDCODE]],CONTROL[VEHIDCODE],CONTROL[ENGLISH])</f>
        <v>Toshiba/CRRC HXD1D</v>
      </c>
      <c r="F418" t="s">
        <v>575</v>
      </c>
      <c r="G418" s="40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17</v>
      </c>
      <c r="J418">
        <v>0</v>
      </c>
      <c r="K418">
        <v>8</v>
      </c>
      <c r="L418">
        <v>0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3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0">
        <v>420</v>
      </c>
      <c r="AA418" s="19">
        <f>IFERROR(PROPERTIES[[#This Row],[TE_STARTING_KN]]/(PROPERTIES[[#This Row],[WEIGHT]]*9.81),0)</f>
        <v>0.33978933061501865</v>
      </c>
      <c r="AB418" s="19">
        <v>0</v>
      </c>
      <c r="AC418" s="16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6">
        <v>0</v>
      </c>
      <c r="AF418" s="6">
        <v>0</v>
      </c>
      <c r="AG418" t="s">
        <v>238</v>
      </c>
      <c r="AH418" t="s">
        <v>229</v>
      </c>
      <c r="AI418" t="s">
        <v>229</v>
      </c>
      <c r="AJ418" s="2" t="s">
        <v>229</v>
      </c>
      <c r="AK418" s="2" t="s">
        <v>244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44" t="b">
        <v>0</v>
      </c>
      <c r="AP418" s="48" t="b">
        <v>0</v>
      </c>
      <c r="AQ418" s="48" t="b">
        <v>0</v>
      </c>
      <c r="AR418" s="48">
        <v>0</v>
      </c>
      <c r="AS418" s="48" t="b">
        <v>0</v>
      </c>
      <c r="AT418" s="7" t="b">
        <v>0</v>
      </c>
      <c r="AU418" s="40" t="str" cm="1">
        <f t="array" ref="AU418">_xlfn.XLOOKUP(PROPERTIES[[#This Row],[VEHIDCODE]],GRAPHICS_PROPERTIES[VEHIDCODE],GRAPHICS_PROPERTIES[TEMPLATE_ID]&amp;GRAPHICS_PROPERTIES[TEMPLATE_AMENDMENT_CODE])</f>
        <v>TPL_01A</v>
      </c>
    </row>
    <row r="419" spans="1:47" x14ac:dyDescent="0.35">
      <c r="A419" s="2" t="s">
        <v>3053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0" t="str">
        <f>_xlfn.XLOOKUP(PROPERTIES[[#This Row],[VEHIDCODE]],CONTROL[VEHIDCODE],CONTROL[ENGLISH])</f>
        <v>Kawasaki 6K</v>
      </c>
      <c r="F419" t="s">
        <v>575</v>
      </c>
      <c r="G419" s="40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17</v>
      </c>
      <c r="J419">
        <v>0</v>
      </c>
      <c r="K419">
        <v>8</v>
      </c>
      <c r="L419">
        <v>0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3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0">
        <v>485</v>
      </c>
      <c r="AA419" s="19">
        <f>IFERROR(PROPERTIES[[#This Row],[TE_STARTING_KN]]/(PROPERTIES[[#This Row],[WEIGHT]]*9.81),0)</f>
        <v>0.35825614206148709</v>
      </c>
      <c r="AB419" s="19">
        <v>0</v>
      </c>
      <c r="AC419" s="16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6">
        <v>0</v>
      </c>
      <c r="AF419" s="6">
        <v>0</v>
      </c>
      <c r="AG419" t="s">
        <v>238</v>
      </c>
      <c r="AH419" t="s">
        <v>229</v>
      </c>
      <c r="AI419" t="s">
        <v>229</v>
      </c>
      <c r="AJ419" s="2" t="s">
        <v>229</v>
      </c>
      <c r="AK419" s="2" t="s">
        <v>244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44" t="b">
        <v>0</v>
      </c>
      <c r="AP419" s="48" t="b">
        <v>0</v>
      </c>
      <c r="AQ419" s="48" t="b">
        <v>0</v>
      </c>
      <c r="AR419" s="48">
        <v>0</v>
      </c>
      <c r="AS419" s="48" t="b">
        <v>0</v>
      </c>
      <c r="AT419" s="7" t="b">
        <v>0</v>
      </c>
      <c r="AU419" s="40" t="str" cm="1">
        <f t="array" ref="AU419">_xlfn.XLOOKUP(PROPERTIES[[#This Row],[VEHIDCODE]],GRAPHICS_PROPERTIES[VEHIDCODE],GRAPHICS_PROPERTIES[TEMPLATE_ID]&amp;GRAPHICS_PROPERTIES[TEMPLATE_AMENDMENT_CODE])</f>
        <v>TPL_01A</v>
      </c>
    </row>
    <row r="420" spans="1:47" x14ac:dyDescent="0.35">
      <c r="A420" s="2" t="s">
        <v>3054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0" t="str">
        <f>_xlfn.XLOOKUP(PROPERTIES[[#This Row],[VEHIDCODE]],CONTROL[VEHIDCODE],CONTROL[ENGLISH])</f>
        <v>GE E44</v>
      </c>
      <c r="F420" t="s">
        <v>757</v>
      </c>
      <c r="G420" s="40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17</v>
      </c>
      <c r="J420">
        <v>0</v>
      </c>
      <c r="K420">
        <v>8</v>
      </c>
      <c r="L420">
        <v>0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3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0">
        <v>427.7</v>
      </c>
      <c r="AA420" s="19">
        <f>IFERROR(PROPERTIES[[#This Row],[TE_STARTING_KN]]/(PROPERTIES[[#This Row],[WEIGHT]]*9.81),0)</f>
        <v>0.24913353720693168</v>
      </c>
      <c r="AB420" s="19">
        <v>0</v>
      </c>
      <c r="AC420" s="16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6">
        <v>0</v>
      </c>
      <c r="AF420" s="6">
        <v>0</v>
      </c>
      <c r="AG420" t="s">
        <v>235</v>
      </c>
      <c r="AH420" t="s">
        <v>229</v>
      </c>
      <c r="AI420" t="s">
        <v>229</v>
      </c>
      <c r="AJ420" s="2" t="s">
        <v>229</v>
      </c>
      <c r="AK420" s="2" t="s">
        <v>244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44" t="b">
        <v>0</v>
      </c>
      <c r="AP420" s="48" t="b">
        <v>0</v>
      </c>
      <c r="AQ420" s="48" t="b">
        <v>0</v>
      </c>
      <c r="AR420" s="48">
        <v>0</v>
      </c>
      <c r="AS420" s="48" t="b">
        <v>0</v>
      </c>
      <c r="AT420" s="7" t="b">
        <v>0</v>
      </c>
      <c r="AU420" s="40" t="str" cm="1">
        <f t="array" ref="AU420">_xlfn.XLOOKUP(PROPERTIES[[#This Row],[VEHIDCODE]],GRAPHICS_PROPERTIES[VEHIDCODE],GRAPHICS_PROPERTIES[TEMPLATE_ID]&amp;GRAPHICS_PROPERTIES[TEMPLATE_AMENDMENT_CODE])</f>
        <v>TPL_01A</v>
      </c>
    </row>
    <row r="421" spans="1:47" x14ac:dyDescent="0.35">
      <c r="A421" s="2" t="s">
        <v>3055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0" t="str">
        <f>_xlfn.XLOOKUP(PROPERTIES[[#This Row],[VEHIDCODE]],CONTROL[VEHIDCODE],CONTROL[ENGLISH])</f>
        <v>ASEA/Koncar Rb</v>
      </c>
      <c r="F421" t="s">
        <v>624</v>
      </c>
      <c r="G421" s="40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17</v>
      </c>
      <c r="J421">
        <v>0</v>
      </c>
      <c r="K421">
        <v>8</v>
      </c>
      <c r="L421">
        <v>0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3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0">
        <v>275</v>
      </c>
      <c r="AA421" s="19">
        <f>IFERROR(PROPERTIES[[#This Row],[TE_STARTING_KN]]/(PROPERTIES[[#This Row],[WEIGHT]]*9.81),0)</f>
        <v>0.35040774719673801</v>
      </c>
      <c r="AB421" s="19">
        <v>0</v>
      </c>
      <c r="AC421" s="16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6">
        <v>0</v>
      </c>
      <c r="AF421" s="6">
        <v>0</v>
      </c>
      <c r="AG421" t="s">
        <v>236</v>
      </c>
      <c r="AH421" t="s">
        <v>229</v>
      </c>
      <c r="AI421" t="s">
        <v>229</v>
      </c>
      <c r="AJ421" s="2" t="s">
        <v>229</v>
      </c>
      <c r="AK421" s="2" t="s">
        <v>244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44" t="b">
        <v>0</v>
      </c>
      <c r="AP421" s="48" t="b">
        <v>0</v>
      </c>
      <c r="AQ421" s="48" t="b">
        <v>0</v>
      </c>
      <c r="AR421" s="48">
        <v>0</v>
      </c>
      <c r="AS421" s="48" t="b">
        <v>0</v>
      </c>
      <c r="AT421" s="7" t="b">
        <v>0</v>
      </c>
      <c r="AU421" s="40" t="str" cm="1">
        <f t="array" ref="AU421">_xlfn.XLOOKUP(PROPERTIES[[#This Row],[VEHIDCODE]],GRAPHICS_PROPERTIES[VEHIDCODE],GRAPHICS_PROPERTIES[TEMPLATE_ID]&amp;GRAPHICS_PROPERTIES[TEMPLATE_AMENDMENT_CODE])</f>
        <v>TPL_01A</v>
      </c>
    </row>
    <row r="422" spans="1:47" x14ac:dyDescent="0.35">
      <c r="A422" s="2" t="s">
        <v>3056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0" t="str">
        <f>_xlfn.XLOOKUP(PROPERTIES[[#This Row],[VEHIDCODE]],CONTROL[VEHIDCODE],CONTROL[ENGLISH])</f>
        <v>Ganz-MAVAG VM14 'V43'</v>
      </c>
      <c r="F422" t="s">
        <v>626</v>
      </c>
      <c r="G422" s="40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17</v>
      </c>
      <c r="J422">
        <v>0</v>
      </c>
      <c r="K422">
        <v>8</v>
      </c>
      <c r="L422">
        <v>0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3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0">
        <v>270</v>
      </c>
      <c r="AA422" s="19">
        <f>IFERROR(PROPERTIES[[#This Row],[TE_STARTING_KN]]/(PROPERTIES[[#This Row],[WEIGHT]]*9.81),0)</f>
        <v>0.34403669724770641</v>
      </c>
      <c r="AB422" s="19">
        <v>0</v>
      </c>
      <c r="AC422" s="16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6">
        <v>0</v>
      </c>
      <c r="AF422" s="6">
        <v>0</v>
      </c>
      <c r="AG422" t="s">
        <v>236</v>
      </c>
      <c r="AH422" t="s">
        <v>229</v>
      </c>
      <c r="AI422" t="s">
        <v>229</v>
      </c>
      <c r="AJ422" s="2" t="s">
        <v>229</v>
      </c>
      <c r="AK422" s="2" t="s">
        <v>244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44" t="b">
        <v>0</v>
      </c>
      <c r="AP422" s="48" t="b">
        <v>0</v>
      </c>
      <c r="AQ422" s="48" t="b">
        <v>0</v>
      </c>
      <c r="AR422" s="48">
        <v>0</v>
      </c>
      <c r="AS422" s="48" t="b">
        <v>0</v>
      </c>
      <c r="AT422" s="7" t="b">
        <v>0</v>
      </c>
      <c r="AU422" s="40" t="str" cm="1">
        <f t="array" ref="AU422">_xlfn.XLOOKUP(PROPERTIES[[#This Row],[VEHIDCODE]],GRAPHICS_PROPERTIES[VEHIDCODE],GRAPHICS_PROPERTIES[TEMPLATE_ID]&amp;GRAPHICS_PROPERTIES[TEMPLATE_AMENDMENT_CODE])</f>
        <v>TPL_01A</v>
      </c>
    </row>
    <row r="423" spans="1:47" x14ac:dyDescent="0.35">
      <c r="A423" s="2" t="s">
        <v>3057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0" t="str">
        <f>_xlfn.XLOOKUP(PROPERTIES[[#This Row],[VEHIDCODE]],CONTROL[VEHIDCODE],CONTROL[ENGLISH])</f>
        <v>Alsthom CP 2500</v>
      </c>
      <c r="F423" t="s">
        <v>710</v>
      </c>
      <c r="G423" s="40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17</v>
      </c>
      <c r="J423">
        <v>0</v>
      </c>
      <c r="K423">
        <v>6</v>
      </c>
      <c r="L423">
        <v>0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3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0">
        <v>191</v>
      </c>
      <c r="AA423" s="19">
        <f>IFERROR(PROPERTIES[[#This Row],[TE_STARTING_KN]]/(PROPERTIES[[#This Row],[WEIGHT]]*9.81),0)</f>
        <v>0.27041567561445234</v>
      </c>
      <c r="AB423" s="19">
        <v>0</v>
      </c>
      <c r="AC423" s="16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6">
        <v>0</v>
      </c>
      <c r="AF423" s="6">
        <v>0</v>
      </c>
      <c r="AG423" t="s">
        <v>231</v>
      </c>
      <c r="AH423" t="s">
        <v>229</v>
      </c>
      <c r="AI423" t="s">
        <v>229</v>
      </c>
      <c r="AJ423" s="2" t="s">
        <v>229</v>
      </c>
      <c r="AK423" s="2" t="s">
        <v>244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44" t="b">
        <v>0</v>
      </c>
      <c r="AP423" s="48" t="b">
        <v>0</v>
      </c>
      <c r="AQ423" s="48" t="b">
        <v>0</v>
      </c>
      <c r="AR423" s="48">
        <v>0</v>
      </c>
      <c r="AS423" s="48" t="b">
        <v>0</v>
      </c>
      <c r="AT423" s="7" t="b">
        <v>0</v>
      </c>
      <c r="AU423" s="40" t="str" cm="1">
        <f t="array" ref="AU423">_xlfn.XLOOKUP(PROPERTIES[[#This Row],[VEHIDCODE]],GRAPHICS_PROPERTIES[VEHIDCODE],GRAPHICS_PROPERTIES[TEMPLATE_ID]&amp;GRAPHICS_PROPERTIES[TEMPLATE_AMENDMENT_CODE])</f>
        <v>TPL_01A</v>
      </c>
    </row>
    <row r="424" spans="1:47" x14ac:dyDescent="0.35">
      <c r="A424" s="2" t="s">
        <v>3058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0" t="str">
        <f>_xlfn.XLOOKUP(PROPERTIES[[#This Row],[VEHIDCODE]],CONTROL[VEHIDCODE],CONTROL[ENGLISH])</f>
        <v>Alsthom CP 2600</v>
      </c>
      <c r="F424" t="s">
        <v>710</v>
      </c>
      <c r="G424" s="40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17</v>
      </c>
      <c r="J424">
        <v>0</v>
      </c>
      <c r="K424">
        <v>8</v>
      </c>
      <c r="L424">
        <v>0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3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0">
        <v>245</v>
      </c>
      <c r="AA424" s="19">
        <f>IFERROR(PROPERTIES[[#This Row],[TE_STARTING_KN]]/(PROPERTIES[[#This Row],[WEIGHT]]*9.81),0)</f>
        <v>0.32018610000261372</v>
      </c>
      <c r="AB424" s="19">
        <v>0</v>
      </c>
      <c r="AC424" s="16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6">
        <v>0</v>
      </c>
      <c r="AF424" s="6">
        <v>0</v>
      </c>
      <c r="AG424" t="s">
        <v>231</v>
      </c>
      <c r="AH424" t="s">
        <v>229</v>
      </c>
      <c r="AI424" t="s">
        <v>229</v>
      </c>
      <c r="AJ424" s="2" t="s">
        <v>229</v>
      </c>
      <c r="AK424" s="2" t="s">
        <v>244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44" t="b">
        <v>0</v>
      </c>
      <c r="AP424" s="48" t="b">
        <v>0</v>
      </c>
      <c r="AQ424" s="48" t="b">
        <v>0</v>
      </c>
      <c r="AR424" s="48">
        <v>0</v>
      </c>
      <c r="AS424" s="48" t="b">
        <v>0</v>
      </c>
      <c r="AT424" s="7" t="b">
        <v>0</v>
      </c>
      <c r="AU424" s="40" t="str" cm="1">
        <f t="array" ref="AU424">_xlfn.XLOOKUP(PROPERTIES[[#This Row],[VEHIDCODE]],GRAPHICS_PROPERTIES[VEHIDCODE],GRAPHICS_PROPERTIES[TEMPLATE_ID]&amp;GRAPHICS_PROPERTIES[TEMPLATE_AMENDMENT_CODE])</f>
        <v>TPL_01A</v>
      </c>
    </row>
    <row r="425" spans="1:47" x14ac:dyDescent="0.35">
      <c r="A425" s="2" t="s">
        <v>3059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0" t="str">
        <f>_xlfn.XLOOKUP(PROPERTIES[[#This Row],[VEHIDCODE]],CONTROL[VEHIDCODE],CONTROL[ENGLISH])</f>
        <v>ZELC 20E 'China Doll'</v>
      </c>
      <c r="F425" t="s">
        <v>771</v>
      </c>
      <c r="G425" s="40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17</v>
      </c>
      <c r="J425">
        <v>0</v>
      </c>
      <c r="K425">
        <v>7</v>
      </c>
      <c r="L425">
        <v>0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3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0">
        <v>320</v>
      </c>
      <c r="AA425" s="19">
        <f>IFERROR(PROPERTIES[[#This Row],[TE_STARTING_KN]]/(PROPERTIES[[#This Row],[WEIGHT]]*9.81),0)</f>
        <v>0.37929971789583478</v>
      </c>
      <c r="AB425" s="19">
        <v>0</v>
      </c>
      <c r="AC425" s="16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6">
        <v>0</v>
      </c>
      <c r="AF425" s="6">
        <v>0</v>
      </c>
      <c r="AG425" t="s">
        <v>233</v>
      </c>
      <c r="AH425" t="s">
        <v>229</v>
      </c>
      <c r="AI425" t="s">
        <v>229</v>
      </c>
      <c r="AJ425" s="2" t="s">
        <v>229</v>
      </c>
      <c r="AK425" s="2" t="s">
        <v>244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44" t="b">
        <v>0</v>
      </c>
      <c r="AP425" s="48" t="b">
        <v>0</v>
      </c>
      <c r="AQ425" s="48" t="b">
        <v>0</v>
      </c>
      <c r="AR425" s="48">
        <v>0</v>
      </c>
      <c r="AS425" s="48" t="b">
        <v>0</v>
      </c>
      <c r="AT425" s="7" t="b">
        <v>0</v>
      </c>
      <c r="AU425" s="40" t="str" cm="1">
        <f t="array" ref="AU425">_xlfn.XLOOKUP(PROPERTIES[[#This Row],[VEHIDCODE]],GRAPHICS_PROPERTIES[VEHIDCODE],GRAPHICS_PROPERTIES[TEMPLATE_ID]&amp;GRAPHICS_PROPERTIES[TEMPLATE_AMENDMENT_CODE])</f>
        <v>TPL_01A</v>
      </c>
    </row>
    <row r="426" spans="1:47" x14ac:dyDescent="0.35">
      <c r="A426" s="2" t="s">
        <v>3456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0" t="str">
        <f>_xlfn.XLOOKUP(PROPERTIES[[#This Row],[VEHIDCODE]],CONTROL[VEHIDCODE],CONTROL[ENGLISH])</f>
        <v>Siemens EuroSprinter ES64F4</v>
      </c>
      <c r="F426" t="s">
        <v>584</v>
      </c>
      <c r="G426" s="40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17</v>
      </c>
      <c r="J426">
        <v>0</v>
      </c>
      <c r="K426">
        <v>8</v>
      </c>
      <c r="L426">
        <v>0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3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0">
        <v>330</v>
      </c>
      <c r="AA426" s="19">
        <f>IFERROR(PROPERTIES[[#This Row],[TE_STARTING_KN]]/(PROPERTIES[[#This Row],[WEIGHT]]*9.81),0)</f>
        <v>0.42048929663608559</v>
      </c>
      <c r="AB426" s="19">
        <v>0</v>
      </c>
      <c r="AC426" s="16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6">
        <v>0</v>
      </c>
      <c r="AF426" s="6">
        <v>0</v>
      </c>
      <c r="AG426" t="s">
        <v>238</v>
      </c>
      <c r="AH426" t="s">
        <v>239</v>
      </c>
      <c r="AI426" t="s">
        <v>229</v>
      </c>
      <c r="AJ426" s="2" t="s">
        <v>229</v>
      </c>
      <c r="AK426" s="2" t="s">
        <v>244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44" t="b">
        <v>0</v>
      </c>
      <c r="AP426" s="48" t="b">
        <v>0</v>
      </c>
      <c r="AQ426" s="48" t="b">
        <v>0</v>
      </c>
      <c r="AR426" s="48">
        <v>0</v>
      </c>
      <c r="AS426" s="48" t="b">
        <v>0</v>
      </c>
      <c r="AT426" s="7" t="b">
        <v>0</v>
      </c>
      <c r="AU426" s="40" t="str" cm="1">
        <f t="array" ref="AU426">_xlfn.XLOOKUP(PROPERTIES[[#This Row],[VEHIDCODE]],GRAPHICS_PROPERTIES[VEHIDCODE],GRAPHICS_PROPERTIES[TEMPLATE_ID]&amp;GRAPHICS_PROPERTIES[TEMPLATE_AMENDMENT_CODE])</f>
        <v>TPL_01A</v>
      </c>
    </row>
    <row r="427" spans="1:47" x14ac:dyDescent="0.35">
      <c r="A427" s="2" t="s">
        <v>3060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0" t="str">
        <f>_xlfn.XLOOKUP(PROPERTIES[[#This Row],[VEHIDCODE]],CONTROL[VEHIDCODE],CONTROL[ENGLISH])</f>
        <v>DEVZ DS3</v>
      </c>
      <c r="F427" t="s">
        <v>754</v>
      </c>
      <c r="G427" s="40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17</v>
      </c>
      <c r="J427">
        <v>0</v>
      </c>
      <c r="K427">
        <v>8</v>
      </c>
      <c r="L427">
        <v>0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3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0">
        <v>310</v>
      </c>
      <c r="AA427" s="19">
        <f>IFERROR(PROPERTIES[[#This Row],[TE_STARTING_KN]]/(PROPERTIES[[#This Row],[WEIGHT]]*9.81),0)</f>
        <v>0.35111564163551928</v>
      </c>
      <c r="AB427" s="19">
        <v>0</v>
      </c>
      <c r="AC427" s="16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6">
        <v>0</v>
      </c>
      <c r="AF427" s="6">
        <v>0</v>
      </c>
      <c r="AG427" t="s">
        <v>236</v>
      </c>
      <c r="AH427" t="s">
        <v>229</v>
      </c>
      <c r="AI427" t="s">
        <v>229</v>
      </c>
      <c r="AJ427" s="2" t="s">
        <v>229</v>
      </c>
      <c r="AK427" s="2" t="s">
        <v>244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44" t="b">
        <v>0</v>
      </c>
      <c r="AP427" s="48" t="b">
        <v>0</v>
      </c>
      <c r="AQ427" s="48" t="b">
        <v>0</v>
      </c>
      <c r="AR427" s="48">
        <v>0</v>
      </c>
      <c r="AS427" s="48" t="b">
        <v>0</v>
      </c>
      <c r="AT427" s="7" t="b">
        <v>0</v>
      </c>
      <c r="AU427" s="40" t="str" cm="1">
        <f t="array" ref="AU427">_xlfn.XLOOKUP(PROPERTIES[[#This Row],[VEHIDCODE]],GRAPHICS_PROPERTIES[VEHIDCODE],GRAPHICS_PROPERTIES[TEMPLATE_ID]&amp;GRAPHICS_PROPERTIES[TEMPLATE_AMENDMENT_CODE])</f>
        <v>TPL_01A</v>
      </c>
    </row>
    <row r="428" spans="1:47" x14ac:dyDescent="0.35">
      <c r="A428" s="2" t="s">
        <v>3061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0" t="str">
        <f>_xlfn.XLOOKUP(PROPERTIES[[#This Row],[VEHIDCODE]],CONTROL[VEHIDCODE],CONTROL[ENGLISH])</f>
        <v>Skoda 47E</v>
      </c>
      <c r="F428" t="s">
        <v>583</v>
      </c>
      <c r="G428" s="40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17</v>
      </c>
      <c r="J428">
        <v>0</v>
      </c>
      <c r="K428">
        <v>8</v>
      </c>
      <c r="L428">
        <v>0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3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0">
        <v>210</v>
      </c>
      <c r="AA428" s="19">
        <f>IFERROR(PROPERTIES[[#This Row],[TE_STARTING_KN]]/(PROPERTIES[[#This Row],[WEIGHT]]*9.81),0)</f>
        <v>0.25184385680877858</v>
      </c>
      <c r="AB428" s="19">
        <v>0</v>
      </c>
      <c r="AC428" s="16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6">
        <v>0</v>
      </c>
      <c r="AF428" s="6">
        <v>0</v>
      </c>
      <c r="AG428" t="s">
        <v>236</v>
      </c>
      <c r="AH428" t="s">
        <v>229</v>
      </c>
      <c r="AI428" t="s">
        <v>229</v>
      </c>
      <c r="AJ428" s="2" t="s">
        <v>229</v>
      </c>
      <c r="AK428" s="2" t="s">
        <v>244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44" t="b">
        <v>0</v>
      </c>
      <c r="AP428" s="48" t="b">
        <v>0</v>
      </c>
      <c r="AQ428" s="48" t="b">
        <v>0</v>
      </c>
      <c r="AR428" s="48">
        <v>0</v>
      </c>
      <c r="AS428" s="48" t="b">
        <v>0</v>
      </c>
      <c r="AT428" s="7" t="b">
        <v>0</v>
      </c>
      <c r="AU428" s="40" t="str" cm="1">
        <f t="array" ref="AU428">_xlfn.XLOOKUP(PROPERTIES[[#This Row],[VEHIDCODE]],GRAPHICS_PROPERTIES[VEHIDCODE],GRAPHICS_PROPERTIES[TEMPLATE_ID]&amp;GRAPHICS_PROPERTIES[TEMPLATE_AMENDMENT_CODE])</f>
        <v>TPL_01A</v>
      </c>
    </row>
    <row r="429" spans="1:47" x14ac:dyDescent="0.35">
      <c r="A429" s="2" t="s">
        <v>3062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0" t="str">
        <f>_xlfn.XLOOKUP(PROPERTIES[[#This Row],[VEHIDCODE]],CONTROL[VEHIDCODE],CONTROL[ENGLISH])</f>
        <v>Ansaldo - Breda C.F E.491</v>
      </c>
      <c r="F429" t="s">
        <v>636</v>
      </c>
      <c r="G429" s="40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17</v>
      </c>
      <c r="J429">
        <v>0</v>
      </c>
      <c r="K429">
        <v>8</v>
      </c>
      <c r="L429">
        <v>0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3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0">
        <v>228</v>
      </c>
      <c r="AA429" s="19">
        <f>IFERROR(PROPERTIES[[#This Row],[TE_STARTING_KN]]/(PROPERTIES[[#This Row],[WEIGHT]]*9.81),0)</f>
        <v>0.30183883394892569</v>
      </c>
      <c r="AB429" s="19">
        <v>0</v>
      </c>
      <c r="AC429" s="16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6">
        <v>0</v>
      </c>
      <c r="AF429" s="6">
        <v>0</v>
      </c>
      <c r="AG429" t="s">
        <v>231</v>
      </c>
      <c r="AH429" t="s">
        <v>229</v>
      </c>
      <c r="AI429" t="s">
        <v>229</v>
      </c>
      <c r="AJ429" s="2" t="s">
        <v>229</v>
      </c>
      <c r="AK429" s="2" t="s">
        <v>244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44" t="b">
        <v>0</v>
      </c>
      <c r="AP429" s="48" t="b">
        <v>0</v>
      </c>
      <c r="AQ429" s="48" t="b">
        <v>0</v>
      </c>
      <c r="AR429" s="48">
        <v>0</v>
      </c>
      <c r="AS429" s="48" t="b">
        <v>0</v>
      </c>
      <c r="AT429" s="7" t="b">
        <v>0</v>
      </c>
      <c r="AU429" s="40" t="str" cm="1">
        <f t="array" ref="AU429">_xlfn.XLOOKUP(PROPERTIES[[#This Row],[VEHIDCODE]],GRAPHICS_PROPERTIES[VEHIDCODE],GRAPHICS_PROPERTIES[TEMPLATE_ID]&amp;GRAPHICS_PROPERTIES[TEMPLATE_AMENDMENT_CODE])</f>
        <v>TPL_01A</v>
      </c>
    </row>
    <row r="430" spans="1:47" x14ac:dyDescent="0.35">
      <c r="A430" s="2" t="s">
        <v>3063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0" t="str">
        <f>_xlfn.XLOOKUP(PROPERTIES[[#This Row],[VEHIDCODE]],CONTROL[VEHIDCODE],CONTROL[ENGLISH])</f>
        <v>ASEA/Electroputere LE5100</v>
      </c>
      <c r="F430" t="s">
        <v>670</v>
      </c>
      <c r="G430" s="40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17</v>
      </c>
      <c r="J430">
        <v>0</v>
      </c>
      <c r="K430">
        <v>8</v>
      </c>
      <c r="L430">
        <v>0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3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0">
        <v>392</v>
      </c>
      <c r="AA430" s="19">
        <f>IFERROR(PROPERTIES[[#This Row],[TE_STARTING_KN]]/(PROPERTIES[[#This Row],[WEIGHT]]*9.81),0)</f>
        <v>0.3329935440027183</v>
      </c>
      <c r="AB430" s="19">
        <v>0</v>
      </c>
      <c r="AC430" s="16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6">
        <v>0</v>
      </c>
      <c r="AF430" s="6">
        <v>0</v>
      </c>
      <c r="AG430" t="s">
        <v>231</v>
      </c>
      <c r="AH430" t="s">
        <v>229</v>
      </c>
      <c r="AI430" t="s">
        <v>229</v>
      </c>
      <c r="AJ430" s="2" t="s">
        <v>229</v>
      </c>
      <c r="AK430" s="2" t="s">
        <v>244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44" t="b">
        <v>0</v>
      </c>
      <c r="AP430" s="48" t="b">
        <v>0</v>
      </c>
      <c r="AQ430" s="48" t="b">
        <v>0</v>
      </c>
      <c r="AR430" s="48">
        <v>0</v>
      </c>
      <c r="AS430" s="48" t="b">
        <v>0</v>
      </c>
      <c r="AT430" s="7" t="b">
        <v>0</v>
      </c>
      <c r="AU430" s="40" t="str" cm="1">
        <f t="array" ref="AU430">_xlfn.XLOOKUP(PROPERTIES[[#This Row],[VEHIDCODE]],GRAPHICS_PROPERTIES[VEHIDCODE],GRAPHICS_PROPERTIES[TEMPLATE_ID]&amp;GRAPHICS_PROPERTIES[TEMPLATE_AMENDMENT_CODE])</f>
        <v>TPL_01A</v>
      </c>
    </row>
    <row r="431" spans="1:47" x14ac:dyDescent="0.35">
      <c r="A431" s="2" t="s">
        <v>3064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0" t="str">
        <f>_xlfn.XLOOKUP(PROPERTIES[[#This Row],[VEHIDCODE]],CONTROL[VEHIDCODE],CONTROL[ENGLISH])</f>
        <v>CEF BB 1600</v>
      </c>
      <c r="F431" t="s">
        <v>663</v>
      </c>
      <c r="G431" s="40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17</v>
      </c>
      <c r="J431">
        <v>0</v>
      </c>
      <c r="K431">
        <v>5</v>
      </c>
      <c r="L431">
        <v>0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3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0">
        <v>0</v>
      </c>
      <c r="AA431" s="19">
        <f>IFERROR(PROPERTIES[[#This Row],[TE_STARTING_KN]]/(PROPERTIES[[#This Row],[WEIGHT]]*9.81),0)</f>
        <v>0</v>
      </c>
      <c r="AB431" s="19">
        <v>0.21</v>
      </c>
      <c r="AC431" s="16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6">
        <v>0</v>
      </c>
      <c r="AF431" s="6">
        <v>0</v>
      </c>
      <c r="AG431" t="s">
        <v>230</v>
      </c>
      <c r="AH431" t="s">
        <v>229</v>
      </c>
      <c r="AI431" t="s">
        <v>229</v>
      </c>
      <c r="AJ431" s="2" t="s">
        <v>229</v>
      </c>
      <c r="AK431" s="2" t="s">
        <v>244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44" t="b">
        <v>0</v>
      </c>
      <c r="AP431" s="48" t="b">
        <v>0</v>
      </c>
      <c r="AQ431" s="48" t="b">
        <v>0</v>
      </c>
      <c r="AR431" s="48">
        <v>0</v>
      </c>
      <c r="AS431" s="48" t="b">
        <v>0</v>
      </c>
      <c r="AT431" s="7" t="b">
        <v>0</v>
      </c>
      <c r="AU431" s="40" t="str" cm="1">
        <f t="array" ref="AU431">_xlfn.XLOOKUP(PROPERTIES[[#This Row],[VEHIDCODE]],GRAPHICS_PROPERTIES[VEHIDCODE],GRAPHICS_PROPERTIES[TEMPLATE_ID]&amp;GRAPHICS_PROPERTIES[TEMPLATE_AMENDMENT_CODE])</f>
        <v>TPL_01A</v>
      </c>
    </row>
    <row r="432" spans="1:47" x14ac:dyDescent="0.35">
      <c r="A432" s="2" t="s">
        <v>3065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0" t="str">
        <f>_xlfn.XLOOKUP(PROPERTIES[[#This Row],[VEHIDCODE]],CONTROL[VEHIDCODE],CONTROL[ENGLISH])</f>
        <v>Doncaster AL5</v>
      </c>
      <c r="F432" t="s">
        <v>603</v>
      </c>
      <c r="G432" s="40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17</v>
      </c>
      <c r="J432">
        <v>0</v>
      </c>
      <c r="K432">
        <v>7</v>
      </c>
      <c r="L432">
        <v>0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3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0">
        <v>220</v>
      </c>
      <c r="AA432" s="19">
        <f>IFERROR(PROPERTIES[[#This Row],[TE_STARTING_KN]]/(PROPERTIES[[#This Row],[WEIGHT]]*9.81),0)</f>
        <v>0.27686538050112636</v>
      </c>
      <c r="AB432" s="19">
        <v>0</v>
      </c>
      <c r="AC432" s="16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6">
        <v>0</v>
      </c>
      <c r="AF432" s="6">
        <v>0</v>
      </c>
      <c r="AG432" t="s">
        <v>234</v>
      </c>
      <c r="AH432" t="s">
        <v>229</v>
      </c>
      <c r="AI432" t="s">
        <v>229</v>
      </c>
      <c r="AJ432" s="2" t="s">
        <v>229</v>
      </c>
      <c r="AK432" s="2" t="s">
        <v>244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44" t="b">
        <v>0</v>
      </c>
      <c r="AP432" s="48" t="b">
        <v>0</v>
      </c>
      <c r="AQ432" s="48" t="b">
        <v>0</v>
      </c>
      <c r="AR432" s="48">
        <v>0</v>
      </c>
      <c r="AS432" s="48" t="b">
        <v>0</v>
      </c>
      <c r="AT432" s="7" t="b">
        <v>0</v>
      </c>
      <c r="AU432" s="40" t="str" cm="1">
        <f t="array" ref="AU432">_xlfn.XLOOKUP(PROPERTIES[[#This Row],[VEHIDCODE]],GRAPHICS_PROPERTIES[VEHIDCODE],GRAPHICS_PROPERTIES[TEMPLATE_ID]&amp;GRAPHICS_PROPERTIES[TEMPLATE_AMENDMENT_CODE])</f>
        <v>TPL_01A</v>
      </c>
    </row>
    <row r="433" spans="1:47" x14ac:dyDescent="0.35">
      <c r="A433" s="2" t="s">
        <v>3066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0" t="str">
        <f>_xlfn.XLOOKUP(PROPERTIES[[#This Row],[VEHIDCODE]],CONTROL[VEHIDCODE],CONTROL[ENGLISH])</f>
        <v>GE E60C-2</v>
      </c>
      <c r="F433" t="s">
        <v>683</v>
      </c>
      <c r="G433" s="40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17</v>
      </c>
      <c r="J433">
        <v>0</v>
      </c>
      <c r="K433">
        <v>8</v>
      </c>
      <c r="L433">
        <v>0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3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0">
        <v>520</v>
      </c>
      <c r="AA433" s="19">
        <f>IFERROR(PROPERTIES[[#This Row],[TE_STARTING_KN]]/(PROPERTIES[[#This Row],[WEIGHT]]*9.81),0)</f>
        <v>0.31589472929644163</v>
      </c>
      <c r="AB433" s="19">
        <v>0</v>
      </c>
      <c r="AC433" s="16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6">
        <v>0</v>
      </c>
      <c r="AF433" s="6">
        <v>0</v>
      </c>
      <c r="AG433" t="s">
        <v>235</v>
      </c>
      <c r="AH433" t="s">
        <v>229</v>
      </c>
      <c r="AI433" t="s">
        <v>229</v>
      </c>
      <c r="AJ433" s="2" t="s">
        <v>229</v>
      </c>
      <c r="AK433" s="2" t="s">
        <v>244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44" t="b">
        <v>0</v>
      </c>
      <c r="AP433" s="48" t="b">
        <v>0</v>
      </c>
      <c r="AQ433" s="48" t="b">
        <v>0</v>
      </c>
      <c r="AR433" s="48">
        <v>0</v>
      </c>
      <c r="AS433" s="48" t="b">
        <v>0</v>
      </c>
      <c r="AT433" s="7" t="b">
        <v>0</v>
      </c>
      <c r="AU433" s="40" t="str" cm="1">
        <f t="array" ref="AU433">_xlfn.XLOOKUP(PROPERTIES[[#This Row],[VEHIDCODE]],GRAPHICS_PROPERTIES[VEHIDCODE],GRAPHICS_PROPERTIES[TEMPLATE_ID]&amp;GRAPHICS_PROPERTIES[TEMPLATE_AMENDMENT_CODE])</f>
        <v>TPL_01A</v>
      </c>
    </row>
    <row r="434" spans="1:47" x14ac:dyDescent="0.35">
      <c r="A434" s="2" t="s">
        <v>3067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0" t="str">
        <f>_xlfn.XLOOKUP(PROPERTIES[[#This Row],[VEHIDCODE]],CONTROL[VEHIDCODE],CONTROL[ENGLISH])</f>
        <v>Alstom E 1400</v>
      </c>
      <c r="F434" t="s">
        <v>663</v>
      </c>
      <c r="G434" s="40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17</v>
      </c>
      <c r="J434">
        <v>0</v>
      </c>
      <c r="K434">
        <v>8</v>
      </c>
      <c r="L434">
        <v>0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3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0">
        <v>0</v>
      </c>
      <c r="AA434" s="19">
        <f>IFERROR(PROPERTIES[[#This Row],[TE_STARTING_KN]]/(PROPERTIES[[#This Row],[WEIGHT]]*9.81),0)</f>
        <v>0</v>
      </c>
      <c r="AB434" s="19">
        <v>0.35</v>
      </c>
      <c r="AC434" s="16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6">
        <v>0</v>
      </c>
      <c r="AF434" s="6">
        <v>0</v>
      </c>
      <c r="AG434" t="s">
        <v>233</v>
      </c>
      <c r="AH434" t="s">
        <v>229</v>
      </c>
      <c r="AI434" t="s">
        <v>229</v>
      </c>
      <c r="AJ434" s="2" t="s">
        <v>229</v>
      </c>
      <c r="AK434" s="2" t="s">
        <v>244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44" t="b">
        <v>0</v>
      </c>
      <c r="AP434" s="48" t="b">
        <v>0</v>
      </c>
      <c r="AQ434" s="48" t="b">
        <v>0</v>
      </c>
      <c r="AR434" s="48">
        <v>0</v>
      </c>
      <c r="AS434" s="48" t="b">
        <v>0</v>
      </c>
      <c r="AT434" s="7" t="b">
        <v>0</v>
      </c>
      <c r="AU434" s="40" t="str" cm="1">
        <f t="array" ref="AU434">_xlfn.XLOOKUP(PROPERTIES[[#This Row],[VEHIDCODE]],GRAPHICS_PROPERTIES[VEHIDCODE],GRAPHICS_PROPERTIES[TEMPLATE_ID]&amp;GRAPHICS_PROPERTIES[TEMPLATE_AMENDMENT_CODE])</f>
        <v>TPL_01A</v>
      </c>
    </row>
    <row r="435" spans="1:47" x14ac:dyDescent="0.35">
      <c r="A435" s="2" t="s">
        <v>3068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0" t="str">
        <f>_xlfn.XLOOKUP(PROPERTIES[[#This Row],[VEHIDCODE]],CONTROL[VEHIDCODE],CONTROL[ENGLISH])</f>
        <v>Toshiba EA</v>
      </c>
      <c r="F435" t="s">
        <v>697</v>
      </c>
      <c r="G435" s="40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17</v>
      </c>
      <c r="J435">
        <v>0</v>
      </c>
      <c r="K435">
        <v>6</v>
      </c>
      <c r="L435">
        <v>0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3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0">
        <v>0</v>
      </c>
      <c r="AA435" s="19">
        <f>IFERROR(PROPERTIES[[#This Row],[TE_STARTING_KN]]/(PROPERTIES[[#This Row],[WEIGHT]]*9.81),0)</f>
        <v>0</v>
      </c>
      <c r="AB435" s="19">
        <v>0.32</v>
      </c>
      <c r="AC435" s="16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6">
        <v>0</v>
      </c>
      <c r="AF435" s="6">
        <v>0</v>
      </c>
      <c r="AG435" t="s">
        <v>232</v>
      </c>
      <c r="AH435" t="s">
        <v>229</v>
      </c>
      <c r="AI435" t="s">
        <v>229</v>
      </c>
      <c r="AJ435" s="2" t="s">
        <v>229</v>
      </c>
      <c r="AK435" s="2" t="s">
        <v>244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44" t="b">
        <v>0</v>
      </c>
      <c r="AP435" s="48" t="b">
        <v>0</v>
      </c>
      <c r="AQ435" s="48" t="b">
        <v>0</v>
      </c>
      <c r="AR435" s="48">
        <v>0</v>
      </c>
      <c r="AS435" s="48" t="b">
        <v>0</v>
      </c>
      <c r="AT435" s="7" t="b">
        <v>0</v>
      </c>
      <c r="AU435" s="40" t="str" cm="1">
        <f t="array" ref="AU435">_xlfn.XLOOKUP(PROPERTIES[[#This Row],[VEHIDCODE]],GRAPHICS_PROPERTIES[VEHIDCODE],GRAPHICS_PROPERTIES[TEMPLATE_ID]&amp;GRAPHICS_PROPERTIES[TEMPLATE_AMENDMENT_CODE])</f>
        <v>TPL_01A</v>
      </c>
    </row>
    <row r="436" spans="1:47" x14ac:dyDescent="0.35">
      <c r="A436" s="2" t="s">
        <v>3069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0" t="str">
        <f>_xlfn.XLOOKUP(PROPERTIES[[#This Row],[VEHIDCODE]],CONTROL[VEHIDCODE],CONTROL[ENGLISH])</f>
        <v>ASEA-GMD GF6C</v>
      </c>
      <c r="F436" t="s">
        <v>565</v>
      </c>
      <c r="G436" s="40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17</v>
      </c>
      <c r="J436">
        <v>0</v>
      </c>
      <c r="K436">
        <v>8</v>
      </c>
      <c r="L436">
        <v>0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3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0">
        <v>605</v>
      </c>
      <c r="AA436" s="19">
        <f>IFERROR(PROPERTIES[[#This Row],[TE_STARTING_KN]]/(PROPERTIES[[#This Row],[WEIGHT]]*9.81),0)</f>
        <v>0.34262090837014381</v>
      </c>
      <c r="AB436" s="19">
        <v>0</v>
      </c>
      <c r="AC436" s="16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6">
        <v>0</v>
      </c>
      <c r="AF436" s="6">
        <v>0</v>
      </c>
      <c r="AG436" t="s">
        <v>235</v>
      </c>
      <c r="AH436" t="s">
        <v>229</v>
      </c>
      <c r="AI436" t="s">
        <v>229</v>
      </c>
      <c r="AJ436" s="2" t="s">
        <v>229</v>
      </c>
      <c r="AK436" s="2" t="s">
        <v>244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44" t="b">
        <v>0</v>
      </c>
      <c r="AP436" s="48" t="b">
        <v>0</v>
      </c>
      <c r="AQ436" s="48" t="b">
        <v>0</v>
      </c>
      <c r="AR436" s="48">
        <v>0</v>
      </c>
      <c r="AS436" s="48" t="b">
        <v>0</v>
      </c>
      <c r="AT436" s="7" t="b">
        <v>0</v>
      </c>
      <c r="AU436" s="40" t="str" cm="1">
        <f t="array" ref="AU436">_xlfn.XLOOKUP(PROPERTIES[[#This Row],[VEHIDCODE]],GRAPHICS_PROPERTIES[VEHIDCODE],GRAPHICS_PROPERTIES[TEMPLATE_ID]&amp;GRAPHICS_PROPERTIES[TEMPLATE_AMENDMENT_CODE])</f>
        <v>TPL_01A</v>
      </c>
    </row>
    <row r="437" spans="1:47" x14ac:dyDescent="0.35">
      <c r="A437" s="2" t="s">
        <v>3070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0" t="str">
        <f>_xlfn.XLOOKUP(PROPERTIES[[#This Row],[VEHIDCODE]],CONTROL[VEHIDCODE],CONTROL[ENGLISH])</f>
        <v>Alsthom BB 22200</v>
      </c>
      <c r="F437" t="s">
        <v>602</v>
      </c>
      <c r="G437" s="40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17</v>
      </c>
      <c r="J437">
        <v>0</v>
      </c>
      <c r="K437">
        <v>8</v>
      </c>
      <c r="L437">
        <v>0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3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0">
        <v>294</v>
      </c>
      <c r="AA437" s="19">
        <f>IFERROR(PROPERTIES[[#This Row],[TE_STARTING_KN]]/(PROPERTIES[[#This Row],[WEIGHT]]*9.81),0)</f>
        <v>0.3329935440027183</v>
      </c>
      <c r="AB437" s="19">
        <v>0</v>
      </c>
      <c r="AC437" s="16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6">
        <v>0</v>
      </c>
      <c r="AF437" s="6">
        <v>0</v>
      </c>
      <c r="AG437" t="s">
        <v>230</v>
      </c>
      <c r="AH437" t="s">
        <v>229</v>
      </c>
      <c r="AI437" t="s">
        <v>229</v>
      </c>
      <c r="AJ437" s="2" t="s">
        <v>229</v>
      </c>
      <c r="AK437" s="2" t="s">
        <v>244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44" t="b">
        <v>0</v>
      </c>
      <c r="AP437" s="48" t="b">
        <v>0</v>
      </c>
      <c r="AQ437" s="48" t="b">
        <v>0</v>
      </c>
      <c r="AR437" s="48">
        <v>0</v>
      </c>
      <c r="AS437" s="48" t="b">
        <v>0</v>
      </c>
      <c r="AT437" s="7" t="b">
        <v>0</v>
      </c>
      <c r="AU437" s="40" t="str" cm="1">
        <f t="array" ref="AU437">_xlfn.XLOOKUP(PROPERTIES[[#This Row],[VEHIDCODE]],GRAPHICS_PROPERTIES[VEHIDCODE],GRAPHICS_PROPERTIES[TEMPLATE_ID]&amp;GRAPHICS_PROPERTIES[TEMPLATE_AMENDMENT_CODE])</f>
        <v>TPL_01A</v>
      </c>
    </row>
    <row r="438" spans="1:47" x14ac:dyDescent="0.35">
      <c r="A438" s="2" t="s">
        <v>3071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0" t="str">
        <f>_xlfn.XLOOKUP(PROPERTIES[[#This Row],[VEHIDCODE]],CONTROL[VEHIDCODE],CONTROL[ENGLISH])</f>
        <v>GEC-Alsthom BB 26000</v>
      </c>
      <c r="F438" t="s">
        <v>602</v>
      </c>
      <c r="G438" s="40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17</v>
      </c>
      <c r="J438">
        <v>0</v>
      </c>
      <c r="K438">
        <v>8</v>
      </c>
      <c r="L438">
        <v>0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3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0">
        <v>320</v>
      </c>
      <c r="AA438" s="19">
        <f>IFERROR(PROPERTIES[[#This Row],[TE_STARTING_KN]]/(PROPERTIES[[#This Row],[WEIGHT]]*9.81),0)</f>
        <v>0.36244195265601992</v>
      </c>
      <c r="AB438" s="19">
        <v>0</v>
      </c>
      <c r="AC438" s="16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6">
        <v>0</v>
      </c>
      <c r="AF438" s="6">
        <v>0</v>
      </c>
      <c r="AG438" t="s">
        <v>230</v>
      </c>
      <c r="AH438" t="s">
        <v>229</v>
      </c>
      <c r="AI438" t="s">
        <v>229</v>
      </c>
      <c r="AJ438" s="2" t="s">
        <v>229</v>
      </c>
      <c r="AK438" s="2" t="s">
        <v>244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44" t="b">
        <v>0</v>
      </c>
      <c r="AP438" s="48" t="b">
        <v>0</v>
      </c>
      <c r="AQ438" s="48" t="b">
        <v>0</v>
      </c>
      <c r="AR438" s="48">
        <v>0</v>
      </c>
      <c r="AS438" s="48" t="b">
        <v>0</v>
      </c>
      <c r="AT438" s="7" t="b">
        <v>0</v>
      </c>
      <c r="AU438" s="40" t="str" cm="1">
        <f t="array" ref="AU438">_xlfn.XLOOKUP(PROPERTIES[[#This Row],[VEHIDCODE]],GRAPHICS_PROPERTIES[VEHIDCODE],GRAPHICS_PROPERTIES[TEMPLATE_ID]&amp;GRAPHICS_PROPERTIES[TEMPLATE_AMENDMENT_CODE])</f>
        <v>TPL_01A</v>
      </c>
    </row>
    <row r="439" spans="1:47" x14ac:dyDescent="0.35">
      <c r="A439" s="2" t="s">
        <v>3072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0" t="str">
        <f>_xlfn.XLOOKUP(PROPERTIES[[#This Row],[VEHIDCODE]],CONTROL[VEHIDCODE],CONTROL[ENGLISH])</f>
        <v>Alsthom BB 25500</v>
      </c>
      <c r="F439" t="s">
        <v>602</v>
      </c>
      <c r="G439" s="40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17</v>
      </c>
      <c r="J439">
        <v>0</v>
      </c>
      <c r="K439">
        <v>8</v>
      </c>
      <c r="L439">
        <v>0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3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0">
        <v>330</v>
      </c>
      <c r="AA439" s="19">
        <f>IFERROR(PROPERTIES[[#This Row],[TE_STARTING_KN]]/(PROPERTIES[[#This Row],[WEIGHT]]*9.81),0)</f>
        <v>0.42581194596059302</v>
      </c>
      <c r="AB439" s="19">
        <v>0</v>
      </c>
      <c r="AC439" s="16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6">
        <v>0</v>
      </c>
      <c r="AF439" s="6">
        <v>0</v>
      </c>
      <c r="AG439" t="s">
        <v>230</v>
      </c>
      <c r="AH439" t="s">
        <v>229</v>
      </c>
      <c r="AI439" t="s">
        <v>229</v>
      </c>
      <c r="AJ439" s="2" t="s">
        <v>229</v>
      </c>
      <c r="AK439" s="2" t="s">
        <v>244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44" t="b">
        <v>0</v>
      </c>
      <c r="AP439" s="48" t="b">
        <v>0</v>
      </c>
      <c r="AQ439" s="48" t="b">
        <v>0</v>
      </c>
      <c r="AR439" s="48">
        <v>0</v>
      </c>
      <c r="AS439" s="48" t="b">
        <v>0</v>
      </c>
      <c r="AT439" s="7" t="b">
        <v>0</v>
      </c>
      <c r="AU439" s="40" t="str" cm="1">
        <f t="array" ref="AU439">_xlfn.XLOOKUP(PROPERTIES[[#This Row],[VEHIDCODE]],GRAPHICS_PROPERTIES[VEHIDCODE],GRAPHICS_PROPERTIES[TEMPLATE_ID]&amp;GRAPHICS_PROPERTIES[TEMPLATE_AMENDMENT_CODE])</f>
        <v>TPL_01A</v>
      </c>
    </row>
    <row r="440" spans="1:47" x14ac:dyDescent="0.35">
      <c r="A440" s="2" t="s">
        <v>3073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0" t="str">
        <f>_xlfn.XLOOKUP(PROPERTIES[[#This Row],[VEHIDCODE]],CONTROL[VEHIDCODE],CONTROL[ENGLISH])</f>
        <v>Siemens EuroSprinter ES64U4</v>
      </c>
      <c r="F440" t="s">
        <v>584</v>
      </c>
      <c r="G440" s="40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17</v>
      </c>
      <c r="J440">
        <v>0</v>
      </c>
      <c r="K440">
        <v>8</v>
      </c>
      <c r="L440">
        <v>0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3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0">
        <v>300</v>
      </c>
      <c r="AA440" s="19">
        <f>IFERROR(PROPERTIES[[#This Row],[TE_STARTING_KN]]/(PROPERTIES[[#This Row],[WEIGHT]]*9.81),0)</f>
        <v>0.3555934855273451</v>
      </c>
      <c r="AB440" s="19">
        <v>0</v>
      </c>
      <c r="AC440" s="16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6">
        <v>0</v>
      </c>
      <c r="AF440" s="6">
        <v>0</v>
      </c>
      <c r="AG440" t="s">
        <v>239</v>
      </c>
      <c r="AH440" t="s">
        <v>229</v>
      </c>
      <c r="AI440" t="s">
        <v>229</v>
      </c>
      <c r="AJ440" s="2" t="s">
        <v>229</v>
      </c>
      <c r="AK440" s="2" t="s">
        <v>244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44" t="b">
        <v>0</v>
      </c>
      <c r="AP440" s="48" t="b">
        <v>0</v>
      </c>
      <c r="AQ440" s="48" t="b">
        <v>0</v>
      </c>
      <c r="AR440" s="48">
        <v>0</v>
      </c>
      <c r="AS440" s="48" t="b">
        <v>0</v>
      </c>
      <c r="AT440" s="7" t="b">
        <v>0</v>
      </c>
      <c r="AU440" s="40" t="str" cm="1">
        <f t="array" ref="AU440">_xlfn.XLOOKUP(PROPERTIES[[#This Row],[VEHIDCODE]],GRAPHICS_PROPERTIES[VEHIDCODE],GRAPHICS_PROPERTIES[TEMPLATE_ID]&amp;GRAPHICS_PROPERTIES[TEMPLATE_AMENDMENT_CODE])</f>
        <v>TPL_01A</v>
      </c>
    </row>
    <row r="441" spans="1:47" x14ac:dyDescent="0.35">
      <c r="A441" s="2" t="s">
        <v>3074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0" t="str">
        <f>_xlfn.XLOOKUP(PROPERTIES[[#This Row],[VEHIDCODE]],CONTROL[VEHIDCODE],CONTROL[ENGLISH])</f>
        <v>Toshiba EH500</v>
      </c>
      <c r="F441" t="s">
        <v>640</v>
      </c>
      <c r="G441" s="40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17</v>
      </c>
      <c r="J441">
        <v>0</v>
      </c>
      <c r="K441">
        <v>6</v>
      </c>
      <c r="L441">
        <v>0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3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0">
        <v>240.76</v>
      </c>
      <c r="AA441" s="19">
        <f>IFERROR(PROPERTIES[[#This Row],[TE_STARTING_KN]]/(PROPERTIES[[#This Row],[WEIGHT]]*9.81),0)</f>
        <v>0.1828785675980743</v>
      </c>
      <c r="AB441" s="19">
        <v>0</v>
      </c>
      <c r="AC441" s="16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6">
        <v>0</v>
      </c>
      <c r="AF441" s="6">
        <v>6</v>
      </c>
      <c r="AG441" t="s">
        <v>238</v>
      </c>
      <c r="AH441" t="s">
        <v>229</v>
      </c>
      <c r="AI441" t="s">
        <v>229</v>
      </c>
      <c r="AJ441" s="2" t="s">
        <v>229</v>
      </c>
      <c r="AK441" s="2" t="s">
        <v>244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44" t="b">
        <v>0</v>
      </c>
      <c r="AP441" s="48" t="b">
        <v>0</v>
      </c>
      <c r="AQ441" s="48" t="b">
        <v>0</v>
      </c>
      <c r="AR441" s="48">
        <v>0</v>
      </c>
      <c r="AS441" s="48" t="b">
        <v>0</v>
      </c>
      <c r="AT441" s="7" t="b">
        <v>0</v>
      </c>
      <c r="AU441" s="40" t="str" cm="1">
        <f t="array" ref="AU441">_xlfn.XLOOKUP(PROPERTIES[[#This Row],[VEHIDCODE]],GRAPHICS_PROPERTIES[VEHIDCODE],GRAPHICS_PROPERTIES[TEMPLATE_ID]&amp;GRAPHICS_PROPERTIES[TEMPLATE_AMENDMENT_CODE])</f>
        <v>TPL_03D</v>
      </c>
    </row>
    <row r="442" spans="1:47" x14ac:dyDescent="0.35">
      <c r="A442" s="2" t="s">
        <v>3075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0" t="str">
        <f>_xlfn.XLOOKUP(PROPERTIES[[#This Row],[VEHIDCODE]],CONTROL[VEHIDCODE],CONTROL[ENGLISH])</f>
        <v>ASEA-EMD AEM-7</v>
      </c>
      <c r="F442" t="s">
        <v>757</v>
      </c>
      <c r="G442" s="40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17</v>
      </c>
      <c r="J442">
        <v>0</v>
      </c>
      <c r="K442">
        <v>7</v>
      </c>
      <c r="L442">
        <v>0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3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0">
        <v>230</v>
      </c>
      <c r="AA442" s="19">
        <f>IFERROR(PROPERTIES[[#This Row],[TE_STARTING_KN]]/(PROPERTIES[[#This Row],[WEIGHT]]*9.81),0)</f>
        <v>0.254841997961264</v>
      </c>
      <c r="AB442" s="19">
        <v>0</v>
      </c>
      <c r="AC442" s="16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6">
        <v>0</v>
      </c>
      <c r="AF442" s="6">
        <v>0</v>
      </c>
      <c r="AG442" t="s">
        <v>235</v>
      </c>
      <c r="AH442" t="s">
        <v>229</v>
      </c>
      <c r="AI442" t="s">
        <v>229</v>
      </c>
      <c r="AJ442" s="2" t="s">
        <v>229</v>
      </c>
      <c r="AK442" s="2" t="s">
        <v>244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44" t="b">
        <v>0</v>
      </c>
      <c r="AP442" s="48" t="b">
        <v>0</v>
      </c>
      <c r="AQ442" s="48" t="b">
        <v>0</v>
      </c>
      <c r="AR442" s="48">
        <v>0</v>
      </c>
      <c r="AS442" s="48" t="b">
        <v>0</v>
      </c>
      <c r="AT442" s="7" t="b">
        <v>0</v>
      </c>
      <c r="AU442" s="40" t="str" cm="1">
        <f t="array" ref="AU442">_xlfn.XLOOKUP(PROPERTIES[[#This Row],[VEHIDCODE]],GRAPHICS_PROPERTIES[VEHIDCODE],GRAPHICS_PROPERTIES[TEMPLATE_ID]&amp;GRAPHICS_PROPERTIES[TEMPLATE_AMENDMENT_CODE])</f>
        <v>TPL_01A</v>
      </c>
    </row>
    <row r="443" spans="1:47" x14ac:dyDescent="0.35">
      <c r="A443" s="2" t="s">
        <v>3076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0" t="str">
        <f>_xlfn.XLOOKUP(PROPERTIES[[#This Row],[VEHIDCODE]],CONTROL[VEHIDCODE],CONTROL[ENGLISH])</f>
        <v>Bombardier-Alstom HHP-8</v>
      </c>
      <c r="F443" t="s">
        <v>757</v>
      </c>
      <c r="G443" s="40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17</v>
      </c>
      <c r="J443">
        <v>0</v>
      </c>
      <c r="K443">
        <v>8</v>
      </c>
      <c r="L443">
        <v>0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3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0">
        <v>316.89999999999998</v>
      </c>
      <c r="AA443" s="19">
        <f>IFERROR(PROPERTIES[[#This Row],[TE_STARTING_KN]]/(PROPERTIES[[#This Row],[WEIGHT]]*9.81),0)</f>
        <v>0.31983932338187943</v>
      </c>
      <c r="AB443" s="19">
        <v>0</v>
      </c>
      <c r="AC443" s="16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6">
        <v>0</v>
      </c>
      <c r="AF443" s="6">
        <v>0</v>
      </c>
      <c r="AG443" t="s">
        <v>235</v>
      </c>
      <c r="AH443" t="s">
        <v>229</v>
      </c>
      <c r="AI443" t="s">
        <v>229</v>
      </c>
      <c r="AJ443" s="2" t="s">
        <v>229</v>
      </c>
      <c r="AK443" s="2" t="s">
        <v>244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44" t="b">
        <v>0</v>
      </c>
      <c r="AP443" s="48" t="b">
        <v>0</v>
      </c>
      <c r="AQ443" s="48" t="b">
        <v>0</v>
      </c>
      <c r="AR443" s="48">
        <v>0</v>
      </c>
      <c r="AS443" s="48" t="b">
        <v>0</v>
      </c>
      <c r="AT443" s="7" t="b">
        <v>0</v>
      </c>
      <c r="AU443" s="40" t="str" cm="1">
        <f t="array" ref="AU443">_xlfn.XLOOKUP(PROPERTIES[[#This Row],[VEHIDCODE]],GRAPHICS_PROPERTIES[VEHIDCODE],GRAPHICS_PROPERTIES[TEMPLATE_ID]&amp;GRAPHICS_PROPERTIES[TEMPLATE_AMENDMENT_CODE])</f>
        <v>TPL_01A</v>
      </c>
    </row>
    <row r="444" spans="1:47" x14ac:dyDescent="0.35">
      <c r="A444" s="2" t="s">
        <v>3077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0" t="str">
        <f>_xlfn.XLOOKUP(PROPERTIES[[#This Row],[VEHIDCODE]],CONTROL[VEHIDCODE],CONTROL[ENGLISH])</f>
        <v>Skoda 109E</v>
      </c>
      <c r="F444" t="s">
        <v>583</v>
      </c>
      <c r="G444" s="40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17</v>
      </c>
      <c r="J444">
        <v>0</v>
      </c>
      <c r="K444">
        <v>8</v>
      </c>
      <c r="L444">
        <v>0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3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0">
        <v>300</v>
      </c>
      <c r="AA444" s="19">
        <f>IFERROR(PROPERTIES[[#This Row],[TE_STARTING_KN]]/(PROPERTIES[[#This Row],[WEIGHT]]*9.81),0)</f>
        <v>0.3475118154017236</v>
      </c>
      <c r="AB444" s="19">
        <v>0</v>
      </c>
      <c r="AC444" s="16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6">
        <v>0</v>
      </c>
      <c r="AF444" s="6">
        <v>0</v>
      </c>
      <c r="AG444" t="s">
        <v>236</v>
      </c>
      <c r="AH444" t="s">
        <v>229</v>
      </c>
      <c r="AI444" t="s">
        <v>229</v>
      </c>
      <c r="AJ444" s="2" t="s">
        <v>229</v>
      </c>
      <c r="AK444" s="2" t="s">
        <v>244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44" t="b">
        <v>0</v>
      </c>
      <c r="AP444" s="48" t="b">
        <v>0</v>
      </c>
      <c r="AQ444" s="48" t="b">
        <v>0</v>
      </c>
      <c r="AR444" s="48">
        <v>0</v>
      </c>
      <c r="AS444" s="48" t="b">
        <v>0</v>
      </c>
      <c r="AT444" s="7" t="b">
        <v>0</v>
      </c>
      <c r="AU444" s="40" t="str" cm="1">
        <f t="array" ref="AU444">_xlfn.XLOOKUP(PROPERTIES[[#This Row],[VEHIDCODE]],GRAPHICS_PROPERTIES[VEHIDCODE],GRAPHICS_PROPERTIES[TEMPLATE_ID]&amp;GRAPHICS_PROPERTIES[TEMPLATE_AMENDMENT_CODE])</f>
        <v>TPL_01A</v>
      </c>
    </row>
    <row r="445" spans="1:47" x14ac:dyDescent="0.35">
      <c r="A445" s="2" t="s">
        <v>3078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0" t="str">
        <f>_xlfn.XLOOKUP(PROPERTIES[[#This Row],[VEHIDCODE]],CONTROL[VEHIDCODE],CONTROL[ENGLISH])</f>
        <v>CAF/Macosa 252</v>
      </c>
      <c r="F445" t="s">
        <v>595</v>
      </c>
      <c r="G445" s="40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17</v>
      </c>
      <c r="J445">
        <v>0</v>
      </c>
      <c r="K445">
        <v>8</v>
      </c>
      <c r="L445">
        <v>0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3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0">
        <v>300</v>
      </c>
      <c r="AA445" s="19">
        <f>IFERROR(PROPERTIES[[#This Row],[TE_STARTING_KN]]/(PROPERTIES[[#This Row],[WEIGHT]]*9.81),0)</f>
        <v>0.33978933061501865</v>
      </c>
      <c r="AB445" s="19">
        <v>0</v>
      </c>
      <c r="AC445" s="16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6">
        <v>0</v>
      </c>
      <c r="AF445" s="6">
        <v>0</v>
      </c>
      <c r="AG445" t="s">
        <v>231</v>
      </c>
      <c r="AH445" t="s">
        <v>229</v>
      </c>
      <c r="AI445" t="s">
        <v>229</v>
      </c>
      <c r="AJ445" s="2" t="s">
        <v>229</v>
      </c>
      <c r="AK445" s="2" t="s">
        <v>244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44" t="b">
        <v>0</v>
      </c>
      <c r="AP445" s="48" t="b">
        <v>0</v>
      </c>
      <c r="AQ445" s="48" t="b">
        <v>0</v>
      </c>
      <c r="AR445" s="48">
        <v>0</v>
      </c>
      <c r="AS445" s="48" t="b">
        <v>0</v>
      </c>
      <c r="AT445" s="7" t="b">
        <v>0</v>
      </c>
      <c r="AU445" s="40" t="str" cm="1">
        <f t="array" ref="AU445">_xlfn.XLOOKUP(PROPERTIES[[#This Row],[VEHIDCODE]],GRAPHICS_PROPERTIES[VEHIDCODE],GRAPHICS_PROPERTIES[TEMPLATE_ID]&amp;GRAPHICS_PROPERTIES[TEMPLATE_AMENDMENT_CODE])</f>
        <v>TPL_01A</v>
      </c>
    </row>
    <row r="446" spans="1:47" x14ac:dyDescent="0.35">
      <c r="A446" s="2" t="s">
        <v>3079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0" t="str">
        <f>_xlfn.XLOOKUP(PROPERTIES[[#This Row],[VEHIDCODE]],CONTROL[VEHIDCODE],CONTROL[ENGLISH])</f>
        <v>Bombardier Traxx F140 MS</v>
      </c>
      <c r="F446" t="s">
        <v>584</v>
      </c>
      <c r="G446" s="40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17</v>
      </c>
      <c r="J446">
        <v>0</v>
      </c>
      <c r="K446">
        <v>8</v>
      </c>
      <c r="L446">
        <v>0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3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0">
        <v>0</v>
      </c>
      <c r="AA446" s="19">
        <f>IFERROR(PROPERTIES[[#This Row],[TE_STARTING_KN]]/(PROPERTIES[[#This Row],[WEIGHT]]*9.81),0)</f>
        <v>0</v>
      </c>
      <c r="AB446" s="19">
        <v>0.35</v>
      </c>
      <c r="AC446" s="16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6">
        <v>0</v>
      </c>
      <c r="AF446" s="6">
        <v>0</v>
      </c>
      <c r="AG446" t="s">
        <v>239</v>
      </c>
      <c r="AH446" t="s">
        <v>229</v>
      </c>
      <c r="AI446" t="s">
        <v>229</v>
      </c>
      <c r="AJ446" s="2" t="s">
        <v>229</v>
      </c>
      <c r="AK446" s="2" t="s">
        <v>244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44" t="b">
        <v>0</v>
      </c>
      <c r="AP446" s="48" t="b">
        <v>0</v>
      </c>
      <c r="AQ446" s="48" t="b">
        <v>0</v>
      </c>
      <c r="AR446" s="48">
        <v>0</v>
      </c>
      <c r="AS446" s="48" t="b">
        <v>0</v>
      </c>
      <c r="AT446" s="7" t="b">
        <v>0</v>
      </c>
      <c r="AU446" s="40" t="str" cm="1">
        <f t="array" ref="AU446">_xlfn.XLOOKUP(PROPERTIES[[#This Row],[VEHIDCODE]],GRAPHICS_PROPERTIES[VEHIDCODE],GRAPHICS_PROPERTIES[TEMPLATE_ID]&amp;GRAPHICS_PROPERTIES[TEMPLATE_AMENDMENT_CODE])</f>
        <v>TPL_01A</v>
      </c>
    </row>
    <row r="447" spans="1:47" x14ac:dyDescent="0.35">
      <c r="A447" s="2" t="s">
        <v>3080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0" t="str">
        <f>_xlfn.XLOOKUP(PROPERTIES[[#This Row],[VEHIDCODE]],CONTROL[VEHIDCODE],CONTROL[ENGLISH])</f>
        <v>TIBB E.550</v>
      </c>
      <c r="F447" t="s">
        <v>636</v>
      </c>
      <c r="G447" s="40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17</v>
      </c>
      <c r="J447">
        <v>0</v>
      </c>
      <c r="K447">
        <v>6</v>
      </c>
      <c r="L447">
        <v>0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3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0">
        <v>100</v>
      </c>
      <c r="AA447" s="19">
        <f>IFERROR(PROPERTIES[[#This Row],[TE_STARTING_KN]]/(PROPERTIES[[#This Row],[WEIGHT]]*9.81),0)</f>
        <v>0.15927624872578999</v>
      </c>
      <c r="AB447" s="19">
        <v>0</v>
      </c>
      <c r="AC447" s="16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6">
        <v>0</v>
      </c>
      <c r="AF447" s="6">
        <v>0</v>
      </c>
      <c r="AG447" t="s">
        <v>231</v>
      </c>
      <c r="AH447" t="s">
        <v>229</v>
      </c>
      <c r="AI447" t="s">
        <v>229</v>
      </c>
      <c r="AJ447" s="2" t="s">
        <v>229</v>
      </c>
      <c r="AK447" s="2" t="s">
        <v>244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44" t="b">
        <v>0</v>
      </c>
      <c r="AP447" s="48" t="b">
        <v>0</v>
      </c>
      <c r="AQ447" s="48" t="b">
        <v>0</v>
      </c>
      <c r="AR447" s="48">
        <v>0</v>
      </c>
      <c r="AS447" s="48" t="b">
        <v>0</v>
      </c>
      <c r="AT447" s="7" t="b">
        <v>0</v>
      </c>
      <c r="AU447" s="40" t="str" cm="1">
        <f t="array" ref="AU447">_xlfn.XLOOKUP(PROPERTIES[[#This Row],[VEHIDCODE]],GRAPHICS_PROPERTIES[VEHIDCODE],GRAPHICS_PROPERTIES[TEMPLATE_ID]&amp;GRAPHICS_PROPERTIES[TEMPLATE_AMENDMENT_CODE])</f>
        <v>TPL_03C</v>
      </c>
    </row>
    <row r="448" spans="1:47" x14ac:dyDescent="0.35">
      <c r="A448" s="2" t="s">
        <v>3081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0" t="str">
        <f>_xlfn.XLOOKUP(PROPERTIES[[#This Row],[VEHIDCODE]],CONTROL[VEHIDCODE],CONTROL[ENGLISH])</f>
        <v>Hitachi EF81</v>
      </c>
      <c r="F448" t="s">
        <v>640</v>
      </c>
      <c r="G448" s="40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17</v>
      </c>
      <c r="J448">
        <v>0</v>
      </c>
      <c r="K448">
        <v>8</v>
      </c>
      <c r="L448">
        <v>0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3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0">
        <v>0</v>
      </c>
      <c r="AA448" s="19">
        <f>IFERROR(PROPERTIES[[#This Row],[TE_STARTING_KN]]/(PROPERTIES[[#This Row],[WEIGHT]]*9.81),0)</f>
        <v>0</v>
      </c>
      <c r="AB448" s="19">
        <v>0.28999999999999998</v>
      </c>
      <c r="AC448" s="16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6">
        <v>0</v>
      </c>
      <c r="AF448" s="6">
        <v>0</v>
      </c>
      <c r="AG448" t="s">
        <v>238</v>
      </c>
      <c r="AH448" t="s">
        <v>229</v>
      </c>
      <c r="AI448" t="s">
        <v>229</v>
      </c>
      <c r="AJ448" s="2" t="s">
        <v>229</v>
      </c>
      <c r="AK448" s="2" t="s">
        <v>244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44" t="b">
        <v>0</v>
      </c>
      <c r="AP448" s="48" t="b">
        <v>0</v>
      </c>
      <c r="AQ448" s="48" t="b">
        <v>0</v>
      </c>
      <c r="AR448" s="48">
        <v>0</v>
      </c>
      <c r="AS448" s="48" t="b">
        <v>0</v>
      </c>
      <c r="AT448" s="7" t="b">
        <v>0</v>
      </c>
      <c r="AU448" s="40" t="str" cm="1">
        <f t="array" ref="AU448">_xlfn.XLOOKUP(PROPERTIES[[#This Row],[VEHIDCODE]],GRAPHICS_PROPERTIES[VEHIDCODE],GRAPHICS_PROPERTIES[TEMPLATE_ID]&amp;GRAPHICS_PROPERTIES[TEMPLATE_AMENDMENT_CODE])</f>
        <v>TPL_01A</v>
      </c>
    </row>
    <row r="449" spans="1:47" x14ac:dyDescent="0.35">
      <c r="A449" s="2" t="s">
        <v>3082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0" t="str">
        <f>_xlfn.XLOOKUP(PROPERTIES[[#This Row],[VEHIDCODE]],CONTROL[VEHIDCODE],CONTROL[ENGLISH])</f>
        <v>ABB/Brush Class 92</v>
      </c>
      <c r="F449" t="s">
        <v>603</v>
      </c>
      <c r="G449" s="40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17</v>
      </c>
      <c r="J449">
        <v>0</v>
      </c>
      <c r="K449">
        <v>8</v>
      </c>
      <c r="L449">
        <v>0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3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0">
        <v>360</v>
      </c>
      <c r="AA449" s="19">
        <f>IFERROR(PROPERTIES[[#This Row],[TE_STARTING_KN]]/(PROPERTIES[[#This Row],[WEIGHT]]*9.81),0)</f>
        <v>0.29124799767001597</v>
      </c>
      <c r="AB449" s="19">
        <v>0</v>
      </c>
      <c r="AC449" s="16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6">
        <v>0</v>
      </c>
      <c r="AF449" s="6">
        <v>0</v>
      </c>
      <c r="AG449" t="s">
        <v>234</v>
      </c>
      <c r="AH449" t="s">
        <v>230</v>
      </c>
      <c r="AI449" t="s">
        <v>236</v>
      </c>
      <c r="AJ449" s="2" t="s">
        <v>229</v>
      </c>
      <c r="AK449" s="2" t="s">
        <v>244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44" t="b">
        <v>0</v>
      </c>
      <c r="AP449" s="48" t="b">
        <v>0</v>
      </c>
      <c r="AQ449" s="48" t="b">
        <v>0</v>
      </c>
      <c r="AR449" s="48">
        <v>0</v>
      </c>
      <c r="AS449" s="48" t="b">
        <v>0</v>
      </c>
      <c r="AT449" s="7" t="b">
        <v>0</v>
      </c>
      <c r="AU449" s="40" t="str" cm="1">
        <f t="array" ref="AU449">_xlfn.XLOOKUP(PROPERTIES[[#This Row],[VEHIDCODE]],GRAPHICS_PROPERTIES[VEHIDCODE],GRAPHICS_PROPERTIES[TEMPLATE_ID]&amp;GRAPHICS_PROPERTIES[TEMPLATE_AMENDMENT_CODE])</f>
        <v>TPL_01A</v>
      </c>
    </row>
    <row r="450" spans="1:47" x14ac:dyDescent="0.35">
      <c r="A450" s="2" t="s">
        <v>3083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0" t="str">
        <f>_xlfn.XLOOKUP(PROPERTIES[[#This Row],[VEHIDCODE]],CONTROL[VEHIDCODE],CONTROL[ENGLISH])</f>
        <v>Siemens ACS-64</v>
      </c>
      <c r="F450" t="s">
        <v>757</v>
      </c>
      <c r="G450" s="40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17</v>
      </c>
      <c r="J450">
        <v>0</v>
      </c>
      <c r="K450">
        <v>8</v>
      </c>
      <c r="L450">
        <v>0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3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0">
        <v>320</v>
      </c>
      <c r="AA450" s="19">
        <f>IFERROR(PROPERTIES[[#This Row],[TE_STARTING_KN]]/(PROPERTIES[[#This Row],[WEIGHT]]*9.81),0)</f>
        <v>0.33285485448001834</v>
      </c>
      <c r="AB450" s="19">
        <v>0</v>
      </c>
      <c r="AC450" s="16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6">
        <v>0</v>
      </c>
      <c r="AF450" s="6">
        <v>0</v>
      </c>
      <c r="AG450" t="s">
        <v>235</v>
      </c>
      <c r="AH450" t="s">
        <v>229</v>
      </c>
      <c r="AI450" t="s">
        <v>229</v>
      </c>
      <c r="AJ450" s="2" t="s">
        <v>229</v>
      </c>
      <c r="AK450" s="2" t="s">
        <v>244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44" t="b">
        <v>0</v>
      </c>
      <c r="AP450" s="48" t="b">
        <v>0</v>
      </c>
      <c r="AQ450" s="48" t="b">
        <v>0</v>
      </c>
      <c r="AR450" s="48">
        <v>0</v>
      </c>
      <c r="AS450" s="48" t="b">
        <v>0</v>
      </c>
      <c r="AT450" s="7" t="b">
        <v>0</v>
      </c>
      <c r="AU450" s="40" t="str" cm="1">
        <f t="array" ref="AU450">_xlfn.XLOOKUP(PROPERTIES[[#This Row],[VEHIDCODE]],GRAPHICS_PROPERTIES[VEHIDCODE],GRAPHICS_PROPERTIES[TEMPLATE_ID]&amp;GRAPHICS_PROPERTIES[TEMPLATE_AMENDMENT_CODE])</f>
        <v>TPL_01A</v>
      </c>
    </row>
    <row r="451" spans="1:47" x14ac:dyDescent="0.35">
      <c r="A451" s="2" t="s">
        <v>3084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0" t="str">
        <f>_xlfn.XLOOKUP(PROPERTIES[[#This Row],[VEHIDCODE]],CONTROL[VEHIDCODE],CONTROL[ENGLISH])</f>
        <v>Alsthom CC 40100</v>
      </c>
      <c r="F451" t="s">
        <v>602</v>
      </c>
      <c r="G451" s="40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17</v>
      </c>
      <c r="J451">
        <v>0</v>
      </c>
      <c r="K451">
        <v>8</v>
      </c>
      <c r="L451">
        <v>0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3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0">
        <v>210</v>
      </c>
      <c r="AA451" s="19">
        <f>IFERROR(PROPERTIES[[#This Row],[TE_STARTING_KN]]/(PROPERTIES[[#This Row],[WEIGHT]]*9.81),0)</f>
        <v>0.22068791576026986</v>
      </c>
      <c r="AB451" s="19">
        <v>0</v>
      </c>
      <c r="AC451" s="16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6">
        <v>0</v>
      </c>
      <c r="AF451" s="6">
        <v>0</v>
      </c>
      <c r="AG451" t="s">
        <v>230</v>
      </c>
      <c r="AH451" t="s">
        <v>229</v>
      </c>
      <c r="AI451" t="s">
        <v>229</v>
      </c>
      <c r="AJ451" s="2" t="s">
        <v>229</v>
      </c>
      <c r="AK451" s="2" t="s">
        <v>244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44" t="b">
        <v>0</v>
      </c>
      <c r="AP451" s="48" t="b">
        <v>0</v>
      </c>
      <c r="AQ451" s="48" t="b">
        <v>0</v>
      </c>
      <c r="AR451" s="48">
        <v>0</v>
      </c>
      <c r="AS451" s="48" t="b">
        <v>0</v>
      </c>
      <c r="AT451" s="7" t="b">
        <v>0</v>
      </c>
      <c r="AU451" s="40" t="str" cm="1">
        <f t="array" ref="AU451">_xlfn.XLOOKUP(PROPERTIES[[#This Row],[VEHIDCODE]],GRAPHICS_PROPERTIES[VEHIDCODE],GRAPHICS_PROPERTIES[TEMPLATE_ID]&amp;GRAPHICS_PROPERTIES[TEMPLATE_AMENDMENT_CODE])</f>
        <v>TPL_01A</v>
      </c>
    </row>
    <row r="452" spans="1:47" x14ac:dyDescent="0.35">
      <c r="A452" s="2" t="s">
        <v>3085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0" t="str">
        <f>_xlfn.XLOOKUP(PROPERTIES[[#This Row],[VEHIDCODE]],CONTROL[VEHIDCODE],CONTROL[ENGLISH])</f>
        <v>Alsthom Class 13 HLE</v>
      </c>
      <c r="F452" t="s">
        <v>548</v>
      </c>
      <c r="G452" s="40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17</v>
      </c>
      <c r="J452">
        <v>0</v>
      </c>
      <c r="K452">
        <v>8</v>
      </c>
      <c r="L452">
        <v>0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3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0">
        <v>288</v>
      </c>
      <c r="AA452" s="19">
        <f>IFERROR(PROPERTIES[[#This Row],[TE_STARTING_KN]]/(PROPERTIES[[#This Row],[WEIGHT]]*9.81),0)</f>
        <v>0.3261977573904179</v>
      </c>
      <c r="AB452" s="19">
        <v>0</v>
      </c>
      <c r="AC452" s="16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6">
        <v>0</v>
      </c>
      <c r="AF452" s="6">
        <v>0</v>
      </c>
      <c r="AG452" t="s">
        <v>230</v>
      </c>
      <c r="AH452" t="s">
        <v>229</v>
      </c>
      <c r="AI452" t="s">
        <v>229</v>
      </c>
      <c r="AJ452" s="2" t="s">
        <v>229</v>
      </c>
      <c r="AK452" s="2" t="s">
        <v>244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44" t="b">
        <v>0</v>
      </c>
      <c r="AP452" s="48" t="b">
        <v>0</v>
      </c>
      <c r="AQ452" s="48" t="b">
        <v>0</v>
      </c>
      <c r="AR452" s="48">
        <v>0</v>
      </c>
      <c r="AS452" s="48" t="b">
        <v>0</v>
      </c>
      <c r="AT452" s="7" t="b">
        <v>0</v>
      </c>
      <c r="AU452" s="40" t="str" cm="1">
        <f t="array" ref="AU452">_xlfn.XLOOKUP(PROPERTIES[[#This Row],[VEHIDCODE]],GRAPHICS_PROPERTIES[VEHIDCODE],GRAPHICS_PROPERTIES[TEMPLATE_ID]&amp;GRAPHICS_PROPERTIES[TEMPLATE_AMENDMENT_CODE])</f>
        <v>TPL_01A</v>
      </c>
    </row>
    <row r="453" spans="1:47" x14ac:dyDescent="0.35">
      <c r="A453" s="2" t="s">
        <v>3086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0" t="str">
        <f>_xlfn.XLOOKUP(PROPERTIES[[#This Row],[VEHIDCODE]],CONTROL[VEHIDCODE],CONTROL[ENGLISH])</f>
        <v>LHB VT 04.0 'Flying Hamburger'</v>
      </c>
      <c r="F453" t="s">
        <v>584</v>
      </c>
      <c r="G453" s="40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15</v>
      </c>
      <c r="J453">
        <f>110/2</f>
        <v>55</v>
      </c>
      <c r="K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3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0">
        <f>53/2</f>
        <v>26.5</v>
      </c>
      <c r="AA453" s="19">
        <f>IFERROR(PROPERTIES[[#This Row],[TE_STARTING_KN]]/(PROPERTIES[[#This Row],[WEIGHT]]*9.81),0)</f>
        <v>6.3560592432691729E-2</v>
      </c>
      <c r="AB453" s="19">
        <v>0</v>
      </c>
      <c r="AC453" s="16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6">
        <f>INT(139/2)</f>
        <v>69</v>
      </c>
      <c r="AF453" s="6">
        <v>8</v>
      </c>
      <c r="AG453" t="s">
        <v>230</v>
      </c>
      <c r="AH453" t="s">
        <v>229</v>
      </c>
      <c r="AI453" t="s">
        <v>229</v>
      </c>
      <c r="AJ453" s="2" t="s">
        <v>229</v>
      </c>
      <c r="AK453" s="2" t="s">
        <v>244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44" t="b">
        <v>0</v>
      </c>
      <c r="AP453" s="48" t="b">
        <v>0</v>
      </c>
      <c r="AQ453" s="48" t="b">
        <v>0</v>
      </c>
      <c r="AR453" s="48">
        <v>0</v>
      </c>
      <c r="AS453" s="48" t="b">
        <v>0</v>
      </c>
      <c r="AT453" s="7" t="b">
        <v>0</v>
      </c>
      <c r="AU453" s="40" t="str" cm="1">
        <f t="array" ref="AU453">_xlfn.XLOOKUP(PROPERTIES[[#This Row],[VEHIDCODE]],GRAPHICS_PROPERTIES[VEHIDCODE],GRAPHICS_PROPERTIES[TEMPLATE_ID]&amp;GRAPHICS_PROPERTIES[TEMPLATE_AMENDMENT_CODE])</f>
        <v>TPL_02A</v>
      </c>
    </row>
    <row r="454" spans="1:47" x14ac:dyDescent="0.35">
      <c r="A454" s="2" t="s">
        <v>3087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0" t="str">
        <f>_xlfn.XLOOKUP(PROPERTIES[[#This Row],[VEHIDCODE]],CONTROL[VEHIDCODE],CONTROL[ENGLISH])</f>
        <v>Harland &amp; Wolf 'Silver City Comet'</v>
      </c>
      <c r="F454" t="s">
        <v>541</v>
      </c>
      <c r="G454" s="40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0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_xlfn.XLOOKUP("LOADINGSPEEDDEF_"&amp;PROPERTIES[[#This Row],[LOADINGSPEED]],LOADINGSPEEDDEF[TYPE],LOADINGSPEEDDEF[SPEED])</f>
        <v>20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3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0">
        <f>85/2</f>
        <v>42.5</v>
      </c>
      <c r="AA454" s="19">
        <f>IFERROR(PROPERTIES[[#This Row],[TE_STARTING_KN]]/(PROPERTIES[[#This Row],[WEIGHT]]*9.81),0)</f>
        <v>0.13538481141692149</v>
      </c>
      <c r="AB454" s="19">
        <v>0</v>
      </c>
      <c r="AC454" s="16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6">
        <v>60</v>
      </c>
      <c r="AF454" s="6">
        <v>7</v>
      </c>
      <c r="AG454" t="s">
        <v>232</v>
      </c>
      <c r="AH454" t="s">
        <v>229</v>
      </c>
      <c r="AI454" t="s">
        <v>229</v>
      </c>
      <c r="AJ454" s="2" t="s">
        <v>229</v>
      </c>
      <c r="AK454" s="2" t="s">
        <v>244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44" t="b">
        <v>0</v>
      </c>
      <c r="AP454" s="48" t="b">
        <v>0</v>
      </c>
      <c r="AQ454" s="48" t="b">
        <v>0</v>
      </c>
      <c r="AR454" s="48">
        <v>0</v>
      </c>
      <c r="AS454" s="48" t="b">
        <v>0</v>
      </c>
      <c r="AT454" s="7" t="b">
        <v>0</v>
      </c>
      <c r="AU454" s="40" t="str" cm="1">
        <f t="array" ref="AU454">_xlfn.XLOOKUP(PROPERTIES[[#This Row],[VEHIDCODE]],GRAPHICS_PROPERTIES[VEHIDCODE],GRAPHICS_PROPERTIES[TEMPLATE_ID]&amp;GRAPHICS_PROPERTIES[TEMPLATE_AMENDMENT_CODE])</f>
        <v>TPL_02A</v>
      </c>
    </row>
    <row r="455" spans="1:47" x14ac:dyDescent="0.35">
      <c r="A455" s="2" t="s">
        <v>3088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0" t="str">
        <f>_xlfn.XLOOKUP(PROPERTIES[[#This Row],[VEHIDCODE]],CONTROL[VEHIDCODE],CONTROL[ENGLISH])</f>
        <v>Tatra M131</v>
      </c>
      <c r="F455" t="s">
        <v>583</v>
      </c>
      <c r="G455" s="40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15</v>
      </c>
      <c r="J455">
        <v>60</v>
      </c>
      <c r="K455">
        <v>6</v>
      </c>
      <c r="L455">
        <v>0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3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0">
        <f>29/2</f>
        <v>14.5</v>
      </c>
      <c r="AA455" s="19">
        <f>IFERROR(PROPERTIES[[#This Row],[TE_STARTING_KN]]/(PROPERTIES[[#This Row],[WEIGHT]]*9.81),0)</f>
        <v>0.17808236002112421</v>
      </c>
      <c r="AB455" s="19">
        <v>0</v>
      </c>
      <c r="AC455" s="16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6">
        <v>69</v>
      </c>
      <c r="AF455" s="6">
        <v>6</v>
      </c>
      <c r="AG455" t="s">
        <v>236</v>
      </c>
      <c r="AH455" t="s">
        <v>229</v>
      </c>
      <c r="AI455" t="s">
        <v>229</v>
      </c>
      <c r="AJ455" s="2" t="s">
        <v>229</v>
      </c>
      <c r="AK455" s="2" t="s">
        <v>244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44" t="b">
        <v>0</v>
      </c>
      <c r="AP455" s="48" t="b">
        <v>0</v>
      </c>
      <c r="AQ455" s="48" t="b">
        <v>0</v>
      </c>
      <c r="AR455" s="48">
        <v>0</v>
      </c>
      <c r="AS455" s="48" t="b">
        <v>0</v>
      </c>
      <c r="AT455" s="7" t="b">
        <v>0</v>
      </c>
      <c r="AU455" s="40" t="str" cm="1">
        <f t="array" ref="AU455">_xlfn.XLOOKUP(PROPERTIES[[#This Row],[VEHIDCODE]],GRAPHICS_PROPERTIES[VEHIDCODE],GRAPHICS_PROPERTIES[TEMPLATE_ID]&amp;GRAPHICS_PROPERTIES[TEMPLATE_AMENDMENT_CODE])</f>
        <v>TPL_02A</v>
      </c>
    </row>
    <row r="456" spans="1:47" x14ac:dyDescent="0.35">
      <c r="A456" s="2" t="s">
        <v>3089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0" t="str">
        <f>_xlfn.XLOOKUP(PROPERTIES[[#This Row],[VEHIDCODE]],CONTROL[VEHIDCODE],CONTROL[ENGLISH])</f>
        <v>MAN VT 08.5</v>
      </c>
      <c r="F456" t="s">
        <v>584</v>
      </c>
      <c r="G456" s="40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15</v>
      </c>
      <c r="J456">
        <f>108/2</f>
        <v>54</v>
      </c>
      <c r="K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3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0">
        <f>105/2</f>
        <v>52.5</v>
      </c>
      <c r="AA456" s="19">
        <f>IFERROR(PROPERTIES[[#This Row],[TE_STARTING_KN]]/(PROPERTIES[[#This Row],[WEIGHT]]*9.81),0)</f>
        <v>0.13268632951702175</v>
      </c>
      <c r="AB456" s="19">
        <v>0</v>
      </c>
      <c r="AC456" s="16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6">
        <f>INT(108/3)</f>
        <v>36</v>
      </c>
      <c r="AF456" s="6">
        <v>8</v>
      </c>
      <c r="AG456" t="s">
        <v>230</v>
      </c>
      <c r="AH456" t="s">
        <v>229</v>
      </c>
      <c r="AI456" t="s">
        <v>229</v>
      </c>
      <c r="AJ456" s="2" t="s">
        <v>229</v>
      </c>
      <c r="AK456" s="2" t="s">
        <v>244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44" t="b">
        <v>0</v>
      </c>
      <c r="AP456" s="48" t="b">
        <v>0</v>
      </c>
      <c r="AQ456" s="48" t="b">
        <v>0</v>
      </c>
      <c r="AR456" s="48">
        <v>0</v>
      </c>
      <c r="AS456" s="48" t="b">
        <v>0</v>
      </c>
      <c r="AT456" s="7" t="b">
        <v>0</v>
      </c>
      <c r="AU456" s="40" t="str" cm="1">
        <f t="array" ref="AU456">_xlfn.XLOOKUP(PROPERTIES[[#This Row],[VEHIDCODE]],GRAPHICS_PROPERTIES[VEHIDCODE],GRAPHICS_PROPERTIES[TEMPLATE_ID]&amp;GRAPHICS_PROPERTIES[TEMPLATE_AMENDMENT_CODE])</f>
        <v>TPL_02A</v>
      </c>
    </row>
    <row r="457" spans="1:47" x14ac:dyDescent="0.35">
      <c r="A457" s="2" t="s">
        <v>3090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0" t="str">
        <f>_xlfn.XLOOKUP(PROPERTIES[[#This Row],[VEHIDCODE]],CONTROL[VEHIDCODE],CONTROL[ENGLISH])</f>
        <v>South Australian Railways 400 'Redhen'</v>
      </c>
      <c r="F457" t="s">
        <v>541</v>
      </c>
      <c r="G457" s="40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15</v>
      </c>
      <c r="J457">
        <v>80</v>
      </c>
      <c r="K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3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0">
        <f>58/2</f>
        <v>29</v>
      </c>
      <c r="AA457" s="19">
        <f>IFERROR(PROPERTIES[[#This Row],[TE_STARTING_KN]]/(PROPERTIES[[#This Row],[WEIGHT]]*9.81),0)</f>
        <v>0.14526620031207185</v>
      </c>
      <c r="AB457" s="19">
        <v>0</v>
      </c>
      <c r="AC457" s="16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6">
        <v>80</v>
      </c>
      <c r="AF457" s="6">
        <v>8</v>
      </c>
      <c r="AG457" t="s">
        <v>232</v>
      </c>
      <c r="AH457" t="s">
        <v>229</v>
      </c>
      <c r="AI457" t="s">
        <v>229</v>
      </c>
      <c r="AJ457" s="2" t="s">
        <v>229</v>
      </c>
      <c r="AK457" s="2" t="s">
        <v>244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44" t="b">
        <v>0</v>
      </c>
      <c r="AP457" s="48" t="b">
        <v>0</v>
      </c>
      <c r="AQ457" s="48" t="b">
        <v>0</v>
      </c>
      <c r="AR457" s="48">
        <v>0</v>
      </c>
      <c r="AS457" s="48" t="b">
        <v>0</v>
      </c>
      <c r="AT457" s="7" t="b">
        <v>0</v>
      </c>
      <c r="AU457" s="40" t="str" cm="1">
        <f t="array" ref="AU457">_xlfn.XLOOKUP(PROPERTIES[[#This Row],[VEHIDCODE]],GRAPHICS_PROPERTIES[VEHIDCODE],GRAPHICS_PROPERTIES[TEMPLATE_ID]&amp;GRAPHICS_PROPERTIES[TEMPLATE_AMENDMENT_CODE])</f>
        <v>TPL_02A</v>
      </c>
    </row>
    <row r="458" spans="1:47" x14ac:dyDescent="0.35">
      <c r="A458" s="2" t="s">
        <v>3091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0" t="str">
        <f>_xlfn.XLOOKUP(PROPERTIES[[#This Row],[VEHIDCODE]],CONTROL[VEHIDCODE],CONTROL[ENGLISH])</f>
        <v>MAN/LHB VT11.5/DB 601 'TEE'</v>
      </c>
      <c r="F458" t="s">
        <v>584</v>
      </c>
      <c r="G458" s="40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15</v>
      </c>
      <c r="J458">
        <v>24</v>
      </c>
      <c r="K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3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0">
        <f>110/2</f>
        <v>55</v>
      </c>
      <c r="AA458" s="19">
        <f>IFERROR(PROPERTIES[[#This Row],[TE_STARTING_KN]]/(PROPERTIES[[#This Row],[WEIGHT]]*9.81),0)</f>
        <v>0.25368886674876961</v>
      </c>
      <c r="AB458" s="19">
        <v>0</v>
      </c>
      <c r="AC458" s="16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6">
        <v>34</v>
      </c>
      <c r="AF458" s="6">
        <v>8</v>
      </c>
      <c r="AG458" t="s">
        <v>230</v>
      </c>
      <c r="AH458" t="s">
        <v>229</v>
      </c>
      <c r="AI458" t="s">
        <v>229</v>
      </c>
      <c r="AJ458" s="2" t="s">
        <v>229</v>
      </c>
      <c r="AK458" s="2" t="s">
        <v>244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44" t="b">
        <v>0</v>
      </c>
      <c r="AP458" s="48" t="b">
        <v>0</v>
      </c>
      <c r="AQ458" s="48" t="b">
        <v>0</v>
      </c>
      <c r="AR458" s="48">
        <v>0</v>
      </c>
      <c r="AS458" s="48" t="b">
        <v>0</v>
      </c>
      <c r="AT458" s="7" t="b">
        <v>0</v>
      </c>
      <c r="AU458" s="40" t="str" cm="1">
        <f t="array" ref="AU458">_xlfn.XLOOKUP(PROPERTIES[[#This Row],[VEHIDCODE]],GRAPHICS_PROPERTIES[VEHIDCODE],GRAPHICS_PROPERTIES[TEMPLATE_ID]&amp;GRAPHICS_PROPERTIES[TEMPLATE_AMENDMENT_CODE])</f>
        <v>TPL_02A</v>
      </c>
    </row>
    <row r="459" spans="1:47" x14ac:dyDescent="0.35">
      <c r="A459" s="2" t="s">
        <v>3092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0" t="str">
        <f>_xlfn.XLOOKUP(PROPERTIES[[#This Row],[VEHIDCODE]],CONTROL[VEHIDCODE],CONTROL[ENGLISH])</f>
        <v>Werkspoor Plan U DE-III</v>
      </c>
      <c r="F459" t="s">
        <v>692</v>
      </c>
      <c r="G459" s="40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15</v>
      </c>
      <c r="J459">
        <v>64</v>
      </c>
      <c r="K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3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0">
        <f>125/2</f>
        <v>62.5</v>
      </c>
      <c r="AA459" s="19">
        <f>IFERROR(PROPERTIES[[#This Row],[TE_STARTING_KN]]/(PROPERTIES[[#This Row],[WEIGHT]]*9.81),0)</f>
        <v>0.14053786652275588</v>
      </c>
      <c r="AB459" s="19">
        <v>0</v>
      </c>
      <c r="AC459" s="16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6">
        <f>INT((168+24)/2)</f>
        <v>96</v>
      </c>
      <c r="AF459" s="6">
        <v>8</v>
      </c>
      <c r="AG459" t="s">
        <v>230</v>
      </c>
      <c r="AH459" t="s">
        <v>229</v>
      </c>
      <c r="AI459" t="s">
        <v>229</v>
      </c>
      <c r="AJ459" s="2" t="s">
        <v>229</v>
      </c>
      <c r="AK459" s="2" t="s">
        <v>244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44" t="b">
        <v>0</v>
      </c>
      <c r="AP459" s="48" t="b">
        <v>0</v>
      </c>
      <c r="AQ459" s="48" t="b">
        <v>0</v>
      </c>
      <c r="AR459" s="48">
        <v>0</v>
      </c>
      <c r="AS459" s="48" t="b">
        <v>0</v>
      </c>
      <c r="AT459" s="7" t="b">
        <v>0</v>
      </c>
      <c r="AU459" s="40" t="str" cm="1">
        <f t="array" ref="AU459">_xlfn.XLOOKUP(PROPERTIES[[#This Row],[VEHIDCODE]],GRAPHICS_PROPERTIES[VEHIDCODE],GRAPHICS_PROPERTIES[TEMPLATE_ID]&amp;GRAPHICS_PROPERTIES[TEMPLATE_AMENDMENT_CODE])</f>
        <v>TPL_02A</v>
      </c>
    </row>
    <row r="460" spans="1:47" x14ac:dyDescent="0.35">
      <c r="A460" s="2" t="s">
        <v>3093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0" t="str">
        <f>_xlfn.XLOOKUP(PROPERTIES[[#This Row],[VEHIDCODE]],CONTROL[VEHIDCODE],CONTROL[ENGLISH])</f>
        <v>UAC 'Turbo Train'</v>
      </c>
      <c r="F460" t="s">
        <v>565</v>
      </c>
      <c r="G460" s="40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15</v>
      </c>
      <c r="J460">
        <v>46</v>
      </c>
      <c r="K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3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0">
        <f>80/2</f>
        <v>40</v>
      </c>
      <c r="AA460" s="19">
        <f>IFERROR(PROPERTIES[[#This Row],[TE_STARTING_KN]]/(PROPERTIES[[#This Row],[WEIGHT]]*9.81),0)</f>
        <v>0.17728138988609668</v>
      </c>
      <c r="AB460" s="19">
        <v>0</v>
      </c>
      <c r="AC460" s="16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6">
        <f>INT((322-(PROPERTIES[[#This Row],[HEAD_CAPACITY]]*2))/5)</f>
        <v>46</v>
      </c>
      <c r="AF460" s="6">
        <v>8</v>
      </c>
      <c r="AG460" t="s">
        <v>235</v>
      </c>
      <c r="AH460" t="s">
        <v>229</v>
      </c>
      <c r="AI460" t="s">
        <v>229</v>
      </c>
      <c r="AJ460" s="2" t="s">
        <v>229</v>
      </c>
      <c r="AK460" s="2" t="s">
        <v>244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45" t="s">
        <v>3644</v>
      </c>
      <c r="AP460" s="48" t="b">
        <v>0</v>
      </c>
      <c r="AQ460" s="48" t="b">
        <v>0</v>
      </c>
      <c r="AR460" s="48">
        <v>0</v>
      </c>
      <c r="AS460" s="48" t="b">
        <v>0</v>
      </c>
      <c r="AT460" s="7" t="b">
        <v>0</v>
      </c>
      <c r="AU460" s="40" t="str" cm="1">
        <f t="array" ref="AU460">_xlfn.XLOOKUP(PROPERTIES[[#This Row],[VEHIDCODE]],GRAPHICS_PROPERTIES[VEHIDCODE],GRAPHICS_PROPERTIES[TEMPLATE_ID]&amp;GRAPHICS_PROPERTIES[TEMPLATE_AMENDMENT_CODE])</f>
        <v>TPL_02A</v>
      </c>
    </row>
    <row r="461" spans="1:47" x14ac:dyDescent="0.35">
      <c r="A461" s="2" t="s">
        <v>3094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0" t="str">
        <f>_xlfn.XLOOKUP(PROPERTIES[[#This Row],[VEHIDCODE]],CONTROL[VEHIDCODE],CONTROL[ENGLISH])</f>
        <v>Ganz-MAVAG 811</v>
      </c>
      <c r="F461" t="s">
        <v>715</v>
      </c>
      <c r="G461" s="40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15</v>
      </c>
      <c r="J461">
        <v>38</v>
      </c>
      <c r="K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3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0">
        <f>95/2</f>
        <v>47.5</v>
      </c>
      <c r="AA461" s="19">
        <f>IFERROR(PROPERTIES[[#This Row],[TE_STARTING_KN]]/(PROPERTIES[[#This Row],[WEIGHT]]*9.81),0)</f>
        <v>0.23057133148876266</v>
      </c>
      <c r="AB461" s="19">
        <v>0</v>
      </c>
      <c r="AC461" s="16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6">
        <v>38</v>
      </c>
      <c r="AF461" s="6">
        <v>8</v>
      </c>
      <c r="AG461" t="s">
        <v>236</v>
      </c>
      <c r="AH461" t="s">
        <v>229</v>
      </c>
      <c r="AI461" t="s">
        <v>229</v>
      </c>
      <c r="AJ461" s="2" t="s">
        <v>229</v>
      </c>
      <c r="AK461" s="2" t="s">
        <v>244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44" t="b">
        <v>0</v>
      </c>
      <c r="AP461" s="48" t="b">
        <v>0</v>
      </c>
      <c r="AQ461" s="48" t="b">
        <v>0</v>
      </c>
      <c r="AR461" s="48">
        <v>0</v>
      </c>
      <c r="AS461" s="48" t="b">
        <v>0</v>
      </c>
      <c r="AT461" s="7" t="b">
        <v>0</v>
      </c>
      <c r="AU461" s="40" t="str" cm="1">
        <f t="array" ref="AU461">_xlfn.XLOOKUP(PROPERTIES[[#This Row],[VEHIDCODE]],GRAPHICS_PROPERTIES[VEHIDCODE],GRAPHICS_PROPERTIES[TEMPLATE_ID]&amp;GRAPHICS_PROPERTIES[TEMPLATE_AMENDMENT_CODE])</f>
        <v>TPL_02A</v>
      </c>
    </row>
    <row r="462" spans="1:47" x14ac:dyDescent="0.35">
      <c r="A462" s="2" t="s">
        <v>3095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0" t="str">
        <f>_xlfn.XLOOKUP(PROPERTIES[[#This Row],[VEHIDCODE]],CONTROL[VEHIDCODE],CONTROL[ENGLISH])</f>
        <v>BREL 43 IC125</v>
      </c>
      <c r="F462" t="s">
        <v>603</v>
      </c>
      <c r="G462" s="40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_xlfn.XLOOKUP("LOADINGSPEEDDEF_"&amp;PROPERTIES[[#This Row],[LOADINGSPEED]],LOADINGSPEEDDEF[TYPE],LOADINGSPEEDDEF[SPEED])</f>
        <v>20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3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0">
        <f>178/2</f>
        <v>89</v>
      </c>
      <c r="AA462" s="19">
        <f>IFERROR(PROPERTIES[[#This Row],[TE_STARTING_KN]]/(PROPERTIES[[#This Row],[WEIGHT]]*9.81),0)</f>
        <v>0.25921071792631423</v>
      </c>
      <c r="AB462" s="19">
        <v>0</v>
      </c>
      <c r="AC462" s="16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6">
        <v>74</v>
      </c>
      <c r="AF462" s="6">
        <v>8</v>
      </c>
      <c r="AG462" t="s">
        <v>234</v>
      </c>
      <c r="AH462" t="s">
        <v>229</v>
      </c>
      <c r="AI462" t="s">
        <v>229</v>
      </c>
      <c r="AJ462" s="2" t="s">
        <v>229</v>
      </c>
      <c r="AK462" s="2" t="s">
        <v>244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44" t="b">
        <v>0</v>
      </c>
      <c r="AP462" s="48" t="b">
        <v>0</v>
      </c>
      <c r="AQ462" s="48" t="b">
        <v>0</v>
      </c>
      <c r="AR462" s="48">
        <v>0</v>
      </c>
      <c r="AS462" s="48" t="b">
        <v>0</v>
      </c>
      <c r="AT462" s="7" t="b">
        <v>0</v>
      </c>
      <c r="AU462" s="40" t="str" cm="1">
        <f t="array" ref="AU462">_xlfn.XLOOKUP(PROPERTIES[[#This Row],[VEHIDCODE]],GRAPHICS_PROPERTIES[VEHIDCODE],GRAPHICS_PROPERTIES[TEMPLATE_ID]&amp;GRAPHICS_PROPERTIES[TEMPLATE_AMENDMENT_CODE])</f>
        <v>TPL_02A</v>
      </c>
    </row>
    <row r="463" spans="1:47" x14ac:dyDescent="0.35">
      <c r="A463" s="2" t="s">
        <v>3096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0" t="str">
        <f>_xlfn.XLOOKUP(PROPERTIES[[#This Row],[VEHIDCODE]],CONTROL[VEHIDCODE],CONTROL[ENGLISH])</f>
        <v>Bombardier M6109</v>
      </c>
      <c r="F463" t="s">
        <v>565</v>
      </c>
      <c r="G463" s="40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_xlfn.XLOOKUP("LOADINGSPEEDDEF_"&amp;PROPERTIES[[#This Row],[LOADINGSPEED]],LOADINGSPEEDDEF[TYPE],LOADINGSPEEDDEF[SPEED])</f>
        <v>20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3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0">
        <f>245/2</f>
        <v>122.5</v>
      </c>
      <c r="AA463" s="19">
        <f>IFERROR(PROPERTIES[[#This Row],[TE_STARTING_KN]]/(PROPERTIES[[#This Row],[WEIGHT]]*9.81),0)</f>
        <v>0.22101341416109624</v>
      </c>
      <c r="AB463" s="19">
        <v>0</v>
      </c>
      <c r="AC463" s="16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6">
        <v>68</v>
      </c>
      <c r="AF463" s="6">
        <v>8</v>
      </c>
      <c r="AG463" t="s">
        <v>235</v>
      </c>
      <c r="AH463" t="s">
        <v>229</v>
      </c>
      <c r="AI463" t="s">
        <v>229</v>
      </c>
      <c r="AJ463" s="2" t="s">
        <v>229</v>
      </c>
      <c r="AK463" s="2" t="s">
        <v>244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44" t="b">
        <v>0</v>
      </c>
      <c r="AP463" s="48" t="b">
        <v>0</v>
      </c>
      <c r="AQ463" s="48" t="b">
        <v>0</v>
      </c>
      <c r="AR463" s="48">
        <v>0</v>
      </c>
      <c r="AS463" s="48" t="b">
        <v>0</v>
      </c>
      <c r="AT463" s="7" t="b">
        <v>0</v>
      </c>
      <c r="AU463" s="40" t="str" cm="1">
        <f t="array" ref="AU463">_xlfn.XLOOKUP(PROPERTIES[[#This Row],[VEHIDCODE]],GRAPHICS_PROPERTIES[VEHIDCODE],GRAPHICS_PROPERTIES[TEMPLATE_ID]&amp;GRAPHICS_PROPERTIES[TEMPLATE_AMENDMENT_CODE])</f>
        <v>TPL_02A</v>
      </c>
    </row>
    <row r="464" spans="1:47" x14ac:dyDescent="0.35">
      <c r="A464" s="2" t="s">
        <v>3097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0" t="str">
        <f>_xlfn.XLOOKUP(PROPERTIES[[#This Row],[VEHIDCODE]],CONTROL[VEHIDCODE],CONTROL[ENGLISH])</f>
        <v>ABB IC3 Y2</v>
      </c>
      <c r="F464" t="s">
        <v>722</v>
      </c>
      <c r="G464" s="40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15</v>
      </c>
      <c r="J464">
        <v>48</v>
      </c>
      <c r="K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3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0">
        <f>115/2</f>
        <v>57.5</v>
      </c>
      <c r="AA464" s="19">
        <f>IFERROR(PROPERTIES[[#This Row],[TE_STARTING_KN]]/(PROPERTIES[[#This Row],[WEIGHT]]*9.81),0)</f>
        <v>0.12211179068977235</v>
      </c>
      <c r="AB464" s="19">
        <v>0</v>
      </c>
      <c r="AC464" s="16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6">
        <v>48</v>
      </c>
      <c r="AF464" s="6">
        <v>8</v>
      </c>
      <c r="AG464" t="s">
        <v>239</v>
      </c>
      <c r="AH464" t="s">
        <v>233</v>
      </c>
      <c r="AI464" t="s">
        <v>229</v>
      </c>
      <c r="AJ464" s="2" t="s">
        <v>229</v>
      </c>
      <c r="AK464" s="2" t="s">
        <v>244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44" t="b">
        <v>0</v>
      </c>
      <c r="AP464" s="48" t="b">
        <v>0</v>
      </c>
      <c r="AQ464" s="48" t="b">
        <v>0</v>
      </c>
      <c r="AR464" s="48">
        <v>0</v>
      </c>
      <c r="AS464" s="48" t="b">
        <v>0</v>
      </c>
      <c r="AT464" s="7" t="b">
        <v>0</v>
      </c>
      <c r="AU464" s="40" t="str" cm="1">
        <f t="array" ref="AU464">_xlfn.XLOOKUP(PROPERTIES[[#This Row],[VEHIDCODE]],GRAPHICS_PROPERTIES[VEHIDCODE],GRAPHICS_PROPERTIES[TEMPLATE_ID]&amp;GRAPHICS_PROPERTIES[TEMPLATE_AMENDMENT_CODE])</f>
        <v>TPL_02A</v>
      </c>
    </row>
    <row r="465" spans="1:47" x14ac:dyDescent="0.35">
      <c r="A465" s="2" t="s">
        <v>3098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0" t="str">
        <f>_xlfn.XLOOKUP(PROPERTIES[[#This Row],[VEHIDCODE]],CONTROL[VEHIDCODE],CONTROL[ENGLISH])</f>
        <v>CAF 594 TRD</v>
      </c>
      <c r="F465" t="s">
        <v>595</v>
      </c>
      <c r="G465" s="40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15</v>
      </c>
      <c r="J465">
        <v>42</v>
      </c>
      <c r="K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3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0">
        <f>120/2</f>
        <v>60</v>
      </c>
      <c r="AA465" s="19">
        <f>IFERROR(PROPERTIES[[#This Row],[TE_STARTING_KN]]/(PROPERTIES[[#This Row],[WEIGHT]]*9.81),0)</f>
        <v>0.12482057043000687</v>
      </c>
      <c r="AB465" s="19">
        <v>0</v>
      </c>
      <c r="AC465" s="16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6">
        <f>126/3</f>
        <v>42</v>
      </c>
      <c r="AF465" s="6">
        <v>8</v>
      </c>
      <c r="AG465" t="s">
        <v>239</v>
      </c>
      <c r="AH465" t="s">
        <v>233</v>
      </c>
      <c r="AI465" t="s">
        <v>229</v>
      </c>
      <c r="AJ465" s="2" t="s">
        <v>229</v>
      </c>
      <c r="AK465" s="2" t="s">
        <v>244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44" t="b">
        <v>0</v>
      </c>
      <c r="AP465" s="48" t="b">
        <v>0</v>
      </c>
      <c r="AQ465" s="48" t="b">
        <v>0</v>
      </c>
      <c r="AR465" s="48">
        <v>0</v>
      </c>
      <c r="AS465" s="48" t="b">
        <v>0</v>
      </c>
      <c r="AT465" s="7" t="b">
        <v>0</v>
      </c>
      <c r="AU465" s="40" t="str" cm="1">
        <f t="array" ref="AU465">_xlfn.XLOOKUP(PROPERTIES[[#This Row],[VEHIDCODE]],GRAPHICS_PROPERTIES[VEHIDCODE],GRAPHICS_PROPERTIES[TEMPLATE_ID]&amp;GRAPHICS_PROPERTIES[TEMPLATE_AMENDMENT_CODE])</f>
        <v>TPL_02A</v>
      </c>
    </row>
    <row r="466" spans="1:47" x14ac:dyDescent="0.35">
      <c r="A466" s="2" t="s">
        <v>3099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0" t="str">
        <f>_xlfn.XLOOKUP(PROPERTIES[[#This Row],[VEHIDCODE]],CONTROL[VEHIDCODE],CONTROL[ENGLISH])</f>
        <v>Adtranz Class 168 'Clubman'</v>
      </c>
      <c r="F466" t="s">
        <v>603</v>
      </c>
      <c r="G466" s="40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15</v>
      </c>
      <c r="J466">
        <f>INT(204/3)</f>
        <v>68</v>
      </c>
      <c r="K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3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0">
        <f>112/2</f>
        <v>56</v>
      </c>
      <c r="AA466" s="19">
        <f>IFERROR(PROPERTIES[[#This Row],[TE_STARTING_KN]]/(PROPERTIES[[#This Row],[WEIGHT]]*9.81),0)</f>
        <v>0.11416921508664628</v>
      </c>
      <c r="AB466" s="19">
        <v>0</v>
      </c>
      <c r="AC466" s="16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6">
        <f>INT(204/3)</f>
        <v>68</v>
      </c>
      <c r="AF466" s="6">
        <v>8</v>
      </c>
      <c r="AG466" t="s">
        <v>234</v>
      </c>
      <c r="AH466" t="s">
        <v>229</v>
      </c>
      <c r="AI466" t="s">
        <v>229</v>
      </c>
      <c r="AJ466" s="2" t="s">
        <v>229</v>
      </c>
      <c r="AK466" s="2" t="s">
        <v>244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44" t="b">
        <v>0</v>
      </c>
      <c r="AP466" s="48" t="b">
        <v>0</v>
      </c>
      <c r="AQ466" s="48" t="b">
        <v>0</v>
      </c>
      <c r="AR466" s="48">
        <v>0</v>
      </c>
      <c r="AS466" s="48" t="b">
        <v>0</v>
      </c>
      <c r="AT466" s="7" t="b">
        <v>0</v>
      </c>
      <c r="AU466" s="40" t="str" cm="1">
        <f t="array" ref="AU466">_xlfn.XLOOKUP(PROPERTIES[[#This Row],[VEHIDCODE]],GRAPHICS_PROPERTIES[VEHIDCODE],GRAPHICS_PROPERTIES[TEMPLATE_ID]&amp;GRAPHICS_PROPERTIES[TEMPLATE_AMENDMENT_CODE])</f>
        <v>TPL_02A</v>
      </c>
    </row>
    <row r="467" spans="1:47" x14ac:dyDescent="0.35">
      <c r="A467" s="2" t="s">
        <v>3100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0" t="str">
        <f>_xlfn.XLOOKUP(PROPERTIES[[#This Row],[VEHIDCODE]],CONTROL[VEHIDCODE],CONTROL[ENGLISH])</f>
        <v>Adtranz Class 612 'Regio Swinger'</v>
      </c>
      <c r="F467" t="s">
        <v>584</v>
      </c>
      <c r="G467" s="40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15</v>
      </c>
      <c r="J467">
        <v>73</v>
      </c>
      <c r="K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3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0">
        <f>145/2</f>
        <v>72.5</v>
      </c>
      <c r="AA467" s="19">
        <f>IFERROR(PROPERTIES[[#This Row],[TE_STARTING_KN]]/(PROPERTIES[[#This Row],[WEIGHT]]*9.81),0)</f>
        <v>0.127420998980632</v>
      </c>
      <c r="AB467" s="19">
        <v>0</v>
      </c>
      <c r="AC467" s="16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6">
        <v>73</v>
      </c>
      <c r="AF467" s="6">
        <v>8</v>
      </c>
      <c r="AG467" t="s">
        <v>230</v>
      </c>
      <c r="AH467" t="s">
        <v>236</v>
      </c>
      <c r="AI467" t="s">
        <v>229</v>
      </c>
      <c r="AJ467" s="2" t="s">
        <v>229</v>
      </c>
      <c r="AK467" s="2" t="s">
        <v>244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44" t="b">
        <v>0</v>
      </c>
      <c r="AP467" s="48" t="b">
        <v>0</v>
      </c>
      <c r="AQ467" s="48" t="b">
        <v>0</v>
      </c>
      <c r="AR467" s="48">
        <v>0</v>
      </c>
      <c r="AS467" s="48" t="b">
        <v>0</v>
      </c>
      <c r="AT467" s="7" t="b">
        <v>0</v>
      </c>
      <c r="AU467" s="40" t="str" cm="1">
        <f t="array" ref="AU467">_xlfn.XLOOKUP(PROPERTIES[[#This Row],[VEHIDCODE]],GRAPHICS_PROPERTIES[VEHIDCODE],GRAPHICS_PROPERTIES[TEMPLATE_ID]&amp;GRAPHICS_PROPERTIES[TEMPLATE_AMENDMENT_CODE])</f>
        <v>TPL_02A</v>
      </c>
    </row>
    <row r="468" spans="1:47" x14ac:dyDescent="0.35">
      <c r="A468" s="2" t="s">
        <v>3101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0" t="str">
        <f>_xlfn.XLOOKUP(PROPERTIES[[#This Row],[VEHIDCODE]],CONTROL[VEHIDCODE],CONTROL[ENGLISH])</f>
        <v>Siemens Desiro</v>
      </c>
      <c r="F468" t="s">
        <v>584</v>
      </c>
      <c r="G468" s="40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15</v>
      </c>
      <c r="J468">
        <f>(98+110)/2</f>
        <v>104</v>
      </c>
      <c r="K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3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0">
        <f>85/2</f>
        <v>42.5</v>
      </c>
      <c r="AA468" s="19">
        <f>IFERROR(PROPERTIES[[#This Row],[TE_STARTING_KN]]/(PROPERTIES[[#This Row],[WEIGHT]]*9.81),0)</f>
        <v>9.8461681030488357E-2</v>
      </c>
      <c r="AB468" s="19">
        <v>0</v>
      </c>
      <c r="AC468" s="16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6">
        <f>PROPERTIES[[#This Row],[HEAD_CAPACITY]]</f>
        <v>104</v>
      </c>
      <c r="AF468" s="6">
        <v>8</v>
      </c>
      <c r="AG468" t="s">
        <v>239</v>
      </c>
      <c r="AH468" t="s">
        <v>235</v>
      </c>
      <c r="AI468" t="s">
        <v>229</v>
      </c>
      <c r="AJ468" s="2" t="s">
        <v>229</v>
      </c>
      <c r="AK468" s="2" t="s">
        <v>244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44" t="b">
        <v>0</v>
      </c>
      <c r="AP468" s="48" t="b">
        <v>0</v>
      </c>
      <c r="AQ468" s="48" t="b">
        <v>0</v>
      </c>
      <c r="AR468" s="48">
        <v>0</v>
      </c>
      <c r="AS468" s="48" t="b">
        <v>0</v>
      </c>
      <c r="AT468" s="7" t="b">
        <v>0</v>
      </c>
      <c r="AU468" s="40" t="str" cm="1">
        <f t="array" ref="AU468">_xlfn.XLOOKUP(PROPERTIES[[#This Row],[VEHIDCODE]],GRAPHICS_PROPERTIES[VEHIDCODE],GRAPHICS_PROPERTIES[TEMPLATE_ID]&amp;GRAPHICS_PROPERTIES[TEMPLATE_AMENDMENT_CODE])</f>
        <v>TPL_02A</v>
      </c>
    </row>
    <row r="469" spans="1:47" x14ac:dyDescent="0.35">
      <c r="A469" s="2" t="s">
        <v>3102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0" t="str">
        <f>_xlfn.XLOOKUP(PROPERTIES[[#This Row],[VEHIDCODE]],CONTROL[VEHIDCODE],CONTROL[ENGLISH])</f>
        <v>Alstom Coradia LINT</v>
      </c>
      <c r="F469" t="s">
        <v>586</v>
      </c>
      <c r="G469" s="40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15</v>
      </c>
      <c r="J469">
        <f>52+85</f>
        <v>137</v>
      </c>
      <c r="K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3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0">
        <f>75/2</f>
        <v>37.5</v>
      </c>
      <c r="AA469" s="19">
        <f>IFERROR(PROPERTIES[[#This Row],[TE_STARTING_KN]]/(PROPERTIES[[#This Row],[WEIGHT]]*9.81),0)</f>
        <v>0.12331064417480517</v>
      </c>
      <c r="AB469" s="19">
        <v>0</v>
      </c>
      <c r="AC469" s="16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6">
        <f>PROPERTIES[[#This Row],[HEAD_CAPACITY]]</f>
        <v>137</v>
      </c>
      <c r="AF469" s="6">
        <v>8</v>
      </c>
      <c r="AG469" t="s">
        <v>234</v>
      </c>
      <c r="AH469" t="s">
        <v>229</v>
      </c>
      <c r="AI469" t="s">
        <v>229</v>
      </c>
      <c r="AJ469" s="2" t="s">
        <v>229</v>
      </c>
      <c r="AK469" s="2" t="s">
        <v>244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44" t="b">
        <v>0</v>
      </c>
      <c r="AP469" s="48" t="b">
        <v>0</v>
      </c>
      <c r="AQ469" s="48" t="b">
        <v>0</v>
      </c>
      <c r="AR469" s="48">
        <v>0</v>
      </c>
      <c r="AS469" s="48" t="b">
        <v>0</v>
      </c>
      <c r="AT469" s="7" t="b">
        <v>0</v>
      </c>
      <c r="AU469" s="40" t="str" cm="1">
        <f t="array" ref="AU469">_xlfn.XLOOKUP(PROPERTIES[[#This Row],[VEHIDCODE]],GRAPHICS_PROPERTIES[VEHIDCODE],GRAPHICS_PROPERTIES[TEMPLATE_ID]&amp;GRAPHICS_PROPERTIES[TEMPLATE_AMENDMENT_CODE])</f>
        <v>TPL_02A</v>
      </c>
    </row>
    <row r="470" spans="1:47" x14ac:dyDescent="0.35">
      <c r="A470" s="2" t="s">
        <v>3103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0" t="str">
        <f>_xlfn.XLOOKUP(PROPERTIES[[#This Row],[VEHIDCODE]],CONTROL[VEHIDCODE],CONTROL[ENGLISH])</f>
        <v>Bombardier Talent NSB BM 93</v>
      </c>
      <c r="F470" t="s">
        <v>693</v>
      </c>
      <c r="G470" s="40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15</v>
      </c>
      <c r="J470">
        <f>76/2</f>
        <v>38</v>
      </c>
      <c r="K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3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0">
        <f>100/2</f>
        <v>50</v>
      </c>
      <c r="AA470" s="19">
        <f>IFERROR(PROPERTIES[[#This Row],[TE_STARTING_KN]]/(PROPERTIES[[#This Row],[WEIGHT]]*9.81),0)</f>
        <v>0.13238545348637093</v>
      </c>
      <c r="AB470" s="19">
        <v>0</v>
      </c>
      <c r="AC470" s="16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6">
        <f>76/2</f>
        <v>38</v>
      </c>
      <c r="AF470" s="6">
        <v>8</v>
      </c>
      <c r="AG470" t="s">
        <v>234</v>
      </c>
      <c r="AH470" t="s">
        <v>229</v>
      </c>
      <c r="AI470" t="s">
        <v>229</v>
      </c>
      <c r="AJ470" s="2" t="s">
        <v>229</v>
      </c>
      <c r="AK470" s="2" t="s">
        <v>244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44" t="b">
        <v>0</v>
      </c>
      <c r="AP470" s="48" t="b">
        <v>0</v>
      </c>
      <c r="AQ470" s="48" t="b">
        <v>0</v>
      </c>
      <c r="AR470" s="48">
        <v>0</v>
      </c>
      <c r="AS470" s="48" t="b">
        <v>0</v>
      </c>
      <c r="AT470" s="7" t="b">
        <v>0</v>
      </c>
      <c r="AU470" s="40" t="str" cm="1">
        <f t="array" ref="AU470">_xlfn.XLOOKUP(PROPERTIES[[#This Row],[VEHIDCODE]],GRAPHICS_PROPERTIES[VEHIDCODE],GRAPHICS_PROPERTIES[TEMPLATE_ID]&amp;GRAPHICS_PROPERTIES[TEMPLATE_AMENDMENT_CODE])</f>
        <v>TPL_02A</v>
      </c>
    </row>
    <row r="471" spans="1:47" x14ac:dyDescent="0.35">
      <c r="A471" s="2" t="s">
        <v>3104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0" t="str">
        <f>_xlfn.XLOOKUP(PROPERTIES[[#This Row],[VEHIDCODE]],CONTROL[VEHIDCODE],CONTROL[ENGLISH])</f>
        <v>UGL WD 'Prospector'</v>
      </c>
      <c r="F471" t="s">
        <v>541</v>
      </c>
      <c r="G471" s="40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15</v>
      </c>
      <c r="J471">
        <v>68</v>
      </c>
      <c r="K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3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0">
        <f>160/2</f>
        <v>80</v>
      </c>
      <c r="AA471" s="19">
        <f>IFERROR(PROPERTIES[[#This Row],[TE_STARTING_KN]]/(PROPERTIES[[#This Row],[WEIGHT]]*9.81),0)</f>
        <v>0.24711951317455902</v>
      </c>
      <c r="AB471" s="19">
        <v>0</v>
      </c>
      <c r="AC471" s="16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6">
        <v>68</v>
      </c>
      <c r="AF471" s="6">
        <v>8</v>
      </c>
      <c r="AG471" t="s">
        <v>232</v>
      </c>
      <c r="AH471" t="s">
        <v>229</v>
      </c>
      <c r="AI471" t="s">
        <v>229</v>
      </c>
      <c r="AJ471" s="2" t="s">
        <v>229</v>
      </c>
      <c r="AK471" s="2" t="s">
        <v>244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44" t="b">
        <v>0</v>
      </c>
      <c r="AP471" s="48" t="b">
        <v>0</v>
      </c>
      <c r="AQ471" s="48" t="b">
        <v>1</v>
      </c>
      <c r="AR471" s="48">
        <v>0</v>
      </c>
      <c r="AS471" s="48" t="b">
        <v>0</v>
      </c>
      <c r="AT471" s="7" t="b">
        <v>0</v>
      </c>
      <c r="AU471" s="40" t="str" cm="1">
        <f t="array" ref="AU471">_xlfn.XLOOKUP(PROPERTIES[[#This Row],[VEHIDCODE]],GRAPHICS_PROPERTIES[VEHIDCODE],GRAPHICS_PROPERTIES[TEMPLATE_ID]&amp;GRAPHICS_PROPERTIES[TEMPLATE_AMENDMENT_CODE])</f>
        <v>TPL_02A</v>
      </c>
    </row>
    <row r="472" spans="1:47" x14ac:dyDescent="0.35">
      <c r="A472" s="2" t="s">
        <v>3105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0" t="str">
        <f>_xlfn.XLOOKUP(PROPERTIES[[#This Row],[VEHIDCODE]],CONTROL[VEHIDCODE],CONTROL[ENGLISH])</f>
        <v>UGL 'Hunter' Railcar</v>
      </c>
      <c r="F472" t="s">
        <v>541</v>
      </c>
      <c r="G472" s="40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15</v>
      </c>
      <c r="J472">
        <v>70</v>
      </c>
      <c r="K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3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0">
        <f>140/2</f>
        <v>70</v>
      </c>
      <c r="AA472" s="19">
        <f>IFERROR(PROPERTIES[[#This Row],[TE_STARTING_KN]]/(PROPERTIES[[#This Row],[WEIGHT]]*9.81),0)</f>
        <v>0.23785253143051308</v>
      </c>
      <c r="AB472" s="19">
        <v>0</v>
      </c>
      <c r="AC472" s="16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6">
        <v>70</v>
      </c>
      <c r="AF472" s="6">
        <v>8</v>
      </c>
      <c r="AG472" t="s">
        <v>232</v>
      </c>
      <c r="AH472" t="s">
        <v>229</v>
      </c>
      <c r="AI472" t="s">
        <v>229</v>
      </c>
      <c r="AJ472" s="2" t="s">
        <v>229</v>
      </c>
      <c r="AK472" s="2" t="s">
        <v>244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44" t="b">
        <v>0</v>
      </c>
      <c r="AP472" s="48" t="b">
        <v>0</v>
      </c>
      <c r="AQ472" s="48" t="b">
        <v>0</v>
      </c>
      <c r="AR472" s="48">
        <v>0</v>
      </c>
      <c r="AS472" s="48" t="b">
        <v>0</v>
      </c>
      <c r="AT472" s="7" t="b">
        <v>0</v>
      </c>
      <c r="AU472" s="40" t="str" cm="1">
        <f t="array" ref="AU472">_xlfn.XLOOKUP(PROPERTIES[[#This Row],[VEHIDCODE]],GRAPHICS_PROPERTIES[VEHIDCODE],GRAPHICS_PROPERTIES[TEMPLATE_ID]&amp;GRAPHICS_PROPERTIES[TEMPLATE_AMENDMENT_CODE])</f>
        <v>TPL_02A</v>
      </c>
    </row>
    <row r="473" spans="1:47" x14ac:dyDescent="0.35">
      <c r="A473" s="2" t="s">
        <v>3106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0" t="str">
        <f>_xlfn.XLOOKUP(PROPERTIES[[#This Row],[VEHIDCODE]],CONTROL[VEHIDCODE],CONTROL[ENGLISH])</f>
        <v>MVM RA2</v>
      </c>
      <c r="F473" t="s">
        <v>716</v>
      </c>
      <c r="G473" s="40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15</v>
      </c>
      <c r="J473">
        <v>68</v>
      </c>
      <c r="K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3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0">
        <f>105/2</f>
        <v>52.5</v>
      </c>
      <c r="AA473" s="19">
        <f>IFERROR(PROPERTIES[[#This Row],[TE_STARTING_KN]]/(PROPERTIES[[#This Row],[WEIGHT]]*9.81),0)</f>
        <v>0.12162913539060327</v>
      </c>
      <c r="AB473" s="19">
        <v>0</v>
      </c>
      <c r="AC473" s="16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6">
        <v>86</v>
      </c>
      <c r="AF473" s="6">
        <v>8</v>
      </c>
      <c r="AG473" t="s">
        <v>1948</v>
      </c>
      <c r="AH473" t="s">
        <v>229</v>
      </c>
      <c r="AI473" t="s">
        <v>229</v>
      </c>
      <c r="AJ473" s="2" t="s">
        <v>229</v>
      </c>
      <c r="AK473" s="2" t="s">
        <v>244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44" t="b">
        <v>0</v>
      </c>
      <c r="AP473" s="48" t="b">
        <v>0</v>
      </c>
      <c r="AQ473" s="48" t="b">
        <v>0</v>
      </c>
      <c r="AR473" s="48">
        <v>0</v>
      </c>
      <c r="AS473" s="48" t="b">
        <v>0</v>
      </c>
      <c r="AT473" s="7" t="b">
        <v>0</v>
      </c>
      <c r="AU473" s="40" t="str" cm="1">
        <f t="array" ref="AU473">_xlfn.XLOOKUP(PROPERTIES[[#This Row],[VEHIDCODE]],GRAPHICS_PROPERTIES[VEHIDCODE],GRAPHICS_PROPERTIES[TEMPLATE_ID]&amp;GRAPHICS_PROPERTIES[TEMPLATE_AMENDMENT_CODE])</f>
        <v>TPL_02A</v>
      </c>
    </row>
    <row r="474" spans="1:47" x14ac:dyDescent="0.35">
      <c r="A474" s="2" t="s">
        <v>3107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0" t="str">
        <f>_xlfn.XLOOKUP(PROPERTIES[[#This Row],[VEHIDCODE]],CONTROL[VEHIDCODE],CONTROL[ENGLISH])</f>
        <v>AnsaldoBreda IC4</v>
      </c>
      <c r="F474" t="s">
        <v>586</v>
      </c>
      <c r="G474" s="40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15</v>
      </c>
      <c r="J474">
        <v>52</v>
      </c>
      <c r="K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3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0">
        <f>100/2</f>
        <v>50</v>
      </c>
      <c r="AA474" s="19">
        <f>IFERROR(PROPERTIES[[#This Row],[TE_STARTING_KN]]/(PROPERTIES[[#This Row],[WEIGHT]]*9.81),0)</f>
        <v>0.14157888775625777</v>
      </c>
      <c r="AB474" s="19">
        <v>0</v>
      </c>
      <c r="AC474" s="16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6">
        <v>52</v>
      </c>
      <c r="AF474" s="6">
        <v>8</v>
      </c>
      <c r="AG474" t="s">
        <v>234</v>
      </c>
      <c r="AH474" t="s">
        <v>233</v>
      </c>
      <c r="AI474" t="s">
        <v>229</v>
      </c>
      <c r="AJ474" s="2" t="s">
        <v>229</v>
      </c>
      <c r="AK474" s="2" t="s">
        <v>244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44" t="b">
        <v>0</v>
      </c>
      <c r="AP474" s="48" t="b">
        <v>0</v>
      </c>
      <c r="AQ474" s="48" t="b">
        <v>0</v>
      </c>
      <c r="AR474" s="48">
        <v>0</v>
      </c>
      <c r="AS474" s="48" t="b">
        <v>0</v>
      </c>
      <c r="AT474" s="7" t="b">
        <v>0</v>
      </c>
      <c r="AU474" s="40" t="str" cm="1">
        <f t="array" ref="AU474">_xlfn.XLOOKUP(PROPERTIES[[#This Row],[VEHIDCODE]],GRAPHICS_PROPERTIES[VEHIDCODE],GRAPHICS_PROPERTIES[TEMPLATE_ID]&amp;GRAPHICS_PROPERTIES[TEMPLATE_AMENDMENT_CODE])</f>
        <v>TPL_02A</v>
      </c>
    </row>
    <row r="475" spans="1:47" x14ac:dyDescent="0.35">
      <c r="A475" s="2" t="s">
        <v>3108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0" t="str">
        <f>_xlfn.XLOOKUP(PROPERTIES[[#This Row],[VEHIDCODE]],CONTROL[VEHIDCODE],CONTROL[ENGLISH])</f>
        <v>TZV Gredelj 7022</v>
      </c>
      <c r="F475" t="s">
        <v>624</v>
      </c>
      <c r="G475" s="40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15</v>
      </c>
      <c r="J475">
        <f>INT(410/3)</f>
        <v>136</v>
      </c>
      <c r="K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3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0">
        <f>125/2</f>
        <v>62.5</v>
      </c>
      <c r="AA475" s="19">
        <f>IFERROR(PROPERTIES[[#This Row],[TE_STARTING_KN]]/(PROPERTIES[[#This Row],[WEIGHT]]*9.81),0)</f>
        <v>0.14157888775625777</v>
      </c>
      <c r="AB475" s="19">
        <v>0</v>
      </c>
      <c r="AC475" s="16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6">
        <v>66</v>
      </c>
      <c r="AF475" s="6">
        <v>8</v>
      </c>
      <c r="AG475" t="s">
        <v>236</v>
      </c>
      <c r="AH475" t="s">
        <v>229</v>
      </c>
      <c r="AI475" t="s">
        <v>229</v>
      </c>
      <c r="AJ475" s="2" t="s">
        <v>229</v>
      </c>
      <c r="AK475" s="2" t="s">
        <v>244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44" t="b">
        <v>0</v>
      </c>
      <c r="AP475" s="48" t="b">
        <v>0</v>
      </c>
      <c r="AQ475" s="48" t="b">
        <v>0</v>
      </c>
      <c r="AR475" s="48">
        <v>0</v>
      </c>
      <c r="AS475" s="48" t="b">
        <v>0</v>
      </c>
      <c r="AT475" s="7" t="b">
        <v>0</v>
      </c>
      <c r="AU475" s="40" t="str" cm="1">
        <f t="array" ref="AU475">_xlfn.XLOOKUP(PROPERTIES[[#This Row],[VEHIDCODE]],GRAPHICS_PROPERTIES[VEHIDCODE],GRAPHICS_PROPERTIES[TEMPLATE_ID]&amp;GRAPHICS_PROPERTIES[TEMPLATE_AMENDMENT_CODE])</f>
        <v>TPL_02A</v>
      </c>
    </row>
    <row r="476" spans="1:47" x14ac:dyDescent="0.35">
      <c r="A476" s="2" t="s">
        <v>3109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0" t="str">
        <f>_xlfn.XLOOKUP(PROPERTIES[[#This Row],[VEHIDCODE]],CONTROL[VEHIDCODE],CONTROL[ENGLISH])</f>
        <v>Fiat TCDD MT 5500</v>
      </c>
      <c r="F476" t="s">
        <v>1027</v>
      </c>
      <c r="G476" s="40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15</v>
      </c>
      <c r="J476">
        <f>INT(199/3)</f>
        <v>66</v>
      </c>
      <c r="K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3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0">
        <f>115/2</f>
        <v>57.5</v>
      </c>
      <c r="AA476" s="19">
        <f>IFERROR(PROPERTIES[[#This Row],[TE_STARTING_KN]]/(PROPERTIES[[#This Row],[WEIGHT]]*9.81),0)</f>
        <v>0.1674675986602592</v>
      </c>
      <c r="AB476" s="19">
        <v>0</v>
      </c>
      <c r="AC476" s="16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6">
        <v>66</v>
      </c>
      <c r="AF476" s="6">
        <v>8</v>
      </c>
      <c r="AG476" t="s">
        <v>1948</v>
      </c>
      <c r="AH476" t="s">
        <v>229</v>
      </c>
      <c r="AI476" t="s">
        <v>229</v>
      </c>
      <c r="AJ476" s="2" t="s">
        <v>229</v>
      </c>
      <c r="AK476" s="2" t="s">
        <v>244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44" t="b">
        <v>0</v>
      </c>
      <c r="AP476" s="48" t="b">
        <v>0</v>
      </c>
      <c r="AQ476" s="48" t="b">
        <v>0</v>
      </c>
      <c r="AR476" s="48">
        <v>0</v>
      </c>
      <c r="AS476" s="48" t="b">
        <v>0</v>
      </c>
      <c r="AT476" s="7" t="b">
        <v>0</v>
      </c>
      <c r="AU476" s="40" t="str" cm="1">
        <f t="array" ref="AU476">_xlfn.XLOOKUP(PROPERTIES[[#This Row],[VEHIDCODE]],GRAPHICS_PROPERTIES[VEHIDCODE],GRAPHICS_PROPERTIES[TEMPLATE_ID]&amp;GRAPHICS_PROPERTIES[TEMPLATE_AMENDMENT_CODE])</f>
        <v>TPL_02A</v>
      </c>
    </row>
    <row r="477" spans="1:47" x14ac:dyDescent="0.35">
      <c r="A477" s="2" t="s">
        <v>3110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0" t="str">
        <f>_xlfn.XLOOKUP(PROPERTIES[[#This Row],[VEHIDCODE]],CONTROL[VEHIDCODE],CONTROL[ENGLISH])</f>
        <v>Fuji KiHa 181</v>
      </c>
      <c r="F477" t="s">
        <v>640</v>
      </c>
      <c r="G477" s="40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15</v>
      </c>
      <c r="J477">
        <v>52</v>
      </c>
      <c r="K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3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0">
        <f>108/2</f>
        <v>54</v>
      </c>
      <c r="AA477" s="19">
        <f>IFERROR(PROPERTIES[[#This Row],[TE_STARTING_KN]]/(PROPERTIES[[#This Row],[WEIGHT]]*9.81),0)</f>
        <v>0.12510425354462051</v>
      </c>
      <c r="AB477" s="19">
        <v>0</v>
      </c>
      <c r="AC477" s="16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6">
        <v>76</v>
      </c>
      <c r="AF477" s="6">
        <v>8</v>
      </c>
      <c r="AG477" t="s">
        <v>238</v>
      </c>
      <c r="AH477" t="s">
        <v>229</v>
      </c>
      <c r="AI477" t="s">
        <v>229</v>
      </c>
      <c r="AJ477" s="2" t="s">
        <v>229</v>
      </c>
      <c r="AK477" s="2" t="s">
        <v>244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44" t="b">
        <v>0</v>
      </c>
      <c r="AP477" s="48" t="b">
        <v>0</v>
      </c>
      <c r="AQ477" s="48" t="b">
        <v>0</v>
      </c>
      <c r="AR477" s="48">
        <v>0</v>
      </c>
      <c r="AS477" s="48" t="b">
        <v>0</v>
      </c>
      <c r="AT477" s="7" t="b">
        <v>0</v>
      </c>
      <c r="AU477" s="40" t="str" cm="1">
        <f t="array" ref="AU477">_xlfn.XLOOKUP(PROPERTIES[[#This Row],[VEHIDCODE]],GRAPHICS_PROPERTIES[VEHIDCODE],GRAPHICS_PROPERTIES[TEMPLATE_ID]&amp;GRAPHICS_PROPERTIES[TEMPLATE_AMENDMENT_CODE])</f>
        <v>TPL_02A</v>
      </c>
    </row>
    <row r="478" spans="1:47" x14ac:dyDescent="0.35">
      <c r="A478" s="2" t="s">
        <v>3111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0" t="str">
        <f>_xlfn.XLOOKUP(PROPERTIES[[#This Row],[VEHIDCODE]],CONTROL[VEHIDCODE],CONTROL[ENGLISH])</f>
        <v>Vagonka Studenka 814</v>
      </c>
      <c r="F478" t="s">
        <v>583</v>
      </c>
      <c r="G478" s="40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15</v>
      </c>
      <c r="J478" s="6">
        <f>INT((135+151)/3)</f>
        <v>95</v>
      </c>
      <c r="K478">
        <v>6</v>
      </c>
      <c r="L478">
        <v>0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3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0">
        <f>54/2</f>
        <v>27</v>
      </c>
      <c r="AA478" s="19">
        <f>IFERROR(PROPERTIES[[#This Row],[TE_STARTING_KN]]/(PROPERTIES[[#This Row],[WEIGHT]]*9.81),0)</f>
        <v>0.12510425354462051</v>
      </c>
      <c r="AB478" s="19">
        <v>0</v>
      </c>
      <c r="AC478" s="16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6">
        <f>INT((135+151)/3)</f>
        <v>95</v>
      </c>
      <c r="AF478" s="6">
        <v>6</v>
      </c>
      <c r="AG478" t="s">
        <v>236</v>
      </c>
      <c r="AH478" t="s">
        <v>229</v>
      </c>
      <c r="AI478" t="s">
        <v>229</v>
      </c>
      <c r="AJ478" s="2" t="s">
        <v>229</v>
      </c>
      <c r="AK478" s="2" t="s">
        <v>244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44" t="b">
        <v>0</v>
      </c>
      <c r="AP478" s="48" t="b">
        <v>0</v>
      </c>
      <c r="AQ478" s="48" t="b">
        <v>0</v>
      </c>
      <c r="AR478" s="48">
        <v>0</v>
      </c>
      <c r="AS478" s="48" t="b">
        <v>0</v>
      </c>
      <c r="AT478" s="7" t="b">
        <v>0</v>
      </c>
      <c r="AU478" s="40" t="str" cm="1">
        <f t="array" ref="AU478">_xlfn.XLOOKUP(PROPERTIES[[#This Row],[VEHIDCODE]],GRAPHICS_PROPERTIES[VEHIDCODE],GRAPHICS_PROPERTIES[TEMPLATE_ID]&amp;GRAPHICS_PROPERTIES[TEMPLATE_AMENDMENT_CODE])</f>
        <v>TPL_02A</v>
      </c>
    </row>
    <row r="479" spans="1:47" x14ac:dyDescent="0.35">
      <c r="A479" s="2" t="s">
        <v>3112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0" t="str">
        <f>_xlfn.XLOOKUP(PROPERTIES[[#This Row],[VEHIDCODE]],CONTROL[VEHIDCODE],CONTROL[ENGLISH])</f>
        <v>BR 150/0 'Sprinter'</v>
      </c>
      <c r="F479" t="s">
        <v>603</v>
      </c>
      <c r="G479" s="40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15</v>
      </c>
      <c r="J479">
        <v>80</v>
      </c>
      <c r="K479">
        <v>7</v>
      </c>
      <c r="L479">
        <v>0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3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0">
        <f>65/2</f>
        <v>32.5</v>
      </c>
      <c r="AA479" s="19">
        <f>IFERROR(PROPERTIES[[#This Row],[TE_STARTING_KN]]/(PROPERTIES[[#This Row],[WEIGHT]]*9.81),0)</f>
        <v>9.2026277041567559E-2</v>
      </c>
      <c r="AB479" s="19">
        <v>0</v>
      </c>
      <c r="AC479" s="16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6">
        <v>80</v>
      </c>
      <c r="AF479" s="6">
        <v>7</v>
      </c>
      <c r="AG479" t="s">
        <v>234</v>
      </c>
      <c r="AH479" t="s">
        <v>229</v>
      </c>
      <c r="AI479" t="s">
        <v>229</v>
      </c>
      <c r="AJ479" s="2" t="s">
        <v>229</v>
      </c>
      <c r="AK479" s="2" t="s">
        <v>244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44" t="b">
        <v>0</v>
      </c>
      <c r="AP479" s="48" t="b">
        <v>0</v>
      </c>
      <c r="AQ479" s="48" t="b">
        <v>0</v>
      </c>
      <c r="AR479" s="48">
        <v>0</v>
      </c>
      <c r="AS479" s="48" t="b">
        <v>0</v>
      </c>
      <c r="AT479" s="7" t="b">
        <v>0</v>
      </c>
      <c r="AU479" s="40" t="str" cm="1">
        <f t="array" ref="AU479">_xlfn.XLOOKUP(PROPERTIES[[#This Row],[VEHIDCODE]],GRAPHICS_PROPERTIES[VEHIDCODE],GRAPHICS_PROPERTIES[TEMPLATE_ID]&amp;GRAPHICS_PROPERTIES[TEMPLATE_AMENDMENT_CODE])</f>
        <v>TPL_02A</v>
      </c>
    </row>
    <row r="480" spans="1:47" x14ac:dyDescent="0.35">
      <c r="A480" s="2" t="s">
        <v>3113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0" t="str">
        <f>_xlfn.XLOOKUP(PROPERTIES[[#This Row],[VEHIDCODE]],CONTROL[VEHIDCODE],CONTROL[ENGLISH])</f>
        <v>BREL 141 'Pacer'</v>
      </c>
      <c r="F480" t="s">
        <v>634</v>
      </c>
      <c r="G480" s="40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15</v>
      </c>
      <c r="J480">
        <v>47</v>
      </c>
      <c r="K480">
        <v>6</v>
      </c>
      <c r="L480">
        <v>0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3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0">
        <f>42/2</f>
        <v>21</v>
      </c>
      <c r="AA480" s="19">
        <f>IFERROR(PROPERTIES[[#This Row],[TE_STARTING_KN]]/(PROPERTIES[[#This Row],[WEIGHT]]*9.81),0)</f>
        <v>8.2333568572100682E-2</v>
      </c>
      <c r="AB480" s="19">
        <v>0</v>
      </c>
      <c r="AC480" s="16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6">
        <v>47</v>
      </c>
      <c r="AF480" s="6">
        <v>6</v>
      </c>
      <c r="AG480" t="s">
        <v>238</v>
      </c>
      <c r="AH480" t="s">
        <v>229</v>
      </c>
      <c r="AI480" t="s">
        <v>229</v>
      </c>
      <c r="AJ480" s="2" t="s">
        <v>229</v>
      </c>
      <c r="AK480" s="2" t="s">
        <v>244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44" t="b">
        <v>0</v>
      </c>
      <c r="AP480" s="48" t="b">
        <v>0</v>
      </c>
      <c r="AQ480" s="48" t="b">
        <v>0</v>
      </c>
      <c r="AR480" s="48">
        <v>0</v>
      </c>
      <c r="AS480" s="48" t="b">
        <v>0</v>
      </c>
      <c r="AT480" s="7" t="b">
        <v>0</v>
      </c>
      <c r="AU480" s="40" t="str" cm="1">
        <f t="array" ref="AU480">_xlfn.XLOOKUP(PROPERTIES[[#This Row],[VEHIDCODE]],GRAPHICS_PROPERTIES[VEHIDCODE],GRAPHICS_PROPERTIES[TEMPLATE_ID]&amp;GRAPHICS_PROPERTIES[TEMPLATE_AMENDMENT_CODE])</f>
        <v>TPL_02A</v>
      </c>
    </row>
    <row r="481" spans="1:47" x14ac:dyDescent="0.35">
      <c r="A481" s="2" t="s">
        <v>3114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0" t="str">
        <f>_xlfn.XLOOKUP(PROPERTIES[[#This Row],[VEHIDCODE]],CONTROL[VEHIDCODE],CONTROL[ENGLISH])</f>
        <v>ABB IC3 [Israel]</v>
      </c>
      <c r="F481" t="s">
        <v>629</v>
      </c>
      <c r="G481" s="40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15</v>
      </c>
      <c r="J481">
        <v>48</v>
      </c>
      <c r="K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3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0">
        <f>115/2</f>
        <v>57.5</v>
      </c>
      <c r="AA481" s="19">
        <f>IFERROR(PROPERTIES[[#This Row],[TE_STARTING_KN]]/(PROPERTIES[[#This Row],[WEIGHT]]*9.81),0)</f>
        <v>0.12211179068977235</v>
      </c>
      <c r="AB481" s="19">
        <v>0</v>
      </c>
      <c r="AC481" s="16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6">
        <v>48</v>
      </c>
      <c r="AF481" s="6">
        <v>8</v>
      </c>
      <c r="AG481" t="s">
        <v>233</v>
      </c>
      <c r="AH481" t="s">
        <v>239</v>
      </c>
      <c r="AI481" t="s">
        <v>229</v>
      </c>
      <c r="AJ481" s="2" t="s">
        <v>229</v>
      </c>
      <c r="AK481" s="2" t="s">
        <v>244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44" t="b">
        <v>0</v>
      </c>
      <c r="AP481" s="48" t="b">
        <v>0</v>
      </c>
      <c r="AQ481" s="48" t="b">
        <v>0</v>
      </c>
      <c r="AR481" s="48">
        <v>0</v>
      </c>
      <c r="AS481" s="48" t="b">
        <v>0</v>
      </c>
      <c r="AT481" s="7" t="b">
        <v>1</v>
      </c>
      <c r="AU481" s="40" t="str" cm="1">
        <f t="array" ref="AU481">_xlfn.XLOOKUP(PROPERTIES[[#This Row],[VEHIDCODE]],GRAPHICS_PROPERTIES[VEHIDCODE],GRAPHICS_PROPERTIES[TEMPLATE_ID]&amp;GRAPHICS_PROPERTIES[TEMPLATE_AMENDMENT_CODE])</f>
        <v>TPL_02A</v>
      </c>
    </row>
    <row r="482" spans="1:47" x14ac:dyDescent="0.35">
      <c r="A482" s="2" t="s">
        <v>3115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0" t="str">
        <f>_xlfn.XLOOKUP(PROPERTIES[[#This Row],[VEHIDCODE]],CONTROL[VEHIDCODE],CONTROL[ENGLISH])</f>
        <v>Comeng 3100</v>
      </c>
      <c r="F482" t="s">
        <v>541</v>
      </c>
      <c r="G482" s="40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15</v>
      </c>
      <c r="J482">
        <v>46</v>
      </c>
      <c r="K482">
        <v>7</v>
      </c>
      <c r="L482">
        <v>0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3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0">
        <f>110/2</f>
        <v>55</v>
      </c>
      <c r="AA482" s="19">
        <f>IFERROR(PROPERTIES[[#This Row],[TE_STARTING_KN]]/(PROPERTIES[[#This Row],[WEIGHT]]*9.81),0)</f>
        <v>0.11680258239891267</v>
      </c>
      <c r="AB482" s="19">
        <v>0</v>
      </c>
      <c r="AC482" s="16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6">
        <v>53</v>
      </c>
      <c r="AF482" s="6">
        <v>7</v>
      </c>
      <c r="AG482" t="s">
        <v>232</v>
      </c>
      <c r="AH482" t="s">
        <v>229</v>
      </c>
      <c r="AI482" t="s">
        <v>229</v>
      </c>
      <c r="AJ482" s="2" t="s">
        <v>229</v>
      </c>
      <c r="AK482" s="2" t="s">
        <v>244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44" t="b">
        <v>0</v>
      </c>
      <c r="AP482" s="48" t="b">
        <v>0</v>
      </c>
      <c r="AQ482" s="48" t="b">
        <v>0</v>
      </c>
      <c r="AR482" s="48">
        <v>0</v>
      </c>
      <c r="AS482" s="48" t="b">
        <v>0</v>
      </c>
      <c r="AT482" s="7" t="b">
        <v>0</v>
      </c>
      <c r="AU482" s="40" t="str" cm="1">
        <f t="array" ref="AU482">_xlfn.XLOOKUP(PROPERTIES[[#This Row],[VEHIDCODE]],GRAPHICS_PROPERTIES[VEHIDCODE],GRAPHICS_PROPERTIES[TEMPLATE_ID]&amp;GRAPHICS_PROPERTIES[TEMPLATE_AMENDMENT_CODE])</f>
        <v>TPL_02A</v>
      </c>
    </row>
    <row r="483" spans="1:47" x14ac:dyDescent="0.35">
      <c r="A483" s="2" t="s">
        <v>3116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0" t="str">
        <f>_xlfn.XLOOKUP(PROPERTIES[[#This Row],[VEHIDCODE]],CONTROL[VEHIDCODE],CONTROL[ENGLISH])</f>
        <v>ABB Xplorer</v>
      </c>
      <c r="F483" t="s">
        <v>541</v>
      </c>
      <c r="G483" s="40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15</v>
      </c>
      <c r="J483">
        <v>38</v>
      </c>
      <c r="K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3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0">
        <f>125/2</f>
        <v>62.5</v>
      </c>
      <c r="AA483" s="19">
        <f>IFERROR(PROPERTIES[[#This Row],[TE_STARTING_KN]]/(PROPERTIES[[#This Row],[WEIGHT]]*9.81),0)</f>
        <v>0.11177280612336139</v>
      </c>
      <c r="AB483" s="19">
        <v>0</v>
      </c>
      <c r="AC483" s="16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6">
        <v>66</v>
      </c>
      <c r="AF483" s="6">
        <v>8</v>
      </c>
      <c r="AG483" t="s">
        <v>232</v>
      </c>
      <c r="AH483" t="s">
        <v>229</v>
      </c>
      <c r="AI483" t="s">
        <v>229</v>
      </c>
      <c r="AJ483" s="2" t="s">
        <v>229</v>
      </c>
      <c r="AK483" s="2" t="s">
        <v>244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44" t="b">
        <v>0</v>
      </c>
      <c r="AP483" s="48" t="b">
        <v>0</v>
      </c>
      <c r="AQ483" s="48" t="b">
        <v>0</v>
      </c>
      <c r="AR483" s="48">
        <v>0</v>
      </c>
      <c r="AS483" s="48" t="b">
        <v>0</v>
      </c>
      <c r="AT483" s="7" t="b">
        <v>0</v>
      </c>
      <c r="AU483" s="40" t="str" cm="1">
        <f t="array" ref="AU483">_xlfn.XLOOKUP(PROPERTIES[[#This Row],[VEHIDCODE]],GRAPHICS_PROPERTIES[VEHIDCODE],GRAPHICS_PROPERTIES[TEMPLATE_ID]&amp;GRAPHICS_PROPERTIES[TEMPLATE_AMENDMENT_CODE])</f>
        <v>TPL_02A</v>
      </c>
    </row>
    <row r="484" spans="1:47" x14ac:dyDescent="0.35">
      <c r="A484" s="2" t="s">
        <v>3117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0" t="str">
        <f>_xlfn.XLOOKUP(PROPERTIES[[#This Row],[VEHIDCODE]],CONTROL[VEHIDCODE],CONTROL[ENGLISH])</f>
        <v>Niigata Transys KiHa 189</v>
      </c>
      <c r="F484" t="s">
        <v>640</v>
      </c>
      <c r="G484" s="40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15</v>
      </c>
      <c r="J484">
        <v>56</v>
      </c>
      <c r="K484">
        <v>7</v>
      </c>
      <c r="L484">
        <v>0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3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0">
        <f>110/2</f>
        <v>55</v>
      </c>
      <c r="AA484" s="19">
        <f>IFERROR(PROPERTIES[[#This Row],[TE_STARTING_KN]]/(PROPERTIES[[#This Row],[WEIGHT]]*9.81),0)</f>
        <v>0.11441885622750629</v>
      </c>
      <c r="AB484" s="19">
        <v>0</v>
      </c>
      <c r="AC484" s="16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6">
        <v>56</v>
      </c>
      <c r="AF484" s="6">
        <v>7</v>
      </c>
      <c r="AG484" t="s">
        <v>238</v>
      </c>
      <c r="AH484" t="s">
        <v>229</v>
      </c>
      <c r="AI484" t="s">
        <v>229</v>
      </c>
      <c r="AJ484" s="2" t="s">
        <v>229</v>
      </c>
      <c r="AK484" s="2" t="s">
        <v>244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44" t="b">
        <v>0</v>
      </c>
      <c r="AP484" s="48" t="b">
        <v>0</v>
      </c>
      <c r="AQ484" s="48" t="b">
        <v>0</v>
      </c>
      <c r="AR484" s="48">
        <v>0</v>
      </c>
      <c r="AS484" s="48" t="b">
        <v>0</v>
      </c>
      <c r="AT484" s="7" t="b">
        <v>0</v>
      </c>
      <c r="AU484" s="40" t="str" cm="1">
        <f t="array" ref="AU484">_xlfn.XLOOKUP(PROPERTIES[[#This Row],[VEHIDCODE]],GRAPHICS_PROPERTIES[VEHIDCODE],GRAPHICS_PROPERTIES[TEMPLATE_ID]&amp;GRAPHICS_PROPERTIES[TEMPLATE_AMENDMENT_CODE])</f>
        <v>TPL_02A</v>
      </c>
    </row>
    <row r="485" spans="1:47" x14ac:dyDescent="0.35">
      <c r="A485" s="2" t="s">
        <v>3118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0" t="str">
        <f>_xlfn.XLOOKUP(PROPERTIES[[#This Row],[VEHIDCODE]],CONTROL[VEHIDCODE],CONTROL[ENGLISH])</f>
        <v>Integral Coach Factory S11</v>
      </c>
      <c r="F485" t="s">
        <v>656</v>
      </c>
      <c r="G485" s="40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15</v>
      </c>
      <c r="J485">
        <v>20</v>
      </c>
      <c r="K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3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0">
        <f>140/2</f>
        <v>70</v>
      </c>
      <c r="AA485" s="19">
        <f>IFERROR(PROPERTIES[[#This Row],[TE_STARTING_KN]]/(PROPERTIES[[#This Row],[WEIGHT]]*9.81),0)</f>
        <v>0.3567787971457696</v>
      </c>
      <c r="AB485" s="19">
        <v>0</v>
      </c>
      <c r="AC485" s="16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6">
        <f>INT(429/6)</f>
        <v>71</v>
      </c>
      <c r="AF485" s="6">
        <v>8</v>
      </c>
      <c r="AG485" t="s">
        <v>238</v>
      </c>
      <c r="AH485" t="s">
        <v>229</v>
      </c>
      <c r="AI485" t="s">
        <v>229</v>
      </c>
      <c r="AJ485" s="2" t="s">
        <v>229</v>
      </c>
      <c r="AK485" s="2" t="s">
        <v>244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44" t="b">
        <v>0</v>
      </c>
      <c r="AP485" s="48" t="b">
        <v>0</v>
      </c>
      <c r="AQ485" s="48" t="b">
        <v>0</v>
      </c>
      <c r="AR485" s="48">
        <v>0</v>
      </c>
      <c r="AS485" s="48" t="b">
        <v>0</v>
      </c>
      <c r="AT485" s="7" t="b">
        <v>0</v>
      </c>
      <c r="AU485" s="40" t="str" cm="1">
        <f t="array" ref="AU485">_xlfn.XLOOKUP(PROPERTIES[[#This Row],[VEHIDCODE]],GRAPHICS_PROPERTIES[VEHIDCODE],GRAPHICS_PROPERTIES[TEMPLATE_ID]&amp;GRAPHICS_PROPERTIES[TEMPLATE_AMENDMENT_CODE])</f>
        <v>TPL_02A</v>
      </c>
    </row>
    <row r="486" spans="1:47" x14ac:dyDescent="0.35">
      <c r="A486" s="2" t="s">
        <v>3119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0" t="str">
        <f>_xlfn.XLOOKUP(PROPERTIES[[#This Row],[VEHIDCODE]],CONTROL[VEHIDCODE],CONTROL[ENGLISH])</f>
        <v>ZOS Vrutky 861</v>
      </c>
      <c r="F486" t="s">
        <v>727</v>
      </c>
      <c r="G486" s="40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15</v>
      </c>
      <c r="J486" s="6">
        <f>INT(195/2)</f>
        <v>97</v>
      </c>
      <c r="K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3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0">
        <f>125/2</f>
        <v>62.5</v>
      </c>
      <c r="AA486" s="19">
        <f>IFERROR(PROPERTIES[[#This Row],[TE_STARTING_KN]]/(PROPERTIES[[#This Row],[WEIGHT]]*9.81),0)</f>
        <v>0.10618416581719334</v>
      </c>
      <c r="AB486" s="19">
        <v>0</v>
      </c>
      <c r="AC486" s="16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6">
        <f>INT(195/2)</f>
        <v>97</v>
      </c>
      <c r="AF486" s="6">
        <v>7</v>
      </c>
      <c r="AG486" t="s">
        <v>236</v>
      </c>
      <c r="AH486" t="s">
        <v>229</v>
      </c>
      <c r="AI486" t="s">
        <v>229</v>
      </c>
      <c r="AJ486" s="2" t="s">
        <v>229</v>
      </c>
      <c r="AK486" s="2" t="s">
        <v>244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44" t="b">
        <v>0</v>
      </c>
      <c r="AP486" s="48" t="b">
        <v>0</v>
      </c>
      <c r="AQ486" s="48" t="b">
        <v>0</v>
      </c>
      <c r="AR486" s="48">
        <v>0</v>
      </c>
      <c r="AS486" s="48" t="b">
        <v>0</v>
      </c>
      <c r="AT486" s="7" t="b">
        <v>0</v>
      </c>
      <c r="AU486" s="40" t="str" cm="1">
        <f t="array" ref="AU486">_xlfn.XLOOKUP(PROPERTIES[[#This Row],[VEHIDCODE]],GRAPHICS_PROPERTIES[VEHIDCODE],GRAPHICS_PROPERTIES[TEMPLATE_ID]&amp;GRAPHICS_PROPERTIES[TEMPLATE_AMENDMENT_CODE])</f>
        <v>TPL_02A</v>
      </c>
    </row>
    <row r="487" spans="1:47" x14ac:dyDescent="0.35">
      <c r="A487" s="2" t="s">
        <v>3120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0" t="str">
        <f>_xlfn.XLOOKUP(PROPERTIES[[#This Row],[VEHIDCODE]],CONTROL[VEHIDCODE],CONTROL[ENGLISH])</f>
        <v>CAF TLD-500</v>
      </c>
      <c r="F487" t="s">
        <v>573</v>
      </c>
      <c r="G487" s="40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15</v>
      </c>
      <c r="J487">
        <f>144/2</f>
        <v>72</v>
      </c>
      <c r="K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3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0">
        <f>90/2</f>
        <v>45</v>
      </c>
      <c r="AA487" s="19">
        <f>IFERROR(PROPERTIES[[#This Row],[TE_STARTING_KN]]/(PROPERTIES[[#This Row],[WEIGHT]]*9.81),0)</f>
        <v>6.745817593092282E-2</v>
      </c>
      <c r="AB487" s="19">
        <v>0</v>
      </c>
      <c r="AC487" s="16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6">
        <f>144/2</f>
        <v>72</v>
      </c>
      <c r="AF487" s="6">
        <v>8</v>
      </c>
      <c r="AG487" t="s">
        <v>237</v>
      </c>
      <c r="AH487" t="s">
        <v>229</v>
      </c>
      <c r="AI487" t="s">
        <v>229</v>
      </c>
      <c r="AJ487" s="2" t="s">
        <v>229</v>
      </c>
      <c r="AK487" s="2" t="s">
        <v>244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44" t="b">
        <v>0</v>
      </c>
      <c r="AP487" s="48" t="b">
        <v>0</v>
      </c>
      <c r="AQ487" s="48" t="b">
        <v>0</v>
      </c>
      <c r="AR487" s="48">
        <v>0</v>
      </c>
      <c r="AS487" s="48" t="b">
        <v>0</v>
      </c>
      <c r="AT487" s="7" t="b">
        <v>0</v>
      </c>
      <c r="AU487" s="40" t="str" cm="1">
        <f t="array" ref="AU487">_xlfn.XLOOKUP(PROPERTIES[[#This Row],[VEHIDCODE]],GRAPHICS_PROPERTIES[VEHIDCODE],GRAPHICS_PROPERTIES[TEMPLATE_ID]&amp;GRAPHICS_PROPERTIES[TEMPLATE_AMENDMENT_CODE])</f>
        <v>TPL_02A</v>
      </c>
    </row>
    <row r="488" spans="1:47" x14ac:dyDescent="0.35">
      <c r="A488" s="2" t="s">
        <v>3121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0" t="str">
        <f>_xlfn.XLOOKUP(PROPERTIES[[#This Row],[VEHIDCODE]],CONTROL[VEHIDCODE],CONTROL[ENGLISH])</f>
        <v>Camrail ZE 500</v>
      </c>
      <c r="F488" t="s">
        <v>574</v>
      </c>
      <c r="G488" s="40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15</v>
      </c>
      <c r="J488">
        <v>62</v>
      </c>
      <c r="K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3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0">
        <f>95/2</f>
        <v>47.5</v>
      </c>
      <c r="AA488" s="19">
        <f>IFERROR(PROPERTIES[[#This Row],[TE_STARTING_KN]]/(PROPERTIES[[#This Row],[WEIGHT]]*9.81),0)</f>
        <v>0.127420998980632</v>
      </c>
      <c r="AB488" s="19">
        <v>0</v>
      </c>
      <c r="AC488" s="16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6">
        <v>62</v>
      </c>
      <c r="AF488" s="6">
        <v>8</v>
      </c>
      <c r="AG488" t="s">
        <v>233</v>
      </c>
      <c r="AH488" t="s">
        <v>229</v>
      </c>
      <c r="AI488" t="s">
        <v>229</v>
      </c>
      <c r="AJ488" s="2" t="s">
        <v>229</v>
      </c>
      <c r="AK488" s="2" t="s">
        <v>244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44" t="b">
        <v>0</v>
      </c>
      <c r="AP488" s="48" t="b">
        <v>0</v>
      </c>
      <c r="AQ488" s="48" t="b">
        <v>0</v>
      </c>
      <c r="AR488" s="48">
        <v>0</v>
      </c>
      <c r="AS488" s="48" t="b">
        <v>0</v>
      </c>
      <c r="AT488" s="7" t="b">
        <v>0</v>
      </c>
      <c r="AU488" s="40" t="str" cm="1">
        <f t="array" ref="AU488">_xlfn.XLOOKUP(PROPERTIES[[#This Row],[VEHIDCODE]],GRAPHICS_PROPERTIES[VEHIDCODE],GRAPHICS_PROPERTIES[TEMPLATE_ID]&amp;GRAPHICS_PROPERTIES[TEMPLATE_AMENDMENT_CODE])</f>
        <v>TPL_02A</v>
      </c>
    </row>
    <row r="489" spans="1:47" x14ac:dyDescent="0.35">
      <c r="A489" s="2" t="s">
        <v>3122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0" t="str">
        <f>_xlfn.XLOOKUP(PROPERTIES[[#This Row],[VEHIDCODE]],CONTROL[VEHIDCODE],CONTROL[ENGLISH])</f>
        <v>Metro-Cammell 251 'Blue Pullman'</v>
      </c>
      <c r="F489" t="s">
        <v>603</v>
      </c>
      <c r="G489" s="40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15</v>
      </c>
      <c r="J489">
        <v>27</v>
      </c>
      <c r="K489">
        <v>7</v>
      </c>
      <c r="L489">
        <v>0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3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0">
        <f>125/2</f>
        <v>62.5</v>
      </c>
      <c r="AA489" s="19">
        <f>IFERROR(PROPERTIES[[#This Row],[TE_STARTING_KN]]/(PROPERTIES[[#This Row],[WEIGHT]]*9.81),0)</f>
        <v>9.5090297746740313E-2</v>
      </c>
      <c r="AB489" s="19">
        <v>0</v>
      </c>
      <c r="AC489" s="16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6">
        <v>42</v>
      </c>
      <c r="AF489" s="6">
        <v>7</v>
      </c>
      <c r="AG489" t="s">
        <v>234</v>
      </c>
      <c r="AH489" t="s">
        <v>229</v>
      </c>
      <c r="AI489" t="s">
        <v>229</v>
      </c>
      <c r="AJ489" s="2" t="s">
        <v>229</v>
      </c>
      <c r="AK489" s="2" t="s">
        <v>244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44" t="b">
        <v>0</v>
      </c>
      <c r="AP489" s="48" t="b">
        <v>0</v>
      </c>
      <c r="AQ489" s="48" t="b">
        <v>0</v>
      </c>
      <c r="AR489" s="48">
        <v>0</v>
      </c>
      <c r="AS489" s="48" t="b">
        <v>0</v>
      </c>
      <c r="AT489" s="7" t="b">
        <v>0</v>
      </c>
      <c r="AU489" s="40" t="str" cm="1">
        <f t="array" ref="AU489">_xlfn.XLOOKUP(PROPERTIES[[#This Row],[VEHIDCODE]],GRAPHICS_PROPERTIES[VEHIDCODE],GRAPHICS_PROPERTIES[TEMPLATE_ID]&amp;GRAPHICS_PROPERTIES[TEMPLATE_AMENDMENT_CODE])</f>
        <v>TPL_02A</v>
      </c>
    </row>
    <row r="490" spans="1:47" x14ac:dyDescent="0.35">
      <c r="A490" s="2" t="s">
        <v>3123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0" t="str">
        <f>_xlfn.XLOOKUP(PROPERTIES[[#This Row],[VEHIDCODE]],CONTROL[VEHIDCODE],CONTROL[ENGLISH])</f>
        <v>Comeng ADK</v>
      </c>
      <c r="F490" t="s">
        <v>541</v>
      </c>
      <c r="G490" s="40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15</v>
      </c>
      <c r="J490">
        <v>74</v>
      </c>
      <c r="K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3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0">
        <f>58/2</f>
        <v>29</v>
      </c>
      <c r="AA490" s="19">
        <f>IFERROR(PROPERTIES[[#This Row],[TE_STARTING_KN]]/(PROPERTIES[[#This Row],[WEIGHT]]*9.81),0)</f>
        <v>8.9580823525777648E-2</v>
      </c>
      <c r="AB490" s="19">
        <v>0</v>
      </c>
      <c r="AC490" s="16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6">
        <v>74</v>
      </c>
      <c r="AF490" s="6">
        <v>7</v>
      </c>
      <c r="AG490" t="s">
        <v>232</v>
      </c>
      <c r="AH490" t="s">
        <v>229</v>
      </c>
      <c r="AI490" t="s">
        <v>229</v>
      </c>
      <c r="AJ490" s="2" t="s">
        <v>229</v>
      </c>
      <c r="AK490" s="2" t="s">
        <v>244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44" t="b">
        <v>0</v>
      </c>
      <c r="AP490" s="48" t="b">
        <v>0</v>
      </c>
      <c r="AQ490" s="48" t="b">
        <v>0</v>
      </c>
      <c r="AR490" s="48">
        <v>0</v>
      </c>
      <c r="AS490" s="48" t="b">
        <v>0</v>
      </c>
      <c r="AT490" s="7" t="b">
        <v>0</v>
      </c>
      <c r="AU490" s="40" t="str" cm="1">
        <f t="array" ref="AU490">_xlfn.XLOOKUP(PROPERTIES[[#This Row],[VEHIDCODE]],GRAPHICS_PROPERTIES[VEHIDCODE],GRAPHICS_PROPERTIES[TEMPLATE_ID]&amp;GRAPHICS_PROPERTIES[TEMPLATE_AMENDMENT_CODE])</f>
        <v>TPL_02A</v>
      </c>
    </row>
    <row r="491" spans="1:47" x14ac:dyDescent="0.35">
      <c r="A491" s="2" t="s">
        <v>3124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0" t="str">
        <f>_xlfn.XLOOKUP(PROPERTIES[[#This Row],[VEHIDCODE]],CONTROL[VEHIDCODE],CONTROL[ENGLISH])</f>
        <v>ANF X 4630</v>
      </c>
      <c r="F491" t="s">
        <v>602</v>
      </c>
      <c r="G491" s="40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15</v>
      </c>
      <c r="J491">
        <v>133</v>
      </c>
      <c r="K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3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0">
        <f>85/2</f>
        <v>42.5</v>
      </c>
      <c r="AA491" s="19">
        <f>IFERROR(PROPERTIES[[#This Row],[TE_STARTING_KN]]/(PROPERTIES[[#This Row],[WEIGHT]]*9.81),0)</f>
        <v>0.13975206339811252</v>
      </c>
      <c r="AB491" s="19">
        <v>0</v>
      </c>
      <c r="AC491" s="16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6">
        <v>133</v>
      </c>
      <c r="AF491" s="6">
        <v>8</v>
      </c>
      <c r="AG491" t="s">
        <v>230</v>
      </c>
      <c r="AH491" t="s">
        <v>229</v>
      </c>
      <c r="AI491" t="s">
        <v>229</v>
      </c>
      <c r="AJ491" s="2" t="s">
        <v>229</v>
      </c>
      <c r="AK491" s="2" t="s">
        <v>244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44" t="b">
        <v>0</v>
      </c>
      <c r="AP491" s="48" t="b">
        <v>0</v>
      </c>
      <c r="AQ491" s="48" t="b">
        <v>0</v>
      </c>
      <c r="AR491" s="48">
        <v>0</v>
      </c>
      <c r="AS491" s="48" t="b">
        <v>0</v>
      </c>
      <c r="AT491" s="7" t="b">
        <v>0</v>
      </c>
      <c r="AU491" s="40" t="str" cm="1">
        <f t="array" ref="AU491">_xlfn.XLOOKUP(PROPERTIES[[#This Row],[VEHIDCODE]],GRAPHICS_PROPERTIES[VEHIDCODE],GRAPHICS_PROPERTIES[TEMPLATE_ID]&amp;GRAPHICS_PROPERTIES[TEMPLATE_AMENDMENT_CODE])</f>
        <v>TPL_02A</v>
      </c>
    </row>
    <row r="492" spans="1:47" x14ac:dyDescent="0.35">
      <c r="A492" s="2" t="s">
        <v>3125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0" t="str">
        <f>_xlfn.XLOOKUP(PROPERTIES[[#This Row],[VEHIDCODE]],CONTROL[VEHIDCODE],CONTROL[ENGLISH])</f>
        <v>ANF T 2000</v>
      </c>
      <c r="F492" t="s">
        <v>602</v>
      </c>
      <c r="G492" s="40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15</v>
      </c>
      <c r="J492">
        <v>60</v>
      </c>
      <c r="K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3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0">
        <f>90/2</f>
        <v>45</v>
      </c>
      <c r="AA492" s="19">
        <f>IFERROR(PROPERTIES[[#This Row],[TE_STARTING_KN]]/(PROPERTIES[[#This Row],[WEIGHT]]*9.81),0)</f>
        <v>4.0774719673802244E-2</v>
      </c>
      <c r="AB492" s="19">
        <v>0</v>
      </c>
      <c r="AC492" s="16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6">
        <f>400/5</f>
        <v>80</v>
      </c>
      <c r="AF492" s="6">
        <v>8</v>
      </c>
      <c r="AG492" t="s">
        <v>230</v>
      </c>
      <c r="AH492" t="s">
        <v>229</v>
      </c>
      <c r="AI492" t="s">
        <v>229</v>
      </c>
      <c r="AJ492" s="2" t="s">
        <v>229</v>
      </c>
      <c r="AK492" s="2" t="s">
        <v>244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45" t="s">
        <v>3644</v>
      </c>
      <c r="AP492" s="48" t="b">
        <v>0</v>
      </c>
      <c r="AQ492" s="48" t="b">
        <v>0</v>
      </c>
      <c r="AR492" s="48">
        <v>0</v>
      </c>
      <c r="AS492" s="48" t="b">
        <v>0</v>
      </c>
      <c r="AT492" s="7" t="b">
        <v>0</v>
      </c>
      <c r="AU492" s="40" t="str" cm="1">
        <f t="array" ref="AU492">_xlfn.XLOOKUP(PROPERTIES[[#This Row],[VEHIDCODE]],GRAPHICS_PROPERTIES[VEHIDCODE],GRAPHICS_PROPERTIES[TEMPLATE_ID]&amp;GRAPHICS_PROPERTIES[TEMPLATE_AMENDMENT_CODE])</f>
        <v>TPL_02A</v>
      </c>
    </row>
    <row r="493" spans="1:47" x14ac:dyDescent="0.35">
      <c r="A493" s="2" t="s">
        <v>3126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0" t="str">
        <f>_xlfn.XLOOKUP(PROPERTIES[[#This Row],[VEHIDCODE]],CONTROL[VEHIDCODE],CONTROL[ENGLISH])</f>
        <v>Duwag Wadloper</v>
      </c>
      <c r="F493" t="s">
        <v>692</v>
      </c>
      <c r="G493" s="40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15</v>
      </c>
      <c r="J493">
        <v>80</v>
      </c>
      <c r="K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3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0">
        <f>68/2</f>
        <v>34</v>
      </c>
      <c r="AA493" s="19">
        <f>IFERROR(PROPERTIES[[#This Row],[TE_STARTING_KN]]/(PROPERTIES[[#This Row],[WEIGHT]]*9.81),0)</f>
        <v>0.1019367991845056</v>
      </c>
      <c r="AB493" s="19">
        <v>0</v>
      </c>
      <c r="AC493" s="16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6">
        <v>80</v>
      </c>
      <c r="AF493" s="6">
        <v>8</v>
      </c>
      <c r="AG493" t="s">
        <v>239</v>
      </c>
      <c r="AH493" t="s">
        <v>237</v>
      </c>
      <c r="AI493" t="s">
        <v>229</v>
      </c>
      <c r="AJ493" s="2" t="s">
        <v>229</v>
      </c>
      <c r="AK493" s="2" t="s">
        <v>244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44" t="b">
        <v>0</v>
      </c>
      <c r="AP493" s="48" t="b">
        <v>0</v>
      </c>
      <c r="AQ493" s="48" t="b">
        <v>0</v>
      </c>
      <c r="AR493" s="48">
        <v>0</v>
      </c>
      <c r="AS493" s="48" t="b">
        <v>0</v>
      </c>
      <c r="AT493" s="7" t="b">
        <v>0</v>
      </c>
      <c r="AU493" s="40" t="str" cm="1">
        <f t="array" ref="AU493">_xlfn.XLOOKUP(PROPERTIES[[#This Row],[VEHIDCODE]],GRAPHICS_PROPERTIES[VEHIDCODE],GRAPHICS_PROPERTIES[TEMPLATE_ID]&amp;GRAPHICS_PROPERTIES[TEMPLATE_AMENDMENT_CODE])</f>
        <v>TPL_02A</v>
      </c>
    </row>
    <row r="494" spans="1:47" x14ac:dyDescent="0.35">
      <c r="A494" s="2" t="s">
        <v>3127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0" t="str">
        <f>_xlfn.XLOOKUP(PROPERTIES[[#This Row],[VEHIDCODE]],CONTROL[VEHIDCODE],CONTROL[ENGLISH])</f>
        <v>Duwag 628.2</v>
      </c>
      <c r="F494" t="s">
        <v>584</v>
      </c>
      <c r="G494" s="40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15</v>
      </c>
      <c r="J494">
        <f>INT(136/2)</f>
        <v>68</v>
      </c>
      <c r="K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3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0">
        <f>95/2</f>
        <v>47.5</v>
      </c>
      <c r="AA494" s="19">
        <f>IFERROR(PROPERTIES[[#This Row],[TE_STARTING_KN]]/(PROPERTIES[[#This Row],[WEIGHT]]*9.81),0)</f>
        <v>0.11528566574438133</v>
      </c>
      <c r="AB494" s="19">
        <v>0</v>
      </c>
      <c r="AC494" s="16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6">
        <f>INT(136/2)</f>
        <v>68</v>
      </c>
      <c r="AF494" s="6">
        <v>8</v>
      </c>
      <c r="AG494" t="s">
        <v>230</v>
      </c>
      <c r="AH494" t="s">
        <v>236</v>
      </c>
      <c r="AI494" t="s">
        <v>229</v>
      </c>
      <c r="AJ494" s="2" t="s">
        <v>229</v>
      </c>
      <c r="AK494" s="2" t="s">
        <v>244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44" t="b">
        <v>0</v>
      </c>
      <c r="AP494" s="48" t="b">
        <v>0</v>
      </c>
      <c r="AQ494" s="48" t="b">
        <v>0</v>
      </c>
      <c r="AR494" s="48">
        <v>0</v>
      </c>
      <c r="AS494" s="48" t="b">
        <v>0</v>
      </c>
      <c r="AT494" s="7" t="b">
        <v>0</v>
      </c>
      <c r="AU494" s="40" t="str" cm="1">
        <f t="array" ref="AU494">_xlfn.XLOOKUP(PROPERTIES[[#This Row],[VEHIDCODE]],GRAPHICS_PROPERTIES[VEHIDCODE],GRAPHICS_PROPERTIES[TEMPLATE_ID]&amp;GRAPHICS_PROPERTIES[TEMPLATE_AMENDMENT_CODE])</f>
        <v>TPL_02A</v>
      </c>
    </row>
    <row r="495" spans="1:47" x14ac:dyDescent="0.35">
      <c r="A495" s="2" t="s">
        <v>3128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0" t="str">
        <f>_xlfn.XLOOKUP(PROPERTIES[[#This Row],[VEHIDCODE]],CONTROL[VEHIDCODE],CONTROL[ENGLISH])</f>
        <v>CAF ZZ 2200 Autorail</v>
      </c>
      <c r="F495" t="s">
        <v>589</v>
      </c>
      <c r="G495" s="40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15</v>
      </c>
      <c r="J495">
        <f>INT(199/2)</f>
        <v>99</v>
      </c>
      <c r="K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3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0">
        <f>140/2</f>
        <v>70</v>
      </c>
      <c r="AA495" s="19">
        <f>IFERROR(PROPERTIES[[#This Row],[TE_STARTING_KN]]/(PROPERTIES[[#This Row],[WEIGHT]]*9.81),0)</f>
        <v>0.12973774441664349</v>
      </c>
      <c r="AB495" s="19">
        <v>0</v>
      </c>
      <c r="AC495" s="16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6">
        <f>INT(199/2)</f>
        <v>99</v>
      </c>
      <c r="AF495" s="6">
        <v>8</v>
      </c>
      <c r="AG495" t="s">
        <v>233</v>
      </c>
      <c r="AH495" t="s">
        <v>229</v>
      </c>
      <c r="AI495" t="s">
        <v>229</v>
      </c>
      <c r="AJ495" s="2" t="s">
        <v>229</v>
      </c>
      <c r="AK495" s="2" t="s">
        <v>244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44" t="b">
        <v>0</v>
      </c>
      <c r="AP495" s="48" t="b">
        <v>0</v>
      </c>
      <c r="AQ495" s="48" t="b">
        <v>0</v>
      </c>
      <c r="AR495" s="48">
        <v>0</v>
      </c>
      <c r="AS495" s="48" t="b">
        <v>0</v>
      </c>
      <c r="AT495" s="7" t="b">
        <v>0</v>
      </c>
      <c r="AU495" s="40" t="str" cm="1">
        <f t="array" ref="AU495">_xlfn.XLOOKUP(PROPERTIES[[#This Row],[VEHIDCODE]],GRAPHICS_PROPERTIES[VEHIDCODE],GRAPHICS_PROPERTIES[TEMPLATE_ID]&amp;GRAPHICS_PROPERTIES[TEMPLATE_AMENDMENT_CODE])</f>
        <v>TPL_02A</v>
      </c>
    </row>
    <row r="496" spans="1:47" x14ac:dyDescent="0.35">
      <c r="A496" s="2" t="s">
        <v>3129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0" t="str">
        <f>_xlfn.XLOOKUP(PROPERTIES[[#This Row],[VEHIDCODE]],CONTROL[VEHIDCODE],CONTROL[ENGLISH])</f>
        <v>CFD AMT 800</v>
      </c>
      <c r="F496" t="s">
        <v>748</v>
      </c>
      <c r="G496" s="40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15</v>
      </c>
      <c r="J496">
        <v>55</v>
      </c>
      <c r="K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3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0">
        <f>135/2</f>
        <v>67.5</v>
      </c>
      <c r="AA496" s="19">
        <f>IFERROR(PROPERTIES[[#This Row],[TE_STARTING_KN]]/(PROPERTIES[[#This Row],[WEIGHT]]*9.81),0)</f>
        <v>0.19659239842726081</v>
      </c>
      <c r="AB496" s="19">
        <v>0</v>
      </c>
      <c r="AC496" s="16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6">
        <v>55</v>
      </c>
      <c r="AF496" s="6">
        <v>8</v>
      </c>
      <c r="AG496" t="s">
        <v>233</v>
      </c>
      <c r="AH496" t="s">
        <v>229</v>
      </c>
      <c r="AI496" t="s">
        <v>229</v>
      </c>
      <c r="AJ496" s="2" t="s">
        <v>229</v>
      </c>
      <c r="AK496" s="2" t="s">
        <v>244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44" t="b">
        <v>0</v>
      </c>
      <c r="AP496" s="48" t="b">
        <v>0</v>
      </c>
      <c r="AQ496" s="48" t="b">
        <v>0</v>
      </c>
      <c r="AR496" s="48">
        <v>0</v>
      </c>
      <c r="AS496" s="48" t="b">
        <v>0</v>
      </c>
      <c r="AT496" s="7" t="b">
        <v>0</v>
      </c>
      <c r="AU496" s="40" t="str" cm="1">
        <f t="array" ref="AU496">_xlfn.XLOOKUP(PROPERTIES[[#This Row],[VEHIDCODE]],GRAPHICS_PROPERTIES[VEHIDCODE],GRAPHICS_PROPERTIES[TEMPLATE_ID]&amp;GRAPHICS_PROPERTIES[TEMPLATE_AMENDMENT_CODE])</f>
        <v>TPL_02A</v>
      </c>
    </row>
    <row r="497" spans="1:47" x14ac:dyDescent="0.35">
      <c r="A497" s="2" t="s">
        <v>3130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0" t="str">
        <f>_xlfn.XLOOKUP(PROPERTIES[[#This Row],[VEHIDCODE]],CONTROL[VEHIDCODE],CONTROL[ENGLISH])</f>
        <v>CNR Tangshan Ghana DEMU</v>
      </c>
      <c r="F497" t="s">
        <v>608</v>
      </c>
      <c r="G497" s="40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15</v>
      </c>
      <c r="J497">
        <v>102</v>
      </c>
      <c r="K497">
        <v>7</v>
      </c>
      <c r="L497">
        <v>0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3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0">
        <f>145/2</f>
        <v>72.5</v>
      </c>
      <c r="AA497" s="19">
        <f>IFERROR(PROPERTIES[[#This Row],[TE_STARTING_KN]]/(PROPERTIES[[#This Row],[WEIGHT]]*9.81),0)</f>
        <v>0.15396704043493034</v>
      </c>
      <c r="AB497" s="19">
        <v>0</v>
      </c>
      <c r="AC497" s="16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6">
        <v>102</v>
      </c>
      <c r="AF497" s="6">
        <v>7</v>
      </c>
      <c r="AG497" t="s">
        <v>233</v>
      </c>
      <c r="AH497" t="s">
        <v>229</v>
      </c>
      <c r="AI497" t="s">
        <v>229</v>
      </c>
      <c r="AJ497" s="2" t="s">
        <v>229</v>
      </c>
      <c r="AK497" s="2" t="s">
        <v>244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44" t="b">
        <v>0</v>
      </c>
      <c r="AP497" s="48" t="b">
        <v>0</v>
      </c>
      <c r="AQ497" s="48" t="b">
        <v>0</v>
      </c>
      <c r="AR497" s="48">
        <v>0</v>
      </c>
      <c r="AS497" s="48" t="b">
        <v>0</v>
      </c>
      <c r="AT497" s="7" t="b">
        <v>0</v>
      </c>
      <c r="AU497" s="40" t="str" cm="1">
        <f t="array" ref="AU497">_xlfn.XLOOKUP(PROPERTIES[[#This Row],[VEHIDCODE]],GRAPHICS_PROPERTIES[VEHIDCODE],GRAPHICS_PROPERTIES[TEMPLATE_ID]&amp;GRAPHICS_PROPERTIES[TEMPLATE_AMENDMENT_CODE])</f>
        <v>TPL_02A</v>
      </c>
    </row>
    <row r="498" spans="1:47" x14ac:dyDescent="0.35">
      <c r="A498" s="2" t="s">
        <v>3131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0" t="str">
        <f>_xlfn.XLOOKUP(PROPERTIES[[#This Row],[VEHIDCODE]],CONTROL[VEHIDCODE],CONTROL[ENGLISH])</f>
        <v>Downer EDI/Hitachi Tilt Train</v>
      </c>
      <c r="F498" t="s">
        <v>541</v>
      </c>
      <c r="G498" s="40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_xlfn.XLOOKUP("LOADINGSPEEDDEF_"&amp;PROPERTIES[[#This Row],[LOADINGSPEED]],LOADINGSPEEDDEF[TYPE],LOADINGSPEEDDEF[SPEED])</f>
        <v>20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3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0">
        <f>185/2</f>
        <v>92.5</v>
      </c>
      <c r="AA498" s="19">
        <f>IFERROR(PROPERTIES[[#This Row],[TE_STARTING_KN]]/(PROPERTIES[[#This Row],[WEIGHT]]*9.81),0)</f>
        <v>0.15715256540944614</v>
      </c>
      <c r="AB498" s="19">
        <v>0</v>
      </c>
      <c r="AC498" s="16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6">
        <v>39</v>
      </c>
      <c r="AF498" s="6">
        <v>8</v>
      </c>
      <c r="AG498" t="s">
        <v>232</v>
      </c>
      <c r="AH498" t="s">
        <v>229</v>
      </c>
      <c r="AI498" t="s">
        <v>229</v>
      </c>
      <c r="AJ498" s="2" t="s">
        <v>229</v>
      </c>
      <c r="AK498" s="2" t="s">
        <v>244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44" t="b">
        <v>0</v>
      </c>
      <c r="AP498" s="48" t="b">
        <v>0</v>
      </c>
      <c r="AQ498" s="48" t="b">
        <v>1</v>
      </c>
      <c r="AR498" s="48">
        <v>0</v>
      </c>
      <c r="AS498" s="48" t="b">
        <v>0</v>
      </c>
      <c r="AT498" s="7" t="b">
        <v>0</v>
      </c>
      <c r="AU498" s="40" t="str" cm="1">
        <f t="array" ref="AU498">_xlfn.XLOOKUP(PROPERTIES[[#This Row],[VEHIDCODE]],GRAPHICS_PROPERTIES[VEHIDCODE],GRAPHICS_PROPERTIES[TEMPLATE_ID]&amp;GRAPHICS_PROPERTIES[TEMPLATE_AMENDMENT_CODE])</f>
        <v>TPL_02A</v>
      </c>
    </row>
    <row r="499" spans="1:47" x14ac:dyDescent="0.35">
      <c r="A499" s="2" t="s">
        <v>3132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0" t="str">
        <f>_xlfn.XLOOKUP(PROPERTIES[[#This Row],[VEHIDCODE]],CONTROL[VEHIDCODE],CONTROL[ENGLISH])</f>
        <v>Nippon Sharyo 1000 Series</v>
      </c>
      <c r="F499" t="s">
        <v>565</v>
      </c>
      <c r="G499" s="40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15</v>
      </c>
      <c r="J499">
        <v>80</v>
      </c>
      <c r="K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3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0">
        <f>130/2</f>
        <v>65</v>
      </c>
      <c r="AA499" s="19">
        <f>IFERROR(PROPERTIES[[#This Row],[TE_STARTING_KN]]/(PROPERTIES[[#This Row],[WEIGHT]]*9.81),0)</f>
        <v>9.816136217767206E-2</v>
      </c>
      <c r="AB499" s="19">
        <v>0</v>
      </c>
      <c r="AC499" s="16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6">
        <v>80</v>
      </c>
      <c r="AF499" s="6">
        <v>8</v>
      </c>
      <c r="AG499" t="s">
        <v>235</v>
      </c>
      <c r="AH499" t="s">
        <v>229</v>
      </c>
      <c r="AI499" t="s">
        <v>229</v>
      </c>
      <c r="AJ499" s="2" t="s">
        <v>229</v>
      </c>
      <c r="AK499" s="2" t="s">
        <v>244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44" t="b">
        <v>0</v>
      </c>
      <c r="AP499" s="48" t="b">
        <v>0</v>
      </c>
      <c r="AQ499" s="48" t="b">
        <v>0</v>
      </c>
      <c r="AR499" s="48">
        <v>0</v>
      </c>
      <c r="AS499" s="48" t="b">
        <v>0</v>
      </c>
      <c r="AT499" s="7" t="b">
        <v>0</v>
      </c>
      <c r="AU499" s="40" t="str" cm="1">
        <f t="array" ref="AU499">_xlfn.XLOOKUP(PROPERTIES[[#This Row],[VEHIDCODE]],GRAPHICS_PROPERTIES[VEHIDCODE],GRAPHICS_PROPERTIES[TEMPLATE_ID]&amp;GRAPHICS_PROPERTIES[TEMPLATE_AMENDMENT_CODE])</f>
        <v>TPL_02A</v>
      </c>
    </row>
    <row r="500" spans="1:47" x14ac:dyDescent="0.35">
      <c r="A500" s="2" t="s">
        <v>3133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0" t="str">
        <f>_xlfn.XLOOKUP(PROPERTIES[[#This Row],[VEHIDCODE]],CONTROL[VEHIDCODE],CONTROL[ENGLISH])</f>
        <v>Materfer CMM 400-2</v>
      </c>
      <c r="F500" t="s">
        <v>538</v>
      </c>
      <c r="G500" s="40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15</v>
      </c>
      <c r="J500">
        <v>70</v>
      </c>
      <c r="K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3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0">
        <f>85/2</f>
        <v>42.5</v>
      </c>
      <c r="AA500" s="19">
        <f>IFERROR(PROPERTIES[[#This Row],[TE_STARTING_KN]]/(PROPERTIES[[#This Row],[WEIGHT]]*9.81),0)</f>
        <v>9.0256540944614341E-2</v>
      </c>
      <c r="AB500" s="19">
        <v>0</v>
      </c>
      <c r="AC500" s="16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6">
        <v>70</v>
      </c>
      <c r="AF500" s="6">
        <v>8</v>
      </c>
      <c r="AG500" t="s">
        <v>237</v>
      </c>
      <c r="AH500" t="s">
        <v>229</v>
      </c>
      <c r="AI500" t="s">
        <v>229</v>
      </c>
      <c r="AJ500" s="2" t="s">
        <v>229</v>
      </c>
      <c r="AK500" s="2" t="s">
        <v>244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44" t="b">
        <v>0</v>
      </c>
      <c r="AP500" s="48" t="b">
        <v>0</v>
      </c>
      <c r="AQ500" s="48" t="b">
        <v>0</v>
      </c>
      <c r="AR500" s="48">
        <v>0</v>
      </c>
      <c r="AS500" s="48" t="b">
        <v>0</v>
      </c>
      <c r="AT500" s="7" t="b">
        <v>0</v>
      </c>
      <c r="AU500" s="40" t="str" cm="1">
        <f t="array" ref="AU500">_xlfn.XLOOKUP(PROPERTIES[[#This Row],[VEHIDCODE]],GRAPHICS_PROPERTIES[VEHIDCODE],GRAPHICS_PROPERTIES[TEMPLATE_ID]&amp;GRAPHICS_PROPERTIES[TEMPLATE_AMENDMENT_CODE])</f>
        <v>TPL_02A</v>
      </c>
    </row>
    <row r="501" spans="1:47" x14ac:dyDescent="0.35">
      <c r="A501" s="2" t="s">
        <v>3134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0" t="str">
        <f>_xlfn.XLOOKUP(PROPERTIES[[#This Row],[VEHIDCODE]],CONTROL[VEHIDCODE],CONTROL[ENGLISH])</f>
        <v>Fiat ALn 442-448</v>
      </c>
      <c r="F501" t="s">
        <v>636</v>
      </c>
      <c r="G501" s="40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15</v>
      </c>
      <c r="J501">
        <v>60</v>
      </c>
      <c r="K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3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0">
        <f>98/2</f>
        <v>49</v>
      </c>
      <c r="AA501" s="19">
        <f>IFERROR(PROPERTIES[[#This Row],[TE_STARTING_KN]]/(PROPERTIES[[#This Row],[WEIGHT]]*9.81),0)</f>
        <v>9.6055830000784131E-2</v>
      </c>
      <c r="AB501" s="19">
        <v>0</v>
      </c>
      <c r="AC501" s="16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6">
        <v>60</v>
      </c>
      <c r="AF501" s="6">
        <v>8</v>
      </c>
      <c r="AG501" t="s">
        <v>231</v>
      </c>
      <c r="AH501" t="s">
        <v>229</v>
      </c>
      <c r="AI501" t="s">
        <v>229</v>
      </c>
      <c r="AJ501" s="2" t="s">
        <v>229</v>
      </c>
      <c r="AK501" s="2" t="s">
        <v>244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44" t="b">
        <v>0</v>
      </c>
      <c r="AP501" s="48" t="b">
        <v>0</v>
      </c>
      <c r="AQ501" s="48" t="b">
        <v>0</v>
      </c>
      <c r="AR501" s="48">
        <v>0</v>
      </c>
      <c r="AS501" s="48" t="b">
        <v>0</v>
      </c>
      <c r="AT501" s="7" t="b">
        <v>0</v>
      </c>
      <c r="AU501" s="40" t="str" cm="1">
        <f t="array" ref="AU501">_xlfn.XLOOKUP(PROPERTIES[[#This Row],[VEHIDCODE]],GRAPHICS_PROPERTIES[VEHIDCODE],GRAPHICS_PROPERTIES[TEMPLATE_ID]&amp;GRAPHICS_PROPERTIES[TEMPLATE_AMENDMENT_CODE])</f>
        <v>TPL_02A</v>
      </c>
    </row>
    <row r="502" spans="1:47" x14ac:dyDescent="0.35">
      <c r="A502" s="2" t="s">
        <v>3135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0" t="str">
        <f>_xlfn.XLOOKUP(PROPERTIES[[#This Row],[VEHIDCODE]],CONTROL[VEHIDCODE],CONTROL[ENGLISH])</f>
        <v>Sorefame CP 0400</v>
      </c>
      <c r="F502" t="s">
        <v>710</v>
      </c>
      <c r="G502" s="40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15</v>
      </c>
      <c r="J502">
        <f>INT(185/2)</f>
        <v>92</v>
      </c>
      <c r="K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3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0">
        <f>66/2</f>
        <v>33</v>
      </c>
      <c r="AA502" s="19">
        <f>IFERROR(PROPERTIES[[#This Row],[TE_STARTING_KN]]/(PROPERTIES[[#This Row],[WEIGHT]]*9.81),0)</f>
        <v>6.865131373650378E-2</v>
      </c>
      <c r="AB502" s="19">
        <v>0</v>
      </c>
      <c r="AC502" s="16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5">
        <f>INT(185/2)</f>
        <v>92</v>
      </c>
      <c r="AF502" s="6">
        <v>8</v>
      </c>
      <c r="AG502" t="s">
        <v>231</v>
      </c>
      <c r="AH502" t="s">
        <v>229</v>
      </c>
      <c r="AI502" t="s">
        <v>229</v>
      </c>
      <c r="AJ502" s="2" t="s">
        <v>229</v>
      </c>
      <c r="AK502" s="2" t="s">
        <v>244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44" t="b">
        <v>0</v>
      </c>
      <c r="AP502" s="48" t="b">
        <v>0</v>
      </c>
      <c r="AQ502" s="48" t="b">
        <v>0</v>
      </c>
      <c r="AR502" s="48">
        <v>0</v>
      </c>
      <c r="AS502" s="48" t="b">
        <v>0</v>
      </c>
      <c r="AT502" s="7" t="b">
        <v>0</v>
      </c>
      <c r="AU502" s="40" t="str" cm="1">
        <f t="array" ref="AU502">_xlfn.XLOOKUP(PROPERTIES[[#This Row],[VEHIDCODE]],GRAPHICS_PROPERTIES[VEHIDCODE],GRAPHICS_PROPERTIES[TEMPLATE_ID]&amp;GRAPHICS_PROPERTIES[TEMPLATE_AMENDMENT_CODE])</f>
        <v>TPL_02A</v>
      </c>
    </row>
    <row r="503" spans="1:47" x14ac:dyDescent="0.35">
      <c r="A503" s="2" t="s">
        <v>3136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0" t="str">
        <f>_xlfn.XLOOKUP(PROPERTIES[[#This Row],[VEHIDCODE]],CONTROL[VEHIDCODE],CONTROL[ENGLISH])</f>
        <v>Sorefame CP 0600</v>
      </c>
      <c r="F503" t="s">
        <v>710</v>
      </c>
      <c r="G503" s="40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15</v>
      </c>
      <c r="J503">
        <f>INT(194/2)</f>
        <v>97</v>
      </c>
      <c r="K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3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0">
        <f>114/2</f>
        <v>57</v>
      </c>
      <c r="AA503" s="19">
        <f>IFERROR(PROPERTIES[[#This Row],[TE_STARTING_KN]]/(PROPERTIES[[#This Row],[WEIGHT]]*9.81),0)</f>
        <v>0.10963014251918526</v>
      </c>
      <c r="AB503" s="19">
        <v>0</v>
      </c>
      <c r="AC503" s="16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6">
        <f>INT(194/2)</f>
        <v>97</v>
      </c>
      <c r="AF503" s="6">
        <v>8</v>
      </c>
      <c r="AG503" t="s">
        <v>231</v>
      </c>
      <c r="AH503" t="s">
        <v>229</v>
      </c>
      <c r="AI503" t="s">
        <v>229</v>
      </c>
      <c r="AJ503" s="2" t="s">
        <v>229</v>
      </c>
      <c r="AK503" s="2" t="s">
        <v>244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44" t="b">
        <v>0</v>
      </c>
      <c r="AP503" s="48" t="b">
        <v>0</v>
      </c>
      <c r="AQ503" s="48" t="b">
        <v>0</v>
      </c>
      <c r="AR503" s="48">
        <v>0</v>
      </c>
      <c r="AS503" s="48" t="b">
        <v>0</v>
      </c>
      <c r="AT503" s="7" t="b">
        <v>0</v>
      </c>
      <c r="AU503" s="40" t="str" cm="1">
        <f t="array" ref="AU503">_xlfn.XLOOKUP(PROPERTIES[[#This Row],[VEHIDCODE]],GRAPHICS_PROPERTIES[VEHIDCODE],GRAPHICS_PROPERTIES[TEMPLATE_ID]&amp;GRAPHICS_PROPERTIES[TEMPLATE_AMENDMENT_CODE])</f>
        <v>TPL_02A</v>
      </c>
    </row>
    <row r="504" spans="1:47" x14ac:dyDescent="0.35">
      <c r="A504" s="2" t="s">
        <v>3137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0" t="str">
        <f>_xlfn.XLOOKUP(PROPERTIES[[#This Row],[VEHIDCODE]],CONTROL[VEHIDCODE],CONTROL[ENGLISH])</f>
        <v>MTM 2400 'Apollos'</v>
      </c>
      <c r="F504" t="s">
        <v>595</v>
      </c>
      <c r="G504" s="40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15</v>
      </c>
      <c r="J504">
        <f>INT(350/3)</f>
        <v>116</v>
      </c>
      <c r="K504">
        <v>7</v>
      </c>
      <c r="L504">
        <v>0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3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0">
        <v>0</v>
      </c>
      <c r="AA504" s="19">
        <f>IFERROR(PROPERTIES[[#This Row],[TE_STARTING_KN]]/(PROPERTIES[[#This Row],[WEIGHT]]*9.81),0)</f>
        <v>0</v>
      </c>
      <c r="AB504" s="19">
        <v>0.2</v>
      </c>
      <c r="AC504" s="16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6">
        <f>INT(350/3)</f>
        <v>116</v>
      </c>
      <c r="AF504" s="6">
        <v>7</v>
      </c>
      <c r="AG504" t="s">
        <v>231</v>
      </c>
      <c r="AH504" t="s">
        <v>229</v>
      </c>
      <c r="AI504" t="s">
        <v>229</v>
      </c>
      <c r="AJ504" s="2" t="s">
        <v>229</v>
      </c>
      <c r="AK504" s="2" t="s">
        <v>244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44" t="b">
        <v>0</v>
      </c>
      <c r="AP504" s="48" t="b">
        <v>0</v>
      </c>
      <c r="AQ504" s="48" t="b">
        <v>0</v>
      </c>
      <c r="AR504" s="48">
        <v>0</v>
      </c>
      <c r="AS504" s="48" t="b">
        <v>0</v>
      </c>
      <c r="AT504" s="7" t="b">
        <v>0</v>
      </c>
      <c r="AU504" s="40" t="str" cm="1">
        <f t="array" ref="AU504">_xlfn.XLOOKUP(PROPERTIES[[#This Row],[VEHIDCODE]],GRAPHICS_PROPERTIES[VEHIDCODE],GRAPHICS_PROPERTIES[TEMPLATE_ID]&amp;GRAPHICS_PROPERTIES[TEMPLATE_AMENDMENT_CODE])</f>
        <v>TPL_02A</v>
      </c>
    </row>
    <row r="505" spans="1:47" x14ac:dyDescent="0.35">
      <c r="A505" s="2" t="s">
        <v>3138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0" t="str">
        <f>_xlfn.XLOOKUP(PROPERTIES[[#This Row],[VEHIDCODE]],CONTROL[VEHIDCODE],CONTROL[ENGLISH])</f>
        <v>Windhoff CargoSprinter</v>
      </c>
      <c r="F505" t="s">
        <v>584</v>
      </c>
      <c r="G505" s="40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24</v>
      </c>
      <c r="J505">
        <v>40</v>
      </c>
      <c r="K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3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0">
        <v>0</v>
      </c>
      <c r="AA505" s="19">
        <f>IFERROR(PROPERTIES[[#This Row],[TE_STARTING_KN]]/(PROPERTIES[[#This Row],[WEIGHT]]*9.81),0)</f>
        <v>0</v>
      </c>
      <c r="AB505" s="19">
        <v>0.17</v>
      </c>
      <c r="AC505" s="16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6">
        <v>40</v>
      </c>
      <c r="AF505" s="6">
        <v>7</v>
      </c>
      <c r="AG505" t="s">
        <v>230</v>
      </c>
      <c r="AH505" t="s">
        <v>229</v>
      </c>
      <c r="AI505" t="s">
        <v>229</v>
      </c>
      <c r="AJ505" s="2" t="s">
        <v>229</v>
      </c>
      <c r="AK505" s="2" t="s">
        <v>244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44" t="b">
        <v>0</v>
      </c>
      <c r="AP505" s="48" t="b">
        <v>0</v>
      </c>
      <c r="AQ505" s="48" t="b">
        <v>0</v>
      </c>
      <c r="AR505" s="48">
        <v>0</v>
      </c>
      <c r="AS505" s="48" t="b">
        <v>0</v>
      </c>
      <c r="AT505" s="7" t="b">
        <v>0</v>
      </c>
      <c r="AU505" s="40" t="str" cm="1">
        <f t="array" ref="AU505">_xlfn.XLOOKUP(PROPERTIES[[#This Row],[VEHIDCODE]],GRAPHICS_PROPERTIES[VEHIDCODE],GRAPHICS_PROPERTIES[TEMPLATE_ID]&amp;GRAPHICS_PROPERTIES[TEMPLATE_AMENDMENT_CODE])</f>
        <v>TPL_42A</v>
      </c>
    </row>
    <row r="506" spans="1:47" x14ac:dyDescent="0.35">
      <c r="A506" s="2" t="s">
        <v>3139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0" t="str">
        <f>_xlfn.XLOOKUP(PROPERTIES[[#This Row],[VEHIDCODE]],CONTROL[VEHIDCODE],CONTROL[ENGLISH])</f>
        <v>Downer/CRRC/Hitachi 'Waratah'</v>
      </c>
      <c r="F506" t="s">
        <v>541</v>
      </c>
      <c r="G506" s="40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15</v>
      </c>
      <c r="J506">
        <v>110</v>
      </c>
      <c r="K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3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0">
        <f>110/2</f>
        <v>55</v>
      </c>
      <c r="AA506" s="19">
        <f>IFERROR(PROPERTIES[[#This Row],[TE_STARTING_KN]]/(PROPERTIES[[#This Row],[WEIGHT]]*9.81),0)</f>
        <v>0.10993184225780016</v>
      </c>
      <c r="AB506" s="19">
        <v>0</v>
      </c>
      <c r="AC506" s="16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6">
        <v>110</v>
      </c>
      <c r="AF506" s="6">
        <v>8</v>
      </c>
      <c r="AG506" t="s">
        <v>232</v>
      </c>
      <c r="AH506" t="s">
        <v>229</v>
      </c>
      <c r="AI506" t="s">
        <v>229</v>
      </c>
      <c r="AJ506" s="2" t="s">
        <v>229</v>
      </c>
      <c r="AK506" s="2" t="s">
        <v>244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44" t="b">
        <v>0</v>
      </c>
      <c r="AP506" s="48" t="b">
        <v>0</v>
      </c>
      <c r="AQ506" s="48" t="b">
        <v>0</v>
      </c>
      <c r="AR506" s="48">
        <v>0</v>
      </c>
      <c r="AS506" s="48" t="b">
        <v>0</v>
      </c>
      <c r="AT506" s="7" t="b">
        <v>0</v>
      </c>
      <c r="AU506" s="40" t="str" cm="1">
        <f t="array" ref="AU506">_xlfn.XLOOKUP(PROPERTIES[[#This Row],[VEHIDCODE]],GRAPHICS_PROPERTIES[VEHIDCODE],GRAPHICS_PROPERTIES[TEMPLATE_ID]&amp;GRAPHICS_PROPERTIES[TEMPLATE_AMENDMENT_CODE])</f>
        <v>TPL_02A</v>
      </c>
    </row>
    <row r="507" spans="1:47" x14ac:dyDescent="0.35">
      <c r="A507" s="2" t="s">
        <v>3140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0" t="str">
        <f>_xlfn.XLOOKUP(PROPERTIES[[#This Row],[VEHIDCODE]],CONTROL[VEHIDCODE],CONTROL[ENGLISH])</f>
        <v>Frichs &amp; Scandia S-Tog II</v>
      </c>
      <c r="F507" t="s">
        <v>586</v>
      </c>
      <c r="G507" s="40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15</v>
      </c>
      <c r="J507">
        <v>56</v>
      </c>
      <c r="K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3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0">
        <f>60/2</f>
        <v>30</v>
      </c>
      <c r="AA507" s="19">
        <f>IFERROR(PROPERTIES[[#This Row],[TE_STARTING_KN]]/(PROPERTIES[[#This Row],[WEIGHT]]*9.81),0)</f>
        <v>7.1118697105469017E-2</v>
      </c>
      <c r="AB507" s="19">
        <v>0</v>
      </c>
      <c r="AC507" s="16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6">
        <v>56</v>
      </c>
      <c r="AF507" s="6">
        <v>8</v>
      </c>
      <c r="AG507" t="s">
        <v>234</v>
      </c>
      <c r="AH507" t="s">
        <v>229</v>
      </c>
      <c r="AI507" t="s">
        <v>229</v>
      </c>
      <c r="AJ507" s="2" t="s">
        <v>229</v>
      </c>
      <c r="AK507" s="2" t="s">
        <v>244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44" t="b">
        <v>0</v>
      </c>
      <c r="AP507" s="48" t="b">
        <v>0</v>
      </c>
      <c r="AQ507" s="48" t="b">
        <v>0</v>
      </c>
      <c r="AR507" s="48">
        <v>0</v>
      </c>
      <c r="AS507" s="48" t="b">
        <v>0</v>
      </c>
      <c r="AT507" s="7" t="b">
        <v>0</v>
      </c>
      <c r="AU507" s="40" t="str" cm="1">
        <f t="array" ref="AU507">_xlfn.XLOOKUP(PROPERTIES[[#This Row],[VEHIDCODE]],GRAPHICS_PROPERTIES[VEHIDCODE],GRAPHICS_PROPERTIES[TEMPLATE_ID]&amp;GRAPHICS_PROPERTIES[TEMPLATE_AMENDMENT_CODE])</f>
        <v>TPL_02D</v>
      </c>
    </row>
    <row r="508" spans="1:47" x14ac:dyDescent="0.35">
      <c r="A508" s="2" t="s">
        <v>3141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0" t="str">
        <f>_xlfn.XLOOKUP(PROPERTIES[[#This Row],[VEHIDCODE]],CONTROL[VEHIDCODE],CONTROL[ENGLISH])</f>
        <v>Alsthom S-Tog IV</v>
      </c>
      <c r="F508" t="s">
        <v>586</v>
      </c>
      <c r="G508" s="40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15</v>
      </c>
      <c r="J508">
        <v>90</v>
      </c>
      <c r="K508">
        <v>5</v>
      </c>
      <c r="L508">
        <v>0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3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0">
        <f>75/2</f>
        <v>37.5</v>
      </c>
      <c r="AA508" s="19">
        <f>IFERROR(PROPERTIES[[#This Row],[TE_STARTING_KN]]/(PROPERTIES[[#This Row],[WEIGHT]]*9.81),0)</f>
        <v>0.12135333236250666</v>
      </c>
      <c r="AB508" s="19">
        <v>0</v>
      </c>
      <c r="AC508" s="16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6">
        <v>90</v>
      </c>
      <c r="AF508" s="6">
        <v>5</v>
      </c>
      <c r="AG508" t="s">
        <v>234</v>
      </c>
      <c r="AH508" t="s">
        <v>229</v>
      </c>
      <c r="AI508" t="s">
        <v>229</v>
      </c>
      <c r="AJ508" s="2" t="s">
        <v>229</v>
      </c>
      <c r="AK508" s="2" t="s">
        <v>244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44" t="b">
        <v>0</v>
      </c>
      <c r="AP508" s="48" t="b">
        <v>0</v>
      </c>
      <c r="AQ508" s="48" t="b">
        <v>0</v>
      </c>
      <c r="AR508" s="48">
        <v>0</v>
      </c>
      <c r="AS508" s="48" t="b">
        <v>0</v>
      </c>
      <c r="AT508" s="7" t="b">
        <v>0</v>
      </c>
      <c r="AU508" s="40" t="str" cm="1">
        <f t="array" ref="AU508">_xlfn.XLOOKUP(PROPERTIES[[#This Row],[VEHIDCODE]],GRAPHICS_PROPERTIES[VEHIDCODE],GRAPHICS_PROPERTIES[TEMPLATE_ID]&amp;GRAPHICS_PROPERTIES[TEMPLATE_AMENDMENT_CODE])</f>
        <v>TPL_02D</v>
      </c>
    </row>
    <row r="509" spans="1:47" x14ac:dyDescent="0.35">
      <c r="A509" s="2" t="s">
        <v>3142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0" t="str">
        <f>_xlfn.XLOOKUP(PROPERTIES[[#This Row],[VEHIDCODE]],CONTROL[VEHIDCODE],CONTROL[ENGLISH])</f>
        <v>TIBB ECD 21-30</v>
      </c>
      <c r="F509" t="s">
        <v>636</v>
      </c>
      <c r="G509" s="40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15</v>
      </c>
      <c r="J509">
        <v>34</v>
      </c>
      <c r="K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3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0">
        <f>60/2</f>
        <v>30</v>
      </c>
      <c r="AA509" s="19">
        <f>IFERROR(PROPERTIES[[#This Row],[TE_STARTING_KN]]/(PROPERTIES[[#This Row],[WEIGHT]]*9.81),0)</f>
        <v>8.2651458798247784E-2</v>
      </c>
      <c r="AB509" s="19">
        <v>0</v>
      </c>
      <c r="AC509" s="16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6">
        <v>50</v>
      </c>
      <c r="AF509" s="6">
        <v>8</v>
      </c>
      <c r="AG509" t="s">
        <v>231</v>
      </c>
      <c r="AH509" t="s">
        <v>229</v>
      </c>
      <c r="AI509" t="s">
        <v>229</v>
      </c>
      <c r="AJ509" s="2" t="s">
        <v>229</v>
      </c>
      <c r="AK509" s="2" t="s">
        <v>244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44" t="b">
        <v>0</v>
      </c>
      <c r="AP509" s="48" t="b">
        <v>0</v>
      </c>
      <c r="AQ509" s="48" t="b">
        <v>0</v>
      </c>
      <c r="AR509" s="48">
        <v>0</v>
      </c>
      <c r="AS509" s="48" t="b">
        <v>0</v>
      </c>
      <c r="AT509" s="7" t="b">
        <v>0</v>
      </c>
      <c r="AU509" s="40" t="str" cm="1">
        <f t="array" ref="AU509">_xlfn.XLOOKUP(PROPERTIES[[#This Row],[VEHIDCODE]],GRAPHICS_PROPERTIES[VEHIDCODE],GRAPHICS_PROPERTIES[TEMPLATE_ID]&amp;GRAPHICS_PROPERTIES[TEMPLATE_AMENDMENT_CODE])</f>
        <v>TPL_02A</v>
      </c>
    </row>
    <row r="510" spans="1:47" x14ac:dyDescent="0.35">
      <c r="A510" s="2" t="s">
        <v>3143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0" t="str">
        <f>_xlfn.XLOOKUP(PROPERTIES[[#This Row],[VEHIDCODE]],CONTROL[VEHIDCODE],CONTROL[ENGLISH])</f>
        <v>Werkspoor Mat'24</v>
      </c>
      <c r="F510" t="s">
        <v>692</v>
      </c>
      <c r="G510" s="40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15</v>
      </c>
      <c r="J510">
        <v>44</v>
      </c>
      <c r="K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3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0">
        <f>120/2</f>
        <v>60</v>
      </c>
      <c r="AA510" s="19">
        <f>IFERROR(PROPERTIES[[#This Row],[TE_STARTING_KN]]/(PROPERTIES[[#This Row],[WEIGHT]]*9.81),0)</f>
        <v>0.11120378092855156</v>
      </c>
      <c r="AB510" s="19">
        <v>0</v>
      </c>
      <c r="AC510" s="16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6">
        <v>88</v>
      </c>
      <c r="AF510" s="6">
        <v>8</v>
      </c>
      <c r="AG510" t="s">
        <v>230</v>
      </c>
      <c r="AH510" t="s">
        <v>229</v>
      </c>
      <c r="AI510" t="s">
        <v>229</v>
      </c>
      <c r="AJ510" s="2" t="s">
        <v>229</v>
      </c>
      <c r="AK510" s="2" t="s">
        <v>244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44" t="b">
        <v>0</v>
      </c>
      <c r="AP510" s="48" t="b">
        <v>0</v>
      </c>
      <c r="AQ510" s="48" t="b">
        <v>0</v>
      </c>
      <c r="AR510" s="48">
        <v>0</v>
      </c>
      <c r="AS510" s="48" t="b">
        <v>0</v>
      </c>
      <c r="AT510" s="7" t="b">
        <v>0</v>
      </c>
      <c r="AU510" s="40" t="str" cm="1">
        <f t="array" ref="AU510">_xlfn.XLOOKUP(PROPERTIES[[#This Row],[VEHIDCODE]],GRAPHICS_PROPERTIES[VEHIDCODE],GRAPHICS_PROPERTIES[TEMPLATE_ID]&amp;GRAPHICS_PROPERTIES[TEMPLATE_AMENDMENT_CODE])</f>
        <v>TPL_02A</v>
      </c>
    </row>
    <row r="511" spans="1:47" x14ac:dyDescent="0.35">
      <c r="A511" s="2" t="s">
        <v>3144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0" t="str">
        <f>_xlfn.XLOOKUP(PROPERTIES[[#This Row],[VEHIDCODE]],CONTROL[VEHIDCODE],CONTROL[ENGLISH])</f>
        <v>Werkspoor Mat'36</v>
      </c>
      <c r="F511" t="s">
        <v>692</v>
      </c>
      <c r="G511" s="40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15</v>
      </c>
      <c r="J511">
        <f>144/2</f>
        <v>72</v>
      </c>
      <c r="K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3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0">
        <f>85/2</f>
        <v>42.5</v>
      </c>
      <c r="AA511" s="19">
        <f>IFERROR(PROPERTIES[[#This Row],[TE_STARTING_KN]]/(PROPERTIES[[#This Row],[WEIGHT]]*9.81),0)</f>
        <v>0.1019367991845056</v>
      </c>
      <c r="AB511" s="19">
        <v>0</v>
      </c>
      <c r="AC511" s="16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6">
        <v>72</v>
      </c>
      <c r="AF511" s="6">
        <v>8</v>
      </c>
      <c r="AG511" t="s">
        <v>230</v>
      </c>
      <c r="AH511" t="s">
        <v>229</v>
      </c>
      <c r="AI511" t="s">
        <v>229</v>
      </c>
      <c r="AJ511" s="2" t="s">
        <v>229</v>
      </c>
      <c r="AK511" s="2" t="s">
        <v>244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44" t="b">
        <v>0</v>
      </c>
      <c r="AP511" s="48" t="b">
        <v>0</v>
      </c>
      <c r="AQ511" s="48" t="b">
        <v>0</v>
      </c>
      <c r="AR511" s="48">
        <v>0</v>
      </c>
      <c r="AS511" s="48" t="b">
        <v>0</v>
      </c>
      <c r="AT511" s="7" t="b">
        <v>0</v>
      </c>
      <c r="AU511" s="40" t="str" cm="1">
        <f t="array" ref="AU511">_xlfn.XLOOKUP(PROPERTIES[[#This Row],[VEHIDCODE]],GRAPHICS_PROPERTIES[VEHIDCODE],GRAPHICS_PROPERTIES[TEMPLATE_ID]&amp;GRAPHICS_PROPERTIES[TEMPLATE_AMENDMENT_CODE])</f>
        <v>TPL_02A</v>
      </c>
    </row>
    <row r="512" spans="1:47" x14ac:dyDescent="0.35">
      <c r="A512" s="2" t="s">
        <v>3145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0" t="str">
        <f>_xlfn.XLOOKUP(PROPERTIES[[#This Row],[VEHIDCODE]],CONTROL[VEHIDCODE],CONTROL[ENGLISH])</f>
        <v>Werkspoor Mat'54</v>
      </c>
      <c r="F512" t="s">
        <v>692</v>
      </c>
      <c r="G512" s="40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15</v>
      </c>
      <c r="J512">
        <f>INT(113/2)</f>
        <v>56</v>
      </c>
      <c r="K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3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0">
        <f>110/2</f>
        <v>55</v>
      </c>
      <c r="AA512" s="19">
        <f>IFERROR(PROPERTIES[[#This Row],[TE_STARTING_KN]]/(PROPERTIES[[#This Row],[WEIGHT]]*9.81),0)</f>
        <v>0.10287199917702401</v>
      </c>
      <c r="AB512" s="19">
        <v>0</v>
      </c>
      <c r="AC512" s="16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6">
        <v>56</v>
      </c>
      <c r="AF512" s="6">
        <v>8</v>
      </c>
      <c r="AG512" t="s">
        <v>230</v>
      </c>
      <c r="AH512" t="s">
        <v>229</v>
      </c>
      <c r="AI512" t="s">
        <v>229</v>
      </c>
      <c r="AJ512" s="2" t="s">
        <v>229</v>
      </c>
      <c r="AK512" s="2" t="s">
        <v>244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44" t="b">
        <v>0</v>
      </c>
      <c r="AP512" s="48" t="b">
        <v>0</v>
      </c>
      <c r="AQ512" s="48" t="b">
        <v>0</v>
      </c>
      <c r="AR512" s="48">
        <v>0</v>
      </c>
      <c r="AS512" s="48" t="b">
        <v>0</v>
      </c>
      <c r="AT512" s="7" t="b">
        <v>0</v>
      </c>
      <c r="AU512" s="40" t="str" cm="1">
        <f t="array" ref="AU512">_xlfn.XLOOKUP(PROPERTIES[[#This Row],[VEHIDCODE]],GRAPHICS_PROPERTIES[VEHIDCODE],GRAPHICS_PROPERTIES[TEMPLATE_ID]&amp;GRAPHICS_PROPERTIES[TEMPLATE_AMENDMENT_CODE])</f>
        <v>TPL_02A</v>
      </c>
    </row>
    <row r="513" spans="1:47" x14ac:dyDescent="0.35">
      <c r="A513" s="2" t="s">
        <v>3146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0" t="str">
        <f>_xlfn.XLOOKUP(PROPERTIES[[#This Row],[VEHIDCODE]],CONTROL[VEHIDCODE],CONTROL[ENGLISH])</f>
        <v>Talbot Plan Y</v>
      </c>
      <c r="F513" t="s">
        <v>692</v>
      </c>
      <c r="G513" s="40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15</v>
      </c>
      <c r="J513">
        <v>77</v>
      </c>
      <c r="K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3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0">
        <f>160/2</f>
        <v>80</v>
      </c>
      <c r="AA513" s="19">
        <f>IFERROR(PROPERTIES[[#This Row],[TE_STARTING_KN]]/(PROPERTIES[[#This Row],[WEIGHT]]*9.81),0)</f>
        <v>0.15386686669359334</v>
      </c>
      <c r="AB513" s="19">
        <v>0</v>
      </c>
      <c r="AC513" s="16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6">
        <v>77</v>
      </c>
      <c r="AF513" s="6">
        <v>8</v>
      </c>
      <c r="AG513" t="s">
        <v>230</v>
      </c>
      <c r="AH513" t="s">
        <v>229</v>
      </c>
      <c r="AI513" t="s">
        <v>229</v>
      </c>
      <c r="AJ513" s="2" t="s">
        <v>229</v>
      </c>
      <c r="AK513" s="2" t="s">
        <v>244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44" t="b">
        <v>0</v>
      </c>
      <c r="AP513" s="48" t="b">
        <v>0</v>
      </c>
      <c r="AQ513" s="48" t="b">
        <v>0</v>
      </c>
      <c r="AR513" s="48">
        <v>0</v>
      </c>
      <c r="AS513" s="48" t="b">
        <v>0</v>
      </c>
      <c r="AT513" s="7" t="b">
        <v>0</v>
      </c>
      <c r="AU513" s="40" t="str" cm="1">
        <f t="array" ref="AU513">_xlfn.XLOOKUP(PROPERTIES[[#This Row],[VEHIDCODE]],GRAPHICS_PROPERTIES[VEHIDCODE],GRAPHICS_PROPERTIES[TEMPLATE_ID]&amp;GRAPHICS_PROPERTIES[TEMPLATE_AMENDMENT_CODE])</f>
        <v>TPL_02A</v>
      </c>
    </row>
    <row r="514" spans="1:47" x14ac:dyDescent="0.35">
      <c r="A514" s="2" t="s">
        <v>3147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0" t="str">
        <f>_xlfn.XLOOKUP(PROPERTIES[[#This Row],[VEHIDCODE]],CONTROL[VEHIDCODE],CONTROL[ENGLISH])</f>
        <v>Talbot ICM 4000</v>
      </c>
      <c r="F514" t="s">
        <v>692</v>
      </c>
      <c r="G514" s="40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15</v>
      </c>
      <c r="J514">
        <f>INT(205/2)</f>
        <v>102</v>
      </c>
      <c r="K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3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0">
        <f>100/2</f>
        <v>50</v>
      </c>
      <c r="AA514" s="19">
        <f>IFERROR(PROPERTIES[[#This Row],[TE_STARTING_KN]]/(PROPERTIES[[#This Row],[WEIGHT]]*9.81),0)</f>
        <v>7.0789443878128883E-2</v>
      </c>
      <c r="AB514" s="19">
        <v>0</v>
      </c>
      <c r="AC514" s="16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6">
        <f>INT(205/2)</f>
        <v>102</v>
      </c>
      <c r="AF514" s="6">
        <v>8</v>
      </c>
      <c r="AG514" t="s">
        <v>230</v>
      </c>
      <c r="AH514" t="s">
        <v>229</v>
      </c>
      <c r="AI514" t="s">
        <v>229</v>
      </c>
      <c r="AJ514" s="2" t="s">
        <v>229</v>
      </c>
      <c r="AK514" s="2" t="s">
        <v>244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44" t="b">
        <v>0</v>
      </c>
      <c r="AP514" s="48" t="b">
        <v>0</v>
      </c>
      <c r="AQ514" s="48" t="b">
        <v>0</v>
      </c>
      <c r="AR514" s="48">
        <v>0</v>
      </c>
      <c r="AS514" s="48" t="b">
        <v>0</v>
      </c>
      <c r="AT514" s="7" t="b">
        <v>0</v>
      </c>
      <c r="AU514" s="40" t="str" cm="1">
        <f t="array" ref="AU514">_xlfn.XLOOKUP(PROPERTIES[[#This Row],[VEHIDCODE]],GRAPHICS_PROPERTIES[VEHIDCODE],GRAPHICS_PROPERTIES[TEMPLATE_ID]&amp;GRAPHICS_PROPERTIES[TEMPLATE_AMENDMENT_CODE])</f>
        <v>TPL_02A</v>
      </c>
    </row>
    <row r="515" spans="1:47" x14ac:dyDescent="0.35">
      <c r="A515" s="2" t="s">
        <v>3148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0" t="str">
        <f>_xlfn.XLOOKUP(PROPERTIES[[#This Row],[VEHIDCODE]],CONTROL[VEHIDCODE],CONTROL[ENGLISH])</f>
        <v>Talbot DD-IRM 'VIRM' 8000</v>
      </c>
      <c r="F515" t="s">
        <v>692</v>
      </c>
      <c r="G515" s="40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15</v>
      </c>
      <c r="J515">
        <f>INT((129+442)/6)</f>
        <v>95</v>
      </c>
      <c r="K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3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0">
        <f>105/2</f>
        <v>52.5</v>
      </c>
      <c r="AA515" s="19">
        <f>IFERROR(PROPERTIES[[#This Row],[TE_STARTING_KN]]/(PROPERTIES[[#This Row],[WEIGHT]]*9.81),0)</f>
        <v>0.10291696071512585</v>
      </c>
      <c r="AB515" s="19">
        <v>0</v>
      </c>
      <c r="AC515" s="16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5">
        <f>INT((129+442)/6)</f>
        <v>95</v>
      </c>
      <c r="AF515" s="6">
        <v>8</v>
      </c>
      <c r="AG515" t="s">
        <v>230</v>
      </c>
      <c r="AH515" t="s">
        <v>229</v>
      </c>
      <c r="AI515" t="s">
        <v>229</v>
      </c>
      <c r="AJ515" s="2" t="s">
        <v>229</v>
      </c>
      <c r="AK515" s="2" t="s">
        <v>244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44" t="b">
        <v>0</v>
      </c>
      <c r="AP515" s="48" t="b">
        <v>0</v>
      </c>
      <c r="AQ515" s="48" t="b">
        <v>0</v>
      </c>
      <c r="AR515" s="48">
        <v>0</v>
      </c>
      <c r="AS515" s="48" t="b">
        <v>0</v>
      </c>
      <c r="AT515" s="7" t="b">
        <v>0</v>
      </c>
      <c r="AU515" s="40" t="str" cm="1">
        <f t="array" ref="AU515">_xlfn.XLOOKUP(PROPERTIES[[#This Row],[VEHIDCODE]],GRAPHICS_PROPERTIES[VEHIDCODE],GRAPHICS_PROPERTIES[TEMPLATE_ID]&amp;GRAPHICS_PROPERTIES[TEMPLATE_AMENDMENT_CODE])</f>
        <v>TPL_02A</v>
      </c>
    </row>
    <row r="516" spans="1:47" x14ac:dyDescent="0.35">
      <c r="A516" s="2" t="s">
        <v>3149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0" t="str">
        <f>_xlfn.XLOOKUP(PROPERTIES[[#This Row],[VEHIDCODE]],CONTROL[VEHIDCODE],CONTROL[ENGLISH])</f>
        <v>De Dietrich/Adtranz mDDm 390</v>
      </c>
      <c r="F516" t="s">
        <v>692</v>
      </c>
      <c r="G516" s="40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15</v>
      </c>
      <c r="J516">
        <v>64</v>
      </c>
      <c r="K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3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0">
        <f>200/2</f>
        <v>100</v>
      </c>
      <c r="AA516" s="19">
        <f>IFERROR(PROPERTIES[[#This Row],[TE_STARTING_KN]]/(PROPERTIES[[#This Row],[WEIGHT]]*9.81),0)</f>
        <v>0.24270666472501332</v>
      </c>
      <c r="AB516" s="19">
        <v>0</v>
      </c>
      <c r="AC516" s="16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6">
        <v>140</v>
      </c>
      <c r="AF516" s="6">
        <v>8</v>
      </c>
      <c r="AG516" t="s">
        <v>230</v>
      </c>
      <c r="AH516" t="s">
        <v>229</v>
      </c>
      <c r="AI516" t="s">
        <v>229</v>
      </c>
      <c r="AJ516" s="2" t="s">
        <v>229</v>
      </c>
      <c r="AK516" s="2" t="s">
        <v>244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44" t="b">
        <v>0</v>
      </c>
      <c r="AP516" s="48" t="b">
        <v>0</v>
      </c>
      <c r="AQ516" s="48" t="b">
        <v>0</v>
      </c>
      <c r="AR516" s="48">
        <v>0</v>
      </c>
      <c r="AS516" s="48" t="b">
        <v>0</v>
      </c>
      <c r="AT516" s="7" t="b">
        <v>0</v>
      </c>
      <c r="AU516" s="40" t="str" cm="1">
        <f t="array" ref="AU516">_xlfn.XLOOKUP(PROPERTIES[[#This Row],[VEHIDCODE]],GRAPHICS_PROPERTIES[VEHIDCODE],GRAPHICS_PROPERTIES[TEMPLATE_ID]&amp;GRAPHICS_PROPERTIES[TEMPLATE_AMENDMENT_CODE])</f>
        <v>TPL_02A</v>
      </c>
    </row>
    <row r="517" spans="1:47" x14ac:dyDescent="0.35">
      <c r="A517" s="2" t="s">
        <v>3150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0" t="str">
        <f>_xlfn.XLOOKUP(PROPERTIES[[#This Row],[VEHIDCODE]],CONTROL[VEHIDCODE],CONTROL[ENGLISH])</f>
        <v>ET 165</v>
      </c>
      <c r="F517" t="s">
        <v>705</v>
      </c>
      <c r="G517" s="40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15</v>
      </c>
      <c r="J517">
        <f>INT(119/2)</f>
        <v>59</v>
      </c>
      <c r="K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3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0">
        <f>80/2</f>
        <v>40</v>
      </c>
      <c r="AA517" s="19">
        <f>IFERROR(PROPERTIES[[#This Row],[TE_STARTING_KN]]/(PROPERTIES[[#This Row],[WEIGHT]]*9.81),0)</f>
        <v>0.10730189387842695</v>
      </c>
      <c r="AB517" s="19">
        <v>0</v>
      </c>
      <c r="AC517" s="16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6">
        <f>INT(119/2)</f>
        <v>59</v>
      </c>
      <c r="AF517" s="6">
        <v>8</v>
      </c>
      <c r="AG517" t="s">
        <v>1948</v>
      </c>
      <c r="AH517" t="s">
        <v>230</v>
      </c>
      <c r="AI517" t="s">
        <v>229</v>
      </c>
      <c r="AJ517" s="2" t="s">
        <v>229</v>
      </c>
      <c r="AK517" s="2" t="s">
        <v>244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44" t="b">
        <v>0</v>
      </c>
      <c r="AP517" s="48" t="b">
        <v>0</v>
      </c>
      <c r="AQ517" s="48" t="b">
        <v>0</v>
      </c>
      <c r="AR517" s="48">
        <v>0</v>
      </c>
      <c r="AS517" s="48" t="b">
        <v>0</v>
      </c>
      <c r="AT517" s="7" t="b">
        <v>0</v>
      </c>
      <c r="AU517" s="40" t="str" cm="1">
        <f t="array" ref="AU517">_xlfn.XLOOKUP(PROPERTIES[[#This Row],[VEHIDCODE]],GRAPHICS_PROPERTIES[VEHIDCODE],GRAPHICS_PROPERTIES[TEMPLATE_ID]&amp;GRAPHICS_PROPERTIES[TEMPLATE_AMENDMENT_CODE])</f>
        <v>TPL_02A</v>
      </c>
    </row>
    <row r="518" spans="1:47" x14ac:dyDescent="0.35">
      <c r="A518" s="2" t="s">
        <v>3151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0" t="str">
        <f>_xlfn.XLOOKUP(PROPERTIES[[#This Row],[VEHIDCODE]],CONTROL[VEHIDCODE],CONTROL[ENGLISH])</f>
        <v>Breda ETR.200</v>
      </c>
      <c r="F518" t="s">
        <v>636</v>
      </c>
      <c r="G518" s="40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15</v>
      </c>
      <c r="J518">
        <f>INT(104/2)</f>
        <v>52</v>
      </c>
      <c r="K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3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0">
        <f>50/2</f>
        <v>25</v>
      </c>
      <c r="AA518" s="19">
        <f>IFERROR(PROPERTIES[[#This Row],[TE_STARTING_KN]]/(PROPERTIES[[#This Row],[WEIGHT]]*9.81),0)</f>
        <v>6.5455992627036996E-2</v>
      </c>
      <c r="AB518" s="19">
        <v>0</v>
      </c>
      <c r="AC518" s="16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6">
        <f>INT(104/2)</f>
        <v>52</v>
      </c>
      <c r="AF518" s="6">
        <v>8</v>
      </c>
      <c r="AG518" t="s">
        <v>231</v>
      </c>
      <c r="AH518" t="s">
        <v>229</v>
      </c>
      <c r="AI518" t="s">
        <v>229</v>
      </c>
      <c r="AJ518" s="2" t="s">
        <v>229</v>
      </c>
      <c r="AK518" s="2" t="s">
        <v>244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44" t="b">
        <v>0</v>
      </c>
      <c r="AP518" s="48" t="b">
        <v>0</v>
      </c>
      <c r="AQ518" s="48" t="b">
        <v>1</v>
      </c>
      <c r="AR518" s="48">
        <v>0</v>
      </c>
      <c r="AS518" s="48" t="b">
        <v>0</v>
      </c>
      <c r="AT518" s="7" t="b">
        <v>0</v>
      </c>
      <c r="AU518" s="40" t="str" cm="1">
        <f t="array" ref="AU518">_xlfn.XLOOKUP(PROPERTIES[[#This Row],[VEHIDCODE]],GRAPHICS_PROPERTIES[VEHIDCODE],GRAPHICS_PROPERTIES[TEMPLATE_ID]&amp;GRAPHICS_PROPERTIES[TEMPLATE_AMENDMENT_CODE])</f>
        <v>TPL_02A</v>
      </c>
    </row>
    <row r="519" spans="1:47" x14ac:dyDescent="0.35">
      <c r="A519" s="2" t="s">
        <v>3152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0" t="str">
        <f>_xlfn.XLOOKUP(PROPERTIES[[#This Row],[VEHIDCODE]],CONTROL[VEHIDCODE],CONTROL[ENGLISH])</f>
        <v>Breda ETR.300 'Settebello'</v>
      </c>
      <c r="F519" t="s">
        <v>636</v>
      </c>
      <c r="G519" s="40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15</v>
      </c>
      <c r="J519">
        <f>INT(190/7)</f>
        <v>27</v>
      </c>
      <c r="K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3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0">
        <f>70/2</f>
        <v>35</v>
      </c>
      <c r="AA519" s="19">
        <f>IFERROR(PROPERTIES[[#This Row],[TE_STARTING_KN]]/(PROPERTIES[[#This Row],[WEIGHT]]*9.81),0)</f>
        <v>8.0303909325414369E-2</v>
      </c>
      <c r="AB519" s="19">
        <v>0</v>
      </c>
      <c r="AC519" s="16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6">
        <f>INT(190/7)</f>
        <v>27</v>
      </c>
      <c r="AF519" s="6">
        <v>8</v>
      </c>
      <c r="AG519" t="s">
        <v>231</v>
      </c>
      <c r="AH519" t="s">
        <v>229</v>
      </c>
      <c r="AI519" t="s">
        <v>229</v>
      </c>
      <c r="AJ519" s="2" t="s">
        <v>229</v>
      </c>
      <c r="AK519" s="2" t="s">
        <v>244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44" t="b">
        <v>0</v>
      </c>
      <c r="AP519" s="48" t="b">
        <v>0</v>
      </c>
      <c r="AQ519" s="48" t="b">
        <v>0</v>
      </c>
      <c r="AR519" s="48">
        <v>0</v>
      </c>
      <c r="AS519" s="48" t="b">
        <v>0</v>
      </c>
      <c r="AT519" s="7" t="b">
        <v>0</v>
      </c>
      <c r="AU519" s="40" t="str" cm="1">
        <f t="array" ref="AU519">_xlfn.XLOOKUP(PROPERTIES[[#This Row],[VEHIDCODE]],GRAPHICS_PROPERTIES[VEHIDCODE],GRAPHICS_PROPERTIES[TEMPLATE_ID]&amp;GRAPHICS_PROPERTIES[TEMPLATE_AMENDMENT_CODE])</f>
        <v>TPL_02D</v>
      </c>
    </row>
    <row r="520" spans="1:47" x14ac:dyDescent="0.35">
      <c r="A520" s="2" t="s">
        <v>3153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0" t="str">
        <f>_xlfn.XLOOKUP(PROPERTIES[[#This Row],[VEHIDCODE]],CONTROL[VEHIDCODE],CONTROL[ENGLISH])</f>
        <v>TREVI ETR.500 'Frecciarossa'</v>
      </c>
      <c r="F520" t="s">
        <v>636</v>
      </c>
      <c r="G520" s="40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_xlfn.XLOOKUP("LOADINGSPEEDDEF_"&amp;PROPERTIES[[#This Row],[LOADINGSPEED]],LOADINGSPEEDDEF[TYPE],LOADINGSPEEDDEF[SPEED])</f>
        <v>20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3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0">
        <f>400/2</f>
        <v>200</v>
      </c>
      <c r="AA520" s="19">
        <f>IFERROR(PROPERTIES[[#This Row],[TE_STARTING_KN]]/(PROPERTIES[[#This Row],[WEIGHT]]*9.81),0)</f>
        <v>0.37754370068335408</v>
      </c>
      <c r="AB520" s="19">
        <v>0</v>
      </c>
      <c r="AC520" s="16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6">
        <v>68</v>
      </c>
      <c r="AF520" s="6">
        <v>8</v>
      </c>
      <c r="AG520" t="s">
        <v>231</v>
      </c>
      <c r="AH520" t="s">
        <v>229</v>
      </c>
      <c r="AI520" t="s">
        <v>229</v>
      </c>
      <c r="AJ520" s="2" t="s">
        <v>229</v>
      </c>
      <c r="AK520" s="2" t="s">
        <v>244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44" t="b">
        <v>0</v>
      </c>
      <c r="AP520" s="48" t="b">
        <v>0</v>
      </c>
      <c r="AQ520" s="48" t="b">
        <v>0</v>
      </c>
      <c r="AR520" s="48">
        <v>0</v>
      </c>
      <c r="AS520" s="48" t="b">
        <v>0</v>
      </c>
      <c r="AT520" s="7" t="b">
        <v>0</v>
      </c>
      <c r="AU520" s="40" t="str" cm="1">
        <f t="array" ref="AU520">_xlfn.XLOOKUP(PROPERTIES[[#This Row],[VEHIDCODE]],GRAPHICS_PROPERTIES[VEHIDCODE],GRAPHICS_PROPERTIES[TEMPLATE_ID]&amp;GRAPHICS_PROPERTIES[TEMPLATE_AMENDMENT_CODE])</f>
        <v>TPL_02A</v>
      </c>
    </row>
    <row r="521" spans="1:47" x14ac:dyDescent="0.35">
      <c r="A521" s="2" t="s">
        <v>3154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0" t="str">
        <f>_xlfn.XLOOKUP(PROPERTIES[[#This Row],[VEHIDCODE]],CONTROL[VEHIDCODE],CONTROL[ENGLISH])</f>
        <v>AnsaldoBreda ALe 426</v>
      </c>
      <c r="F521" t="s">
        <v>636</v>
      </c>
      <c r="G521" s="40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15</v>
      </c>
      <c r="J521">
        <v>102</v>
      </c>
      <c r="K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3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0">
        <f>214/2</f>
        <v>107</v>
      </c>
      <c r="AA521" s="19">
        <f>IFERROR(PROPERTIES[[#This Row],[TE_STARTING_KN]]/(PROPERTIES[[#This Row],[WEIGHT]]*9.81),0)</f>
        <v>0.16040055165797204</v>
      </c>
      <c r="AB521" s="19">
        <v>0</v>
      </c>
      <c r="AC521" s="16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6">
        <v>130</v>
      </c>
      <c r="AF521" s="6">
        <v>8</v>
      </c>
      <c r="AG521" t="s">
        <v>231</v>
      </c>
      <c r="AH521" t="s">
        <v>229</v>
      </c>
      <c r="AI521" t="s">
        <v>229</v>
      </c>
      <c r="AJ521" s="2" t="s">
        <v>229</v>
      </c>
      <c r="AK521" s="2" t="s">
        <v>244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44" t="b">
        <v>0</v>
      </c>
      <c r="AP521" s="48" t="b">
        <v>0</v>
      </c>
      <c r="AQ521" s="48" t="b">
        <v>0</v>
      </c>
      <c r="AR521" s="48">
        <v>0</v>
      </c>
      <c r="AS521" s="48" t="b">
        <v>0</v>
      </c>
      <c r="AT521" s="7" t="b">
        <v>0</v>
      </c>
      <c r="AU521" s="40" t="str" cm="1">
        <f t="array" ref="AU521">_xlfn.XLOOKUP(PROPERTIES[[#This Row],[VEHIDCODE]],GRAPHICS_PROPERTIES[VEHIDCODE],GRAPHICS_PROPERTIES[TEMPLATE_ID]&amp;GRAPHICS_PROPERTIES[TEMPLATE_AMENDMENT_CODE])</f>
        <v>TPL_02A</v>
      </c>
    </row>
    <row r="522" spans="1:47" x14ac:dyDescent="0.35">
      <c r="A522" s="2" t="s">
        <v>3155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0" t="str">
        <f>_xlfn.XLOOKUP(PROPERTIES[[#This Row],[VEHIDCODE]],CONTROL[VEHIDCODE],CONTROL[ENGLISH])</f>
        <v>BN/ACEC ZMC</v>
      </c>
      <c r="F522" t="s">
        <v>663</v>
      </c>
      <c r="G522" s="40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15</v>
      </c>
      <c r="J522">
        <v>90</v>
      </c>
      <c r="K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3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0">
        <f>102/2</f>
        <v>51</v>
      </c>
      <c r="AA522" s="19">
        <f>IFERROR(PROPERTIES[[#This Row],[TE_STARTING_KN]]/(PROPERTIES[[#This Row],[WEIGHT]]*9.81),0)</f>
        <v>0.10830784913353721</v>
      </c>
      <c r="AB522" s="19">
        <v>0</v>
      </c>
      <c r="AC522" s="16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6">
        <v>90</v>
      </c>
      <c r="AF522" s="6">
        <v>8</v>
      </c>
      <c r="AG522" t="s">
        <v>233</v>
      </c>
      <c r="AH522" t="s">
        <v>230</v>
      </c>
      <c r="AI522" t="s">
        <v>229</v>
      </c>
      <c r="AJ522" s="2" t="s">
        <v>229</v>
      </c>
      <c r="AK522" s="2" t="s">
        <v>244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44" t="b">
        <v>0</v>
      </c>
      <c r="AP522" s="48" t="b">
        <v>0</v>
      </c>
      <c r="AQ522" s="48" t="b">
        <v>0</v>
      </c>
      <c r="AR522" s="48">
        <v>0</v>
      </c>
      <c r="AS522" s="48" t="b">
        <v>0</v>
      </c>
      <c r="AT522" s="7" t="b">
        <v>0</v>
      </c>
      <c r="AU522" s="40" t="str" cm="1">
        <f t="array" ref="AU522">_xlfn.XLOOKUP(PROPERTIES[[#This Row],[VEHIDCODE]],GRAPHICS_PROPERTIES[VEHIDCODE],GRAPHICS_PROPERTIES[TEMPLATE_ID]&amp;GRAPHICS_PROPERTIES[TEMPLATE_AMENDMENT_CODE])</f>
        <v>TPL_02A</v>
      </c>
    </row>
    <row r="523" spans="1:47" x14ac:dyDescent="0.35">
      <c r="A523" s="2" t="s">
        <v>3156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0" t="str">
        <f>_xlfn.XLOOKUP(PROPERTIES[[#This Row],[VEHIDCODE]],CONTROL[VEHIDCODE],CONTROL[ENGLISH])</f>
        <v>ASEA EW54</v>
      </c>
      <c r="F523" t="s">
        <v>705</v>
      </c>
      <c r="G523" s="40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15</v>
      </c>
      <c r="J523">
        <f>INT(530/3)</f>
        <v>176</v>
      </c>
      <c r="K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3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0">
        <f>92/2</f>
        <v>46</v>
      </c>
      <c r="AA523" s="19">
        <f>IFERROR(PROPERTIES[[#This Row],[TE_STARTING_KN]]/(PROPERTIES[[#This Row],[WEIGHT]]*9.81),0)</f>
        <v>0.11722731906218144</v>
      </c>
      <c r="AB523" s="19">
        <v>0</v>
      </c>
      <c r="AC523" s="16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6">
        <f>INT(530/3)</f>
        <v>176</v>
      </c>
      <c r="AF523" s="6">
        <v>8</v>
      </c>
      <c r="AG523" t="s">
        <v>236</v>
      </c>
      <c r="AH523" t="s">
        <v>229</v>
      </c>
      <c r="AI523" t="s">
        <v>229</v>
      </c>
      <c r="AJ523" s="2" t="s">
        <v>229</v>
      </c>
      <c r="AK523" s="2" t="s">
        <v>244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44" t="b">
        <v>0</v>
      </c>
      <c r="AP523" s="48" t="b">
        <v>0</v>
      </c>
      <c r="AQ523" s="48" t="b">
        <v>0</v>
      </c>
      <c r="AR523" s="48">
        <v>0</v>
      </c>
      <c r="AS523" s="48" t="b">
        <v>0</v>
      </c>
      <c r="AT523" s="7" t="b">
        <v>0</v>
      </c>
      <c r="AU523" s="40" t="str" cm="1">
        <f t="array" ref="AU523">_xlfn.XLOOKUP(PROPERTIES[[#This Row],[VEHIDCODE]],GRAPHICS_PROPERTIES[VEHIDCODE],GRAPHICS_PROPERTIES[TEMPLATE_ID]&amp;GRAPHICS_PROPERTIES[TEMPLATE_AMENDMENT_CODE])</f>
        <v>TPL_02D</v>
      </c>
    </row>
    <row r="524" spans="1:47" x14ac:dyDescent="0.35">
      <c r="A524" s="2" t="s">
        <v>3157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0" t="str">
        <f>_xlfn.XLOOKUP(PROPERTIES[[#This Row],[VEHIDCODE]],CONTROL[VEHIDCODE],CONTROL[ENGLISH])</f>
        <v>Breda ALe 801</v>
      </c>
      <c r="F524" t="s">
        <v>636</v>
      </c>
      <c r="G524" s="40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15</v>
      </c>
      <c r="J524">
        <v>80</v>
      </c>
      <c r="K524">
        <v>7</v>
      </c>
      <c r="L524">
        <v>0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3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0">
        <f>110/2</f>
        <v>55</v>
      </c>
      <c r="AA524" s="19">
        <f>IFERROR(PROPERTIES[[#This Row],[TE_STARTING_KN]]/(PROPERTIES[[#This Row],[WEIGHT]]*9.81),0)</f>
        <v>8.0093199359254394E-2</v>
      </c>
      <c r="AB524" s="19">
        <v>0</v>
      </c>
      <c r="AC524" s="16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6">
        <v>108</v>
      </c>
      <c r="AF524" s="6">
        <v>7</v>
      </c>
      <c r="AG524" t="s">
        <v>231</v>
      </c>
      <c r="AH524" t="s">
        <v>229</v>
      </c>
      <c r="AI524" t="s">
        <v>229</v>
      </c>
      <c r="AJ524" s="2" t="s">
        <v>229</v>
      </c>
      <c r="AK524" s="2" t="s">
        <v>244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44" t="b">
        <v>0</v>
      </c>
      <c r="AP524" s="48" t="b">
        <v>0</v>
      </c>
      <c r="AQ524" s="48" t="b">
        <v>0</v>
      </c>
      <c r="AR524" s="48">
        <v>0</v>
      </c>
      <c r="AS524" s="48" t="b">
        <v>0</v>
      </c>
      <c r="AT524" s="7" t="b">
        <v>0</v>
      </c>
      <c r="AU524" s="40" t="str" cm="1">
        <f t="array" ref="AU524">_xlfn.XLOOKUP(PROPERTIES[[#This Row],[VEHIDCODE]],GRAPHICS_PROPERTIES[VEHIDCODE],GRAPHICS_PROPERTIES[TEMPLATE_ID]&amp;GRAPHICS_PROPERTIES[TEMPLATE_AMENDMENT_CODE])</f>
        <v>TPL_02A</v>
      </c>
    </row>
    <row r="525" spans="1:47" x14ac:dyDescent="0.35">
      <c r="A525" s="2" t="s">
        <v>3158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0" t="str">
        <f>_xlfn.XLOOKUP(PROPERTIES[[#This Row],[VEHIDCODE]],CONTROL[VEHIDCODE],CONTROL[ENGLISH])</f>
        <v>SGP/AEG/BBC 4030</v>
      </c>
      <c r="F525" t="s">
        <v>540</v>
      </c>
      <c r="G525" s="40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15</v>
      </c>
      <c r="J525">
        <v>72</v>
      </c>
      <c r="K525">
        <v>7</v>
      </c>
      <c r="L525">
        <v>0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3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0">
        <f>99/2</f>
        <v>49.5</v>
      </c>
      <c r="AA525" s="19">
        <f>IFERROR(PROPERTIES[[#This Row],[TE_STARTING_KN]]/(PROPERTIES[[#This Row],[WEIGHT]]*9.81),0)</f>
        <v>0.1146788990825688</v>
      </c>
      <c r="AB525" s="19">
        <v>0</v>
      </c>
      <c r="AC525" s="16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6">
        <v>72</v>
      </c>
      <c r="AF525" s="6">
        <v>7</v>
      </c>
      <c r="AG525" t="s">
        <v>230</v>
      </c>
      <c r="AH525" t="s">
        <v>229</v>
      </c>
      <c r="AI525" t="s">
        <v>229</v>
      </c>
      <c r="AJ525" s="2" t="s">
        <v>229</v>
      </c>
      <c r="AK525" s="2" t="s">
        <v>244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44" t="b">
        <v>0</v>
      </c>
      <c r="AP525" s="48" t="b">
        <v>0</v>
      </c>
      <c r="AQ525" s="48" t="b">
        <v>0</v>
      </c>
      <c r="AR525" s="48">
        <v>0</v>
      </c>
      <c r="AS525" s="48" t="b">
        <v>0</v>
      </c>
      <c r="AT525" s="7" t="b">
        <v>0</v>
      </c>
      <c r="AU525" s="40" t="str" cm="1">
        <f t="array" ref="AU525">_xlfn.XLOOKUP(PROPERTIES[[#This Row],[VEHIDCODE]],GRAPHICS_PROPERTIES[VEHIDCODE],GRAPHICS_PROPERTIES[TEMPLATE_ID]&amp;GRAPHICS_PROPERTIES[TEMPLATE_AMENDMENT_CODE])</f>
        <v>TPL_02A</v>
      </c>
    </row>
    <row r="526" spans="1:47" x14ac:dyDescent="0.35">
      <c r="A526" s="2" t="s">
        <v>3159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0" t="str">
        <f>_xlfn.XLOOKUP(PROPERTIES[[#This Row],[VEHIDCODE]],CONTROL[VEHIDCODE],CONTROL[ENGLISH])</f>
        <v>ELIN ET 10</v>
      </c>
      <c r="F526" t="s">
        <v>540</v>
      </c>
      <c r="G526" s="40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15</v>
      </c>
      <c r="J526">
        <v>62</v>
      </c>
      <c r="K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3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0">
        <f>200/2</f>
        <v>100</v>
      </c>
      <c r="AA526" s="19">
        <f>IFERROR(PROPERTIES[[#This Row],[TE_STARTING_KN]]/(PROPERTIES[[#This Row],[WEIGHT]]*9.81),0)</f>
        <v>0.14021567975860469</v>
      </c>
      <c r="AB526" s="19">
        <v>0</v>
      </c>
      <c r="AC526" s="16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6">
        <v>62</v>
      </c>
      <c r="AF526" s="6">
        <v>8</v>
      </c>
      <c r="AG526" t="s">
        <v>230</v>
      </c>
      <c r="AH526" t="s">
        <v>229</v>
      </c>
      <c r="AI526" t="s">
        <v>229</v>
      </c>
      <c r="AJ526" s="2" t="s">
        <v>229</v>
      </c>
      <c r="AK526" s="2" t="s">
        <v>244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44" t="b">
        <v>0</v>
      </c>
      <c r="AP526" s="48" t="b">
        <v>0</v>
      </c>
      <c r="AQ526" s="48" t="b">
        <v>0</v>
      </c>
      <c r="AR526" s="48">
        <v>0</v>
      </c>
      <c r="AS526" s="48" t="b">
        <v>0</v>
      </c>
      <c r="AT526" s="7" t="b">
        <v>0</v>
      </c>
      <c r="AU526" s="40" t="str" cm="1">
        <f t="array" ref="AU526">_xlfn.XLOOKUP(PROPERTIES[[#This Row],[VEHIDCODE]],GRAPHICS_PROPERTIES[VEHIDCODE],GRAPHICS_PROPERTIES[TEMPLATE_ID]&amp;GRAPHICS_PROPERTIES[TEMPLATE_AMENDMENT_CODE])</f>
        <v>TPL_02A</v>
      </c>
    </row>
    <row r="527" spans="1:47" x14ac:dyDescent="0.35">
      <c r="A527" s="2" t="s">
        <v>3160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0" t="str">
        <f>_xlfn.XLOOKUP(PROPERTIES[[#This Row],[VEHIDCODE]],CONTROL[VEHIDCODE],CONTROL[ENGLISH])</f>
        <v>Stadler 'KISS'</v>
      </c>
      <c r="F527" t="s">
        <v>540</v>
      </c>
      <c r="G527" s="40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15</v>
      </c>
      <c r="J527">
        <v>60</v>
      </c>
      <c r="K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3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0">
        <f>200/2</f>
        <v>100</v>
      </c>
      <c r="AA527" s="19">
        <f>IFERROR(PROPERTIES[[#This Row],[TE_STARTING_KN]]/(PROPERTIES[[#This Row],[WEIGHT]]*9.81),0)</f>
        <v>0.13068820408269949</v>
      </c>
      <c r="AB527" s="19">
        <v>0</v>
      </c>
      <c r="AC527" s="16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6">
        <v>140</v>
      </c>
      <c r="AF527" s="6">
        <v>8</v>
      </c>
      <c r="AG527" t="s">
        <v>230</v>
      </c>
      <c r="AH527" t="s">
        <v>229</v>
      </c>
      <c r="AI527" t="s">
        <v>229</v>
      </c>
      <c r="AJ527" s="2" t="s">
        <v>229</v>
      </c>
      <c r="AK527" s="2" t="s">
        <v>244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44" t="b">
        <v>0</v>
      </c>
      <c r="AP527" s="48" t="b">
        <v>0</v>
      </c>
      <c r="AQ527" s="48" t="b">
        <v>0</v>
      </c>
      <c r="AR527" s="48">
        <v>0</v>
      </c>
      <c r="AS527" s="48" t="b">
        <v>0</v>
      </c>
      <c r="AT527" s="7" t="b">
        <v>0</v>
      </c>
      <c r="AU527" s="40" t="str" cm="1">
        <f t="array" ref="AU527">_xlfn.XLOOKUP(PROPERTIES[[#This Row],[VEHIDCODE]],GRAPHICS_PROPERTIES[VEHIDCODE],GRAPHICS_PROPERTIES[TEMPLATE_ID]&amp;GRAPHICS_PROPERTIES[TEMPLATE_AMENDMENT_CODE])</f>
        <v>TPL_02A</v>
      </c>
    </row>
    <row r="528" spans="1:47" x14ac:dyDescent="0.35">
      <c r="A528" s="2" t="s">
        <v>3161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0" t="str">
        <f>_xlfn.XLOOKUP(PROPERTIES[[#This Row],[VEHIDCODE]],CONTROL[VEHIDCODE],CONTROL[ENGLISH])</f>
        <v>LHB 420</v>
      </c>
      <c r="F528" t="s">
        <v>584</v>
      </c>
      <c r="G528" s="40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15</v>
      </c>
      <c r="J528">
        <f>INT((192+266)/3)</f>
        <v>152</v>
      </c>
      <c r="K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3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0">
        <v>63</v>
      </c>
      <c r="AA528" s="19">
        <f>IFERROR(PROPERTIES[[#This Row],[TE_STARTING_KN]]/(PROPERTIES[[#This Row],[WEIGHT]]*9.81),0)</f>
        <v>0.13960909453530115</v>
      </c>
      <c r="AB528" s="19">
        <v>0</v>
      </c>
      <c r="AC528" s="16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5">
        <f>INT((192+266)/3)</f>
        <v>152</v>
      </c>
      <c r="AF528" s="6">
        <v>8</v>
      </c>
      <c r="AG528" t="s">
        <v>230</v>
      </c>
      <c r="AH528" t="s">
        <v>229</v>
      </c>
      <c r="AI528" t="s">
        <v>229</v>
      </c>
      <c r="AJ528" s="2" t="s">
        <v>229</v>
      </c>
      <c r="AK528" s="2" t="s">
        <v>244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44" t="b">
        <v>0</v>
      </c>
      <c r="AP528" s="48" t="b">
        <v>0</v>
      </c>
      <c r="AQ528" s="48" t="b">
        <v>0</v>
      </c>
      <c r="AR528" s="48">
        <v>0</v>
      </c>
      <c r="AS528" s="48" t="b">
        <v>0</v>
      </c>
      <c r="AT528" s="7" t="b">
        <v>0</v>
      </c>
      <c r="AU528" s="40" t="str" cm="1">
        <f t="array" ref="AU528">_xlfn.XLOOKUP(PROPERTIES[[#This Row],[VEHIDCODE]],GRAPHICS_PROPERTIES[VEHIDCODE],GRAPHICS_PROPERTIES[TEMPLATE_ID]&amp;GRAPHICS_PROPERTIES[TEMPLATE_AMENDMENT_CODE])</f>
        <v>TPL_02D</v>
      </c>
    </row>
    <row r="529" spans="1:47" x14ac:dyDescent="0.35">
      <c r="A529" s="2" t="s">
        <v>3162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0" t="str">
        <f>_xlfn.XLOOKUP(PROPERTIES[[#This Row],[VEHIDCODE]],CONTROL[VEHIDCODE],CONTROL[ENGLISH])</f>
        <v>Adtranz BM73</v>
      </c>
      <c r="F529" t="s">
        <v>693</v>
      </c>
      <c r="G529" s="40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15</v>
      </c>
      <c r="J529">
        <v>54</v>
      </c>
      <c r="K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3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0">
        <f>117/2</f>
        <v>58.5</v>
      </c>
      <c r="AA529" s="19">
        <f>IFERROR(PROPERTIES[[#This Row],[TE_STARTING_KN]]/(PROPERTIES[[#This Row],[WEIGHT]]*9.81),0)</f>
        <v>0.11043153244988108</v>
      </c>
      <c r="AB529" s="19">
        <v>0</v>
      </c>
      <c r="AC529" s="16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6">
        <v>54</v>
      </c>
      <c r="AF529" s="6">
        <v>8</v>
      </c>
      <c r="AG529" t="s">
        <v>234</v>
      </c>
      <c r="AH529" t="s">
        <v>229</v>
      </c>
      <c r="AI529" t="s">
        <v>229</v>
      </c>
      <c r="AJ529" s="2" t="s">
        <v>229</v>
      </c>
      <c r="AK529" s="2" t="s">
        <v>244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44" t="b">
        <v>0</v>
      </c>
      <c r="AP529" s="48" t="b">
        <v>0</v>
      </c>
      <c r="AQ529" s="48" t="b">
        <v>1</v>
      </c>
      <c r="AR529" s="48">
        <v>0</v>
      </c>
      <c r="AS529" s="48" t="b">
        <v>0</v>
      </c>
      <c r="AT529" s="7" t="b">
        <v>0</v>
      </c>
      <c r="AU529" s="40" t="str" cm="1">
        <f t="array" ref="AU529">_xlfn.XLOOKUP(PROPERTIES[[#This Row],[VEHIDCODE]],GRAPHICS_PROPERTIES[VEHIDCODE],GRAPHICS_PROPERTIES[TEMPLATE_ID]&amp;GRAPHICS_PROPERTIES[TEMPLATE_AMENDMENT_CODE])</f>
        <v>TPL_02D</v>
      </c>
    </row>
    <row r="530" spans="1:47" x14ac:dyDescent="0.35">
      <c r="A530" s="2" t="s">
        <v>3163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0" t="str">
        <f>_xlfn.XLOOKUP(PROPERTIES[[#This Row],[VEHIDCODE]],CONTROL[VEHIDCODE],CONTROL[ENGLISH])</f>
        <v>NEBB M65</v>
      </c>
      <c r="F530" t="s">
        <v>693</v>
      </c>
      <c r="G530" s="40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15</v>
      </c>
      <c r="J530">
        <v>50</v>
      </c>
      <c r="K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3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0">
        <f>85/2</f>
        <v>42.5</v>
      </c>
      <c r="AA530" s="19">
        <f>IFERROR(PROPERTIES[[#This Row],[TE_STARTING_KN]]/(PROPERTIES[[#This Row],[WEIGHT]]*9.81),0)</f>
        <v>0.11252763546341528</v>
      </c>
      <c r="AB530" s="19">
        <v>0</v>
      </c>
      <c r="AC530" s="16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6">
        <v>50</v>
      </c>
      <c r="AF530" s="6">
        <v>7</v>
      </c>
      <c r="AG530" t="s">
        <v>234</v>
      </c>
      <c r="AH530" t="s">
        <v>229</v>
      </c>
      <c r="AI530" t="s">
        <v>229</v>
      </c>
      <c r="AJ530" s="2" t="s">
        <v>229</v>
      </c>
      <c r="AK530" s="2" t="s">
        <v>244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44" t="b">
        <v>0</v>
      </c>
      <c r="AP530" s="48" t="b">
        <v>0</v>
      </c>
      <c r="AQ530" s="48" t="b">
        <v>0</v>
      </c>
      <c r="AR530" s="48">
        <v>0</v>
      </c>
      <c r="AS530" s="48" t="b">
        <v>0</v>
      </c>
      <c r="AT530" s="7" t="b">
        <v>0</v>
      </c>
      <c r="AU530" s="40" t="str" cm="1">
        <f t="array" ref="AU530">_xlfn.XLOOKUP(PROPERTIES[[#This Row],[VEHIDCODE]],GRAPHICS_PROPERTIES[VEHIDCODE],GRAPHICS_PROPERTIES[TEMPLATE_ID]&amp;GRAPHICS_PROPERTIES[TEMPLATE_AMENDMENT_CODE])</f>
        <v>TPL_02A</v>
      </c>
    </row>
    <row r="531" spans="1:47" x14ac:dyDescent="0.35">
      <c r="A531" s="2" t="s">
        <v>3164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0" t="str">
        <f>_xlfn.XLOOKUP(PROPERTIES[[#This Row],[VEHIDCODE]],CONTROL[VEHIDCODE],CONTROL[ENGLISH])</f>
        <v>ASEA X2000</v>
      </c>
      <c r="F531" t="s">
        <v>722</v>
      </c>
      <c r="G531" s="40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_xlfn.XLOOKUP("LOADINGSPEEDDEF_"&amp;PROPERTIES[[#This Row],[LOADINGSPEED]],LOADINGSPEEDDEF[TYPE],LOADINGSPEEDDEF[SPEED])</f>
        <v>20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3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0">
        <f>160/2</f>
        <v>80</v>
      </c>
      <c r="AA531" s="19">
        <f>IFERROR(PROPERTIES[[#This Row],[TE_STARTING_KN]]/(PROPERTIES[[#This Row],[WEIGHT]]*9.81),0)</f>
        <v>0.11171156075014313</v>
      </c>
      <c r="AB531" s="19">
        <v>0</v>
      </c>
      <c r="AC531" s="16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6">
        <v>72</v>
      </c>
      <c r="AF531" s="6">
        <v>8</v>
      </c>
      <c r="AG531" t="s">
        <v>234</v>
      </c>
      <c r="AH531" t="s">
        <v>1947</v>
      </c>
      <c r="AI531" t="s">
        <v>229</v>
      </c>
      <c r="AJ531" s="2" t="s">
        <v>229</v>
      </c>
      <c r="AK531" s="2" t="s">
        <v>244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44" t="b">
        <v>0</v>
      </c>
      <c r="AP531" s="48" t="b">
        <v>0</v>
      </c>
      <c r="AQ531" s="48" t="b">
        <v>1</v>
      </c>
      <c r="AR531" s="48">
        <v>0</v>
      </c>
      <c r="AS531" s="48" t="b">
        <v>0</v>
      </c>
      <c r="AT531" s="7" t="b">
        <v>0</v>
      </c>
      <c r="AU531" s="40" t="str" cm="1">
        <f t="array" ref="AU531">_xlfn.XLOOKUP(PROPERTIES[[#This Row],[VEHIDCODE]],GRAPHICS_PROPERTIES[VEHIDCODE],GRAPHICS_PROPERTIES[TEMPLATE_ID]&amp;GRAPHICS_PROPERTIES[TEMPLATE_AMENDMENT_CODE])</f>
        <v>TPL_02A</v>
      </c>
    </row>
    <row r="532" spans="1:47" x14ac:dyDescent="0.35">
      <c r="A532" s="2" t="s">
        <v>3165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0" t="str">
        <f>_xlfn.XLOOKUP(PROPERTIES[[#This Row],[VEHIDCODE]],CONTROL[VEHIDCODE],CONTROL[ENGLISH])</f>
        <v>SWP RABDe 510</v>
      </c>
      <c r="F532" t="s">
        <v>570</v>
      </c>
      <c r="G532" s="40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15</v>
      </c>
      <c r="J532">
        <v>56</v>
      </c>
      <c r="K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3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0">
        <f>239/2</f>
        <v>119.5</v>
      </c>
      <c r="AA532" s="19">
        <f>IFERROR(PROPERTIES[[#This Row],[TE_STARTING_KN]]/(PROPERTIES[[#This Row],[WEIGHT]]*9.81),0)</f>
        <v>0.18456738640224879</v>
      </c>
      <c r="AB532" s="19">
        <v>0</v>
      </c>
      <c r="AC532" s="16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6">
        <f>INT(200/3)</f>
        <v>66</v>
      </c>
      <c r="AF532" s="6">
        <v>8</v>
      </c>
      <c r="AG532" t="s">
        <v>230</v>
      </c>
      <c r="AH532" t="s">
        <v>229</v>
      </c>
      <c r="AI532" t="s">
        <v>229</v>
      </c>
      <c r="AJ532" s="2" t="s">
        <v>229</v>
      </c>
      <c r="AK532" s="2" t="s">
        <v>244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44" t="b">
        <v>0</v>
      </c>
      <c r="AP532" s="48" t="b">
        <v>0</v>
      </c>
      <c r="AQ532" s="48" t="b">
        <v>0</v>
      </c>
      <c r="AR532" s="48">
        <v>0</v>
      </c>
      <c r="AS532" s="48" t="b">
        <v>0</v>
      </c>
      <c r="AT532" s="7" t="b">
        <v>0</v>
      </c>
      <c r="AU532" s="40" t="str" cm="1">
        <f t="array" ref="AU532">_xlfn.XLOOKUP(PROPERTIES[[#This Row],[VEHIDCODE]],GRAPHICS_PROPERTIES[VEHIDCODE],GRAPHICS_PROPERTIES[TEMPLATE_ID]&amp;GRAPHICS_PROPERTIES[TEMPLATE_AMENDMENT_CODE])</f>
        <v>TPL_02D</v>
      </c>
    </row>
    <row r="533" spans="1:47" x14ac:dyDescent="0.35">
      <c r="A533" s="2" t="s">
        <v>3166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0" t="str">
        <f>_xlfn.XLOOKUP(PROPERTIES[[#This Row],[VEHIDCODE]],CONTROL[VEHIDCODE],CONTROL[ENGLISH])</f>
        <v>Schindler RBDe 560</v>
      </c>
      <c r="F533" t="s">
        <v>570</v>
      </c>
      <c r="G533" s="40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15</v>
      </c>
      <c r="J533">
        <v>56</v>
      </c>
      <c r="K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3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0">
        <f>182/2</f>
        <v>91</v>
      </c>
      <c r="AA533" s="19">
        <f>IFERROR(PROPERTIES[[#This Row],[TE_STARTING_KN]]/(PROPERTIES[[#This Row],[WEIGHT]]*9.81),0)</f>
        <v>0.26503567787971455</v>
      </c>
      <c r="AB533" s="19">
        <v>0</v>
      </c>
      <c r="AC533" s="16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6">
        <v>56</v>
      </c>
      <c r="AF533" s="6">
        <v>8</v>
      </c>
      <c r="AG533" t="s">
        <v>230</v>
      </c>
      <c r="AH533" t="s">
        <v>229</v>
      </c>
      <c r="AI533" t="s">
        <v>229</v>
      </c>
      <c r="AJ533" s="2" t="s">
        <v>229</v>
      </c>
      <c r="AK533" s="2" t="s">
        <v>244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44" t="b">
        <v>0</v>
      </c>
      <c r="AP533" s="48" t="b">
        <v>0</v>
      </c>
      <c r="AQ533" s="48" t="b">
        <v>0</v>
      </c>
      <c r="AR533" s="48">
        <v>0</v>
      </c>
      <c r="AS533" s="48" t="b">
        <v>0</v>
      </c>
      <c r="AT533" s="7" t="b">
        <v>0</v>
      </c>
      <c r="AU533" s="40" t="str" cm="1">
        <f t="array" ref="AU533">_xlfn.XLOOKUP(PROPERTIES[[#This Row],[VEHIDCODE]],GRAPHICS_PROPERTIES[VEHIDCODE],GRAPHICS_PROPERTIES[TEMPLATE_ID]&amp;GRAPHICS_PROPERTIES[TEMPLATE_AMENDMENT_CODE])</f>
        <v>TPL_02A</v>
      </c>
    </row>
    <row r="534" spans="1:47" x14ac:dyDescent="0.35">
      <c r="A534" s="2" t="s">
        <v>3167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0" t="str">
        <f>_xlfn.XLOOKUP(PROPERTIES[[#This Row],[VEHIDCODE]],CONTROL[VEHIDCODE],CONTROL[ENGLISH])</f>
        <v>Stadler RABe 523 'Flirt'</v>
      </c>
      <c r="F534" t="s">
        <v>570</v>
      </c>
      <c r="G534" s="40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15</v>
      </c>
      <c r="J534">
        <v>50</v>
      </c>
      <c r="K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3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0">
        <f>200/2</f>
        <v>100</v>
      </c>
      <c r="AA534" s="19">
        <f>IFERROR(PROPERTIES[[#This Row],[TE_STARTING_KN]]/(PROPERTIES[[#This Row],[WEIGHT]]*9.81),0)</f>
        <v>0.32882838446614709</v>
      </c>
      <c r="AB534" s="19">
        <v>0</v>
      </c>
      <c r="AC534" s="16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6">
        <v>50</v>
      </c>
      <c r="AF534" s="6">
        <v>7</v>
      </c>
      <c r="AG534" t="s">
        <v>239</v>
      </c>
      <c r="AH534" t="s">
        <v>229</v>
      </c>
      <c r="AI534" t="s">
        <v>229</v>
      </c>
      <c r="AJ534" s="2" t="s">
        <v>229</v>
      </c>
      <c r="AK534" s="2" t="s">
        <v>244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44" t="b">
        <v>0</v>
      </c>
      <c r="AP534" s="48" t="b">
        <v>0</v>
      </c>
      <c r="AQ534" s="48" t="b">
        <v>0</v>
      </c>
      <c r="AR534" s="48">
        <v>0</v>
      </c>
      <c r="AS534" s="48" t="b">
        <v>0</v>
      </c>
      <c r="AT534" s="7" t="b">
        <v>0</v>
      </c>
      <c r="AU534" s="40" t="str" cm="1">
        <f t="array" ref="AU534">_xlfn.XLOOKUP(PROPERTIES[[#This Row],[VEHIDCODE]],GRAPHICS_PROPERTIES[VEHIDCODE],GRAPHICS_PROPERTIES[TEMPLATE_ID]&amp;GRAPHICS_PROPERTIES[TEMPLATE_AMENDMENT_CODE])</f>
        <v>TPL_02A</v>
      </c>
    </row>
    <row r="535" spans="1:47" x14ac:dyDescent="0.35">
      <c r="A535" s="2" t="s">
        <v>3168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0" t="str">
        <f>_xlfn.XLOOKUP(PROPERTIES[[#This Row],[VEHIDCODE]],CONTROL[VEHIDCODE],CONTROL[ENGLISH])</f>
        <v>Budd Metroliner</v>
      </c>
      <c r="F535" t="s">
        <v>757</v>
      </c>
      <c r="G535" s="40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15</v>
      </c>
      <c r="J535">
        <v>76</v>
      </c>
      <c r="K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3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0">
        <f>200/2</f>
        <v>100</v>
      </c>
      <c r="AA535" s="19">
        <f>IFERROR(PROPERTIES[[#This Row],[TE_STARTING_KN]]/(PROPERTIES[[#This Row],[WEIGHT]]*9.81),0)</f>
        <v>0.13591573224600748</v>
      </c>
      <c r="AB535" s="19">
        <v>0</v>
      </c>
      <c r="AC535" s="16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5">
        <v>76</v>
      </c>
      <c r="AF535" s="6">
        <v>8</v>
      </c>
      <c r="AG535" t="s">
        <v>235</v>
      </c>
      <c r="AH535" t="s">
        <v>229</v>
      </c>
      <c r="AI535" t="s">
        <v>229</v>
      </c>
      <c r="AJ535" s="2" t="s">
        <v>229</v>
      </c>
      <c r="AK535" s="2" t="s">
        <v>244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44" t="b">
        <v>0</v>
      </c>
      <c r="AP535" s="48" t="b">
        <v>0</v>
      </c>
      <c r="AQ535" s="48" t="b">
        <v>0</v>
      </c>
      <c r="AR535" s="48">
        <v>0</v>
      </c>
      <c r="AS535" s="48" t="b">
        <v>0</v>
      </c>
      <c r="AT535" s="7" t="b">
        <v>0</v>
      </c>
      <c r="AU535" s="40" t="str" cm="1">
        <f t="array" ref="AU535">_xlfn.XLOOKUP(PROPERTIES[[#This Row],[VEHIDCODE]],GRAPHICS_PROPERTIES[VEHIDCODE],GRAPHICS_PROPERTIES[TEMPLATE_ID]&amp;GRAPHICS_PROPERTIES[TEMPLATE_AMENDMENT_CODE])</f>
        <v>TPL_02A</v>
      </c>
    </row>
    <row r="536" spans="1:47" x14ac:dyDescent="0.35">
      <c r="A536" s="2" t="s">
        <v>3169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0" t="str">
        <f>_xlfn.XLOOKUP(PROPERTIES[[#This Row],[VEHIDCODE]],CONTROL[VEHIDCODE],CONTROL[ENGLISH])</f>
        <v>Siemens Velero</v>
      </c>
      <c r="F536" t="s">
        <v>584</v>
      </c>
      <c r="G536" s="40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15</v>
      </c>
      <c r="J536">
        <f>INT(441/8)</f>
        <v>55</v>
      </c>
      <c r="K536">
        <v>7</v>
      </c>
      <c r="L536">
        <v>0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3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0">
        <f>300/2</f>
        <v>150</v>
      </c>
      <c r="AA536" s="19">
        <f>IFERROR(PROPERTIES[[#This Row],[TE_STARTING_KN]]/(PROPERTIES[[#This Row],[WEIGHT]]*9.81),0)</f>
        <v>0.29908107340197243</v>
      </c>
      <c r="AB536" s="19">
        <v>0</v>
      </c>
      <c r="AC536" s="16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6">
        <f>INT(441/8)</f>
        <v>55</v>
      </c>
      <c r="AF536" s="6">
        <v>8</v>
      </c>
      <c r="AG536" t="s">
        <v>1950</v>
      </c>
      <c r="AH536" t="s">
        <v>1948</v>
      </c>
      <c r="AI536" t="s">
        <v>229</v>
      </c>
      <c r="AJ536" s="2" t="s">
        <v>229</v>
      </c>
      <c r="AK536" s="2" t="s">
        <v>244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44" t="b">
        <v>0</v>
      </c>
      <c r="AP536" s="48" t="b">
        <v>0</v>
      </c>
      <c r="AQ536" s="48" t="b">
        <v>0</v>
      </c>
      <c r="AR536" s="48">
        <v>0</v>
      </c>
      <c r="AS536" s="48" t="b">
        <v>0</v>
      </c>
      <c r="AT536" s="7" t="b">
        <v>0</v>
      </c>
      <c r="AU536" s="40" t="str" cm="1">
        <f t="array" ref="AU536">_xlfn.XLOOKUP(PROPERTIES[[#This Row],[VEHIDCODE]],GRAPHICS_PROPERTIES[VEHIDCODE],GRAPHICS_PROPERTIES[TEMPLATE_ID]&amp;GRAPHICS_PROPERTIES[TEMPLATE_AMENDMENT_CODE])</f>
        <v>TPL_02D</v>
      </c>
    </row>
    <row r="537" spans="1:47" x14ac:dyDescent="0.35">
      <c r="A537" s="2" t="s">
        <v>3170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0" t="str">
        <f>_xlfn.XLOOKUP(PROPERTIES[[#This Row],[VEHIDCODE]],CONTROL[VEHIDCODE],CONTROL[ENGLISH])</f>
        <v>Siemens Desiro BDZ</v>
      </c>
      <c r="F537" t="s">
        <v>550</v>
      </c>
      <c r="G537" s="40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15</v>
      </c>
      <c r="J537" s="6">
        <f>INT(190/2)</f>
        <v>95</v>
      </c>
      <c r="K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3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0">
        <v>0</v>
      </c>
      <c r="AA537" s="19">
        <f>IFERROR(PROPERTIES[[#This Row],[TE_STARTING_KN]]/(PROPERTIES[[#This Row],[WEIGHT]]*9.81),0)</f>
        <v>0</v>
      </c>
      <c r="AB537" s="19">
        <v>0.21</v>
      </c>
      <c r="AC537" s="16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6">
        <f>INT(190/2)</f>
        <v>95</v>
      </c>
      <c r="AF537" s="6">
        <v>8</v>
      </c>
      <c r="AG537" t="s">
        <v>236</v>
      </c>
      <c r="AH537" t="s">
        <v>229</v>
      </c>
      <c r="AI537" t="s">
        <v>229</v>
      </c>
      <c r="AJ537" s="2" t="s">
        <v>229</v>
      </c>
      <c r="AK537" s="2" t="s">
        <v>244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44" t="b">
        <v>0</v>
      </c>
      <c r="AP537" s="48" t="b">
        <v>0</v>
      </c>
      <c r="AQ537" s="48" t="b">
        <v>0</v>
      </c>
      <c r="AR537" s="48">
        <v>0</v>
      </c>
      <c r="AS537" s="48" t="b">
        <v>0</v>
      </c>
      <c r="AT537" s="7" t="b">
        <v>0</v>
      </c>
      <c r="AU537" s="40" t="str" cm="1">
        <f t="array" ref="AU537">_xlfn.XLOOKUP(PROPERTIES[[#This Row],[VEHIDCODE]],GRAPHICS_PROPERTIES[VEHIDCODE],GRAPHICS_PROPERTIES[TEMPLATE_ID]&amp;GRAPHICS_PROPERTIES[TEMPLATE_AMENDMENT_CODE])</f>
        <v>TPL_02A</v>
      </c>
    </row>
    <row r="538" spans="1:47" x14ac:dyDescent="0.35">
      <c r="A538" s="2" t="s">
        <v>3171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0" t="str">
        <f>_xlfn.XLOOKUP(PROPERTIES[[#This Row],[VEHIDCODE]],CONTROL[VEHIDCODE],CONTROL[ENGLISH])</f>
        <v>Valmet Sm2</v>
      </c>
      <c r="F538" t="s">
        <v>597</v>
      </c>
      <c r="G538" s="40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15</v>
      </c>
      <c r="J538">
        <v>100</v>
      </c>
      <c r="K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3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0">
        <f>85/2</f>
        <v>42.5</v>
      </c>
      <c r="AA538" s="19">
        <f>IFERROR(PROPERTIES[[#This Row],[TE_STARTING_KN]]/(PROPERTIES[[#This Row],[WEIGHT]]*9.81),0)</f>
        <v>7.0731656577003879E-2</v>
      </c>
      <c r="AB538" s="19">
        <v>0</v>
      </c>
      <c r="AC538" s="16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6">
        <v>100</v>
      </c>
      <c r="AF538" s="6">
        <v>8</v>
      </c>
      <c r="AG538" t="s">
        <v>234</v>
      </c>
      <c r="AH538" t="s">
        <v>229</v>
      </c>
      <c r="AI538" t="s">
        <v>229</v>
      </c>
      <c r="AJ538" s="2" t="s">
        <v>229</v>
      </c>
      <c r="AK538" s="2" t="s">
        <v>244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44" t="b">
        <v>0</v>
      </c>
      <c r="AP538" s="48" t="b">
        <v>0</v>
      </c>
      <c r="AQ538" s="48" t="b">
        <v>0</v>
      </c>
      <c r="AR538" s="48">
        <v>0</v>
      </c>
      <c r="AS538" s="48" t="b">
        <v>0</v>
      </c>
      <c r="AT538" s="7" t="b">
        <v>0</v>
      </c>
      <c r="AU538" s="40" t="str" cm="1">
        <f t="array" ref="AU538">_xlfn.XLOOKUP(PROPERTIES[[#This Row],[VEHIDCODE]],GRAPHICS_PROPERTIES[VEHIDCODE],GRAPHICS_PROPERTIES[TEMPLATE_ID]&amp;GRAPHICS_PROPERTIES[TEMPLATE_AMENDMENT_CODE])</f>
        <v>TPL_02A</v>
      </c>
    </row>
    <row r="539" spans="1:47" x14ac:dyDescent="0.35">
      <c r="A539" s="2" t="s">
        <v>3172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0" t="str">
        <f>_xlfn.XLOOKUP(PROPERTIES[[#This Row],[VEHIDCODE]],CONTROL[VEHIDCODE],CONTROL[ENGLISH])</f>
        <v>Fiat/CAF Sm4</v>
      </c>
      <c r="F539" t="s">
        <v>597</v>
      </c>
      <c r="G539" s="40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15</v>
      </c>
      <c r="J539">
        <f>184/2</f>
        <v>92</v>
      </c>
      <c r="K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3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0">
        <v>0</v>
      </c>
      <c r="AA539" s="19">
        <f>IFERROR(PROPERTIES[[#This Row],[TE_STARTING_KN]]/(PROPERTIES[[#This Row],[WEIGHT]]*9.81),0)</f>
        <v>0</v>
      </c>
      <c r="AB539" s="19">
        <v>0.18</v>
      </c>
      <c r="AC539" s="16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6">
        <f>184/2</f>
        <v>92</v>
      </c>
      <c r="AF539" s="6">
        <v>8</v>
      </c>
      <c r="AG539" t="s">
        <v>234</v>
      </c>
      <c r="AH539" t="s">
        <v>229</v>
      </c>
      <c r="AI539" t="s">
        <v>229</v>
      </c>
      <c r="AJ539" s="2" t="s">
        <v>229</v>
      </c>
      <c r="AK539" s="2" t="s">
        <v>244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44" t="b">
        <v>0</v>
      </c>
      <c r="AP539" s="48" t="b">
        <v>0</v>
      </c>
      <c r="AQ539" s="48" t="b">
        <v>0</v>
      </c>
      <c r="AR539" s="48">
        <v>0</v>
      </c>
      <c r="AS539" s="48" t="b">
        <v>0</v>
      </c>
      <c r="AT539" s="7" t="b">
        <v>0</v>
      </c>
      <c r="AU539" s="40" t="str" cm="1">
        <f t="array" ref="AU539">_xlfn.XLOOKUP(PROPERTIES[[#This Row],[VEHIDCODE]],GRAPHICS_PROPERTIES[VEHIDCODE],GRAPHICS_PROPERTIES[TEMPLATE_ID]&amp;GRAPHICS_PROPERTIES[TEMPLATE_AMENDMENT_CODE])</f>
        <v>TPL_02A</v>
      </c>
    </row>
    <row r="540" spans="1:47" x14ac:dyDescent="0.35">
      <c r="A540" s="2" t="s">
        <v>3173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0" t="str">
        <f>_xlfn.XLOOKUP(PROPERTIES[[#This Row],[VEHIDCODE]],CONTROL[VEHIDCODE],CONTROL[ENGLISH])</f>
        <v>Ganz-MAVAG VM17 'BDVmot'</v>
      </c>
      <c r="F540" t="s">
        <v>626</v>
      </c>
      <c r="G540" s="40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15</v>
      </c>
      <c r="J540">
        <f>INT(344/4)</f>
        <v>86</v>
      </c>
      <c r="K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3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0">
        <v>0</v>
      </c>
      <c r="AA540" s="19">
        <f>IFERROR(PROPERTIES[[#This Row],[TE_STARTING_KN]]/(PROPERTIES[[#This Row],[WEIGHT]]*9.81),0)</f>
        <v>0</v>
      </c>
      <c r="AB540" s="19">
        <v>0.11</v>
      </c>
      <c r="AC540" s="16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6">
        <f>INT(344/4)</f>
        <v>86</v>
      </c>
      <c r="AF540" s="6">
        <v>8</v>
      </c>
      <c r="AG540" t="s">
        <v>236</v>
      </c>
      <c r="AH540" t="s">
        <v>229</v>
      </c>
      <c r="AI540" t="s">
        <v>229</v>
      </c>
      <c r="AJ540" s="2" t="s">
        <v>229</v>
      </c>
      <c r="AK540" s="2" t="s">
        <v>244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44" t="b">
        <v>0</v>
      </c>
      <c r="AP540" s="48" t="b">
        <v>0</v>
      </c>
      <c r="AQ540" s="48" t="b">
        <v>0</v>
      </c>
      <c r="AR540" s="48">
        <v>0</v>
      </c>
      <c r="AS540" s="48" t="b">
        <v>0</v>
      </c>
      <c r="AT540" s="7" t="b">
        <v>0</v>
      </c>
      <c r="AU540" s="40" t="str" cm="1">
        <f t="array" ref="AU540">_xlfn.XLOOKUP(PROPERTIES[[#This Row],[VEHIDCODE]],GRAPHICS_PROPERTIES[VEHIDCODE],GRAPHICS_PROPERTIES[TEMPLATE_ID]&amp;GRAPHICS_PROPERTIES[TEMPLATE_AMENDMENT_CODE])</f>
        <v>TPL_02A</v>
      </c>
    </row>
    <row r="541" spans="1:47" x14ac:dyDescent="0.35">
      <c r="A541" s="2" t="s">
        <v>3174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0" t="str">
        <f>_xlfn.XLOOKUP(PROPERTIES[[#This Row],[VEHIDCODE]],CONTROL[VEHIDCODE],CONTROL[ENGLISH])</f>
        <v>ACME Corp. Sureot</v>
      </c>
      <c r="F541" t="s">
        <v>775</v>
      </c>
      <c r="G541" s="40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15</v>
      </c>
      <c r="J541">
        <v>85</v>
      </c>
      <c r="K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3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0">
        <v>0</v>
      </c>
      <c r="AA541" s="19">
        <f>IFERROR(PROPERTIES[[#This Row],[TE_STARTING_KN]]/(PROPERTIES[[#This Row],[WEIGHT]]*9.81),0)</f>
        <v>0</v>
      </c>
      <c r="AB541" s="19">
        <v>0.22</v>
      </c>
      <c r="AC541" s="16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6">
        <v>85</v>
      </c>
      <c r="AF541" s="6">
        <v>8</v>
      </c>
      <c r="AG541" t="s">
        <v>239</v>
      </c>
      <c r="AH541" t="s">
        <v>229</v>
      </c>
      <c r="AI541" t="s">
        <v>229</v>
      </c>
      <c r="AJ541" s="2" t="s">
        <v>229</v>
      </c>
      <c r="AK541" s="2" t="s">
        <v>245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44" t="b">
        <v>0</v>
      </c>
      <c r="AP541" s="48" t="b">
        <v>0</v>
      </c>
      <c r="AQ541" s="48" t="b">
        <v>0</v>
      </c>
      <c r="AR541" s="48">
        <v>0</v>
      </c>
      <c r="AS541" s="48" t="b">
        <v>0</v>
      </c>
      <c r="AT541" s="7" t="b">
        <v>0</v>
      </c>
      <c r="AU541" s="40" t="str" cm="1">
        <f t="array" ref="AU541">_xlfn.XLOOKUP(PROPERTIES[[#This Row],[VEHIDCODE]],GRAPHICS_PROPERTIES[VEHIDCODE],GRAPHICS_PROPERTIES[TEMPLATE_ID]&amp;GRAPHICS_PROPERTIES[TEMPLATE_AMENDMENT_CODE])</f>
        <v>TPL_02A</v>
      </c>
    </row>
    <row r="542" spans="1:47" x14ac:dyDescent="0.35">
      <c r="A542" s="2" t="s">
        <v>3175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0" t="str">
        <f>_xlfn.XLOOKUP(PROPERTIES[[#This Row],[VEHIDCODE]],CONTROL[VEHIDCODE],CONTROL[ENGLISH])</f>
        <v>Hitachi Shinkansen Series 0</v>
      </c>
      <c r="F542" t="s">
        <v>640</v>
      </c>
      <c r="G542" s="40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15</v>
      </c>
      <c r="J542">
        <v>75</v>
      </c>
      <c r="K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3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0">
        <v>65</v>
      </c>
      <c r="AA542" s="19">
        <f>IFERROR(PROPERTIES[[#This Row],[TE_STARTING_KN]]/(PROPERTIES[[#This Row],[WEIGHT]]*9.81),0)</f>
        <v>0.1123032533388621</v>
      </c>
      <c r="AB542" s="19">
        <v>0</v>
      </c>
      <c r="AC542" s="16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6">
        <v>100</v>
      </c>
      <c r="AF542" s="6">
        <v>8</v>
      </c>
      <c r="AG542" t="s">
        <v>238</v>
      </c>
      <c r="AH542" t="s">
        <v>229</v>
      </c>
      <c r="AI542" t="s">
        <v>229</v>
      </c>
      <c r="AJ542" s="2" t="s">
        <v>229</v>
      </c>
      <c r="AK542" s="2" t="s">
        <v>244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44" t="b">
        <v>0</v>
      </c>
      <c r="AP542" s="48" t="b">
        <v>0</v>
      </c>
      <c r="AQ542" s="48" t="b">
        <v>0</v>
      </c>
      <c r="AR542" s="48">
        <v>0</v>
      </c>
      <c r="AS542" s="48" t="b">
        <v>0</v>
      </c>
      <c r="AT542" s="7" t="b">
        <v>0</v>
      </c>
      <c r="AU542" s="40" t="str" cm="1">
        <f t="array" ref="AU542">_xlfn.XLOOKUP(PROPERTIES[[#This Row],[VEHIDCODE]],GRAPHICS_PROPERTIES[VEHIDCODE],GRAPHICS_PROPERTIES[TEMPLATE_ID]&amp;GRAPHICS_PROPERTIES[TEMPLATE_AMENDMENT_CODE])</f>
        <v>TPL_02D</v>
      </c>
    </row>
    <row r="543" spans="1:47" x14ac:dyDescent="0.35">
      <c r="A543" s="2" t="s">
        <v>3176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0" t="str">
        <f>_xlfn.XLOOKUP(PROPERTIES[[#This Row],[VEHIDCODE]],CONTROL[VEHIDCODE],CONTROL[ENGLISH])</f>
        <v>Hitachi Shinkansen Series 700</v>
      </c>
      <c r="F543" t="s">
        <v>640</v>
      </c>
      <c r="G543" s="40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15</v>
      </c>
      <c r="J543">
        <v>65</v>
      </c>
      <c r="K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3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0">
        <v>60</v>
      </c>
      <c r="AA543" s="19">
        <f>IFERROR(PROPERTIES[[#This Row],[TE_STARTING_KN]]/(PROPERTIES[[#This Row],[WEIGHT]]*9.81),0)</f>
        <v>0.13591573224600745</v>
      </c>
      <c r="AB543" s="19">
        <v>0</v>
      </c>
      <c r="AC543" s="16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6">
        <v>100</v>
      </c>
      <c r="AF543" s="6">
        <v>8</v>
      </c>
      <c r="AG543" t="s">
        <v>238</v>
      </c>
      <c r="AH543" t="s">
        <v>229</v>
      </c>
      <c r="AI543" t="s">
        <v>229</v>
      </c>
      <c r="AJ543" s="2" t="s">
        <v>229</v>
      </c>
      <c r="AK543" s="2" t="s">
        <v>244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44" t="b">
        <v>0</v>
      </c>
      <c r="AP543" s="48" t="b">
        <v>0</v>
      </c>
      <c r="AQ543" s="48" t="b">
        <v>0</v>
      </c>
      <c r="AR543" s="48">
        <v>0</v>
      </c>
      <c r="AS543" s="48" t="b">
        <v>0</v>
      </c>
      <c r="AT543" s="7" t="b">
        <v>0</v>
      </c>
      <c r="AU543" s="40" t="str" cm="1">
        <f t="array" ref="AU543">_xlfn.XLOOKUP(PROPERTIES[[#This Row],[VEHIDCODE]],GRAPHICS_PROPERTIES[VEHIDCODE],GRAPHICS_PROPERTIES[TEMPLATE_ID]&amp;GRAPHICS_PROPERTIES[TEMPLATE_AMENDMENT_CODE])</f>
        <v>TPL_02D</v>
      </c>
    </row>
    <row r="544" spans="1:47" x14ac:dyDescent="0.35">
      <c r="A544" s="2" t="s">
        <v>3177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0" t="str">
        <f>_xlfn.XLOOKUP(PROPERTIES[[#This Row],[VEHIDCODE]],CONTROL[VEHIDCODE],CONTROL[ENGLISH])</f>
        <v>Hitachi/Kawasaki Shinkansen Series E1 Max</v>
      </c>
      <c r="F544" t="s">
        <v>640</v>
      </c>
      <c r="G544" s="40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15</v>
      </c>
      <c r="J544">
        <v>80</v>
      </c>
      <c r="K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3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0">
        <v>80</v>
      </c>
      <c r="AA544" s="19">
        <f>IFERROR(PROPERTIES[[#This Row],[TE_STARTING_KN]]/(PROPERTIES[[#This Row],[WEIGHT]]*9.81),0)</f>
        <v>0.13775243133041296</v>
      </c>
      <c r="AB544" s="19">
        <v>0</v>
      </c>
      <c r="AC544" s="16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6">
        <v>103</v>
      </c>
      <c r="AF544" s="6">
        <v>8</v>
      </c>
      <c r="AG544" t="s">
        <v>238</v>
      </c>
      <c r="AH544" t="s">
        <v>229</v>
      </c>
      <c r="AI544" t="s">
        <v>229</v>
      </c>
      <c r="AJ544" s="2" t="s">
        <v>229</v>
      </c>
      <c r="AK544" s="2" t="s">
        <v>244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44" t="b">
        <v>0</v>
      </c>
      <c r="AP544" s="48" t="b">
        <v>0</v>
      </c>
      <c r="AQ544" s="48" t="b">
        <v>0</v>
      </c>
      <c r="AR544" s="48">
        <v>0</v>
      </c>
      <c r="AS544" s="48" t="b">
        <v>0</v>
      </c>
      <c r="AT544" s="7" t="b">
        <v>0</v>
      </c>
      <c r="AU544" s="40" t="str" cm="1">
        <f t="array" ref="AU544">_xlfn.XLOOKUP(PROPERTIES[[#This Row],[VEHIDCODE]],GRAPHICS_PROPERTIES[VEHIDCODE],GRAPHICS_PROPERTIES[TEMPLATE_ID]&amp;GRAPHICS_PROPERTIES[TEMPLATE_AMENDMENT_CODE])</f>
        <v>TPL_02D</v>
      </c>
    </row>
    <row r="545" spans="1:47" x14ac:dyDescent="0.35">
      <c r="A545" s="2" t="s">
        <v>3178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0" t="str">
        <f>_xlfn.XLOOKUP(PROPERTIES[[#This Row],[VEHIDCODE]],CONTROL[VEHIDCODE],CONTROL[ENGLISH])</f>
        <v>Alstom Coradia Duplex</v>
      </c>
      <c r="F545" t="s">
        <v>660</v>
      </c>
      <c r="G545" s="40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15</v>
      </c>
      <c r="J545">
        <v>111</v>
      </c>
      <c r="K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3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0">
        <f>240/2</f>
        <v>120</v>
      </c>
      <c r="AA545" s="19">
        <f>IFERROR(PROPERTIES[[#This Row],[TE_STARTING_KN]]/(PROPERTIES[[#This Row],[WEIGHT]]*9.81),0)</f>
        <v>0.19113149847094801</v>
      </c>
      <c r="AB545" s="19">
        <v>0</v>
      </c>
      <c r="AC545" s="16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6">
        <v>111</v>
      </c>
      <c r="AF545" s="6">
        <v>8</v>
      </c>
      <c r="AG545" t="s">
        <v>1950</v>
      </c>
      <c r="AH545" t="s">
        <v>229</v>
      </c>
      <c r="AI545" t="s">
        <v>229</v>
      </c>
      <c r="AJ545" s="2" t="s">
        <v>229</v>
      </c>
      <c r="AK545" s="2" t="s">
        <v>244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44" t="b">
        <v>0</v>
      </c>
      <c r="AP545" s="48" t="b">
        <v>0</v>
      </c>
      <c r="AQ545" s="48" t="b">
        <v>0</v>
      </c>
      <c r="AR545" s="48">
        <v>0</v>
      </c>
      <c r="AS545" s="48" t="b">
        <v>0</v>
      </c>
      <c r="AT545" s="7" t="b">
        <v>0</v>
      </c>
      <c r="AU545" s="40" t="str" cm="1">
        <f t="array" ref="AU545">_xlfn.XLOOKUP(PROPERTIES[[#This Row],[VEHIDCODE]],GRAPHICS_PROPERTIES[VEHIDCODE],GRAPHICS_PROPERTIES[TEMPLATE_ID]&amp;GRAPHICS_PROPERTIES[TEMPLATE_AMENDMENT_CODE])</f>
        <v>TPL_02A</v>
      </c>
    </row>
    <row r="546" spans="1:47" x14ac:dyDescent="0.35">
      <c r="A546" s="2" t="s">
        <v>3179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0" t="str">
        <f>_xlfn.XLOOKUP(PROPERTIES[[#This Row],[VEHIDCODE]],CONTROL[VEHIDCODE],CONTROL[ENGLISH])</f>
        <v>RVR ER31</v>
      </c>
      <c r="F546" t="s">
        <v>670</v>
      </c>
      <c r="G546" s="40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15</v>
      </c>
      <c r="J546">
        <v>68</v>
      </c>
      <c r="K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3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0">
        <v>0</v>
      </c>
      <c r="AA546" s="19">
        <f>IFERROR(PROPERTIES[[#This Row],[TE_STARTING_KN]]/(PROPERTIES[[#This Row],[WEIGHT]]*9.81),0)</f>
        <v>0</v>
      </c>
      <c r="AB546" s="19">
        <v>0.15</v>
      </c>
      <c r="AC546" s="16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6">
        <v>68</v>
      </c>
      <c r="AF546" s="6">
        <v>8</v>
      </c>
      <c r="AG546" t="s">
        <v>231</v>
      </c>
      <c r="AH546" t="s">
        <v>229</v>
      </c>
      <c r="AI546" t="s">
        <v>229</v>
      </c>
      <c r="AJ546" s="2" t="s">
        <v>229</v>
      </c>
      <c r="AK546" s="2" t="s">
        <v>244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44" t="b">
        <v>0</v>
      </c>
      <c r="AP546" s="48" t="b">
        <v>0</v>
      </c>
      <c r="AQ546" s="48" t="b">
        <v>0</v>
      </c>
      <c r="AR546" s="48">
        <v>0</v>
      </c>
      <c r="AS546" s="48" t="b">
        <v>0</v>
      </c>
      <c r="AT546" s="7" t="b">
        <v>0</v>
      </c>
      <c r="AU546" s="40" t="str" cm="1">
        <f t="array" ref="AU546">_xlfn.XLOOKUP(PROPERTIES[[#This Row],[VEHIDCODE]],GRAPHICS_PROPERTIES[VEHIDCODE],GRAPHICS_PROPERTIES[TEMPLATE_ID]&amp;GRAPHICS_PROPERTIES[TEMPLATE_AMENDMENT_CODE])</f>
        <v>TPL_02A</v>
      </c>
    </row>
    <row r="547" spans="1:47" x14ac:dyDescent="0.35">
      <c r="A547" s="2" t="s">
        <v>3444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0" t="str">
        <f>_xlfn.XLOOKUP(PROPERTIES[[#This Row],[VEHIDCODE]],CONTROL[VEHIDCODE],CONTROL[ENGLISH])</f>
        <v>Carel et Fouche/Alsthom Z 6100</v>
      </c>
      <c r="F547" t="s">
        <v>714</v>
      </c>
      <c r="G547" s="40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15</v>
      </c>
      <c r="J547">
        <f>INT(273/4)</f>
        <v>68</v>
      </c>
      <c r="K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3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0">
        <v>73.5</v>
      </c>
      <c r="AA547" s="19">
        <f>IFERROR(PROPERTIES[[#This Row],[TE_STARTING_KN]]/(PROPERTIES[[#This Row],[WEIGHT]]*9.81),0)</f>
        <v>0.21406727828746175</v>
      </c>
      <c r="AB547" s="19">
        <v>0</v>
      </c>
      <c r="AC547" s="16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6">
        <f>INT(273/4)</f>
        <v>68</v>
      </c>
      <c r="AF547" s="6">
        <v>8</v>
      </c>
      <c r="AG547" t="s">
        <v>236</v>
      </c>
      <c r="AH547" t="s">
        <v>230</v>
      </c>
      <c r="AI547" t="s">
        <v>229</v>
      </c>
      <c r="AJ547" s="2" t="s">
        <v>229</v>
      </c>
      <c r="AK547" s="2" t="s">
        <v>244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44" t="b">
        <v>0</v>
      </c>
      <c r="AP547" s="48" t="b">
        <v>0</v>
      </c>
      <c r="AQ547" s="48" t="b">
        <v>0</v>
      </c>
      <c r="AR547" s="48">
        <v>0</v>
      </c>
      <c r="AS547" s="48" t="b">
        <v>0</v>
      </c>
      <c r="AT547" s="7" t="b">
        <v>0</v>
      </c>
      <c r="AU547" s="40" t="str" cm="1">
        <f t="array" ref="AU547">_xlfn.XLOOKUP(PROPERTIES[[#This Row],[VEHIDCODE]],GRAPHICS_PROPERTIES[VEHIDCODE],GRAPHICS_PROPERTIES[TEMPLATE_ID]&amp;GRAPHICS_PROPERTIES[TEMPLATE_AMENDMENT_CODE])</f>
        <v>TPL_02A</v>
      </c>
    </row>
    <row r="548" spans="1:47" x14ac:dyDescent="0.35">
      <c r="A548" s="2" t="s">
        <v>3180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0" t="str">
        <f>_xlfn.XLOOKUP(PROPERTIES[[#This Row],[VEHIDCODE]],CONTROL[VEHIDCODE],CONTROL[ENGLISH])</f>
        <v>Bombardier/UCW Electrostar 'Gautrain'</v>
      </c>
      <c r="F548" t="s">
        <v>771</v>
      </c>
      <c r="G548" s="40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15</v>
      </c>
      <c r="J548">
        <v>64</v>
      </c>
      <c r="K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3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0">
        <f>150/2</f>
        <v>75</v>
      </c>
      <c r="AA548" s="19">
        <f>IFERROR(PROPERTIES[[#This Row],[TE_STARTING_KN]]/(PROPERTIES[[#This Row],[WEIGHT]]*9.81),0)</f>
        <v>0.18202999854376001</v>
      </c>
      <c r="AB548" s="19">
        <v>0</v>
      </c>
      <c r="AC548" s="16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6">
        <v>64</v>
      </c>
      <c r="AF548" s="6">
        <v>8</v>
      </c>
      <c r="AG548" t="s">
        <v>233</v>
      </c>
      <c r="AH548" t="s">
        <v>229</v>
      </c>
      <c r="AI548" t="s">
        <v>229</v>
      </c>
      <c r="AJ548" s="2" t="s">
        <v>229</v>
      </c>
      <c r="AK548" s="2" t="s">
        <v>244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44" t="b">
        <v>0</v>
      </c>
      <c r="AP548" s="48" t="b">
        <v>0</v>
      </c>
      <c r="AQ548" s="48" t="b">
        <v>0</v>
      </c>
      <c r="AR548" s="48">
        <v>0</v>
      </c>
      <c r="AS548" s="48" t="b">
        <v>0</v>
      </c>
      <c r="AT548" s="7" t="b">
        <v>0</v>
      </c>
      <c r="AU548" s="40" t="str" cm="1">
        <f t="array" ref="AU548">_xlfn.XLOOKUP(PROPERTIES[[#This Row],[VEHIDCODE]],GRAPHICS_PROPERTIES[VEHIDCODE],GRAPHICS_PROPERTIES[TEMPLATE_ID]&amp;GRAPHICS_PROPERTIES[TEMPLATE_AMENDMENT_CODE])</f>
        <v>TPL_02A</v>
      </c>
    </row>
    <row r="549" spans="1:47" x14ac:dyDescent="0.35">
      <c r="A549" s="2" t="s">
        <v>3181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0" t="str">
        <f>_xlfn.XLOOKUP(PROPERTIES[[#This Row],[VEHIDCODE]],CONTROL[VEHIDCODE],CONTROL[ENGLISH])</f>
        <v>Alsthom/Jeumont TCDD E8000</v>
      </c>
      <c r="F549" t="s">
        <v>1027</v>
      </c>
      <c r="G549" s="40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15</v>
      </c>
      <c r="J549">
        <v>81</v>
      </c>
      <c r="K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3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0">
        <f>140/2</f>
        <v>70</v>
      </c>
      <c r="AA549" s="19">
        <f>IFERROR(PROPERTIES[[#This Row],[TE_STARTING_KN]]/(PROPERTIES[[#This Row],[WEIGHT]]*9.81),0)</f>
        <v>0.1783893985728848</v>
      </c>
      <c r="AB549" s="19">
        <v>0</v>
      </c>
      <c r="AC549" s="16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6">
        <v>81</v>
      </c>
      <c r="AF549" s="6">
        <v>8</v>
      </c>
      <c r="AG549" t="s">
        <v>1948</v>
      </c>
      <c r="AH549" t="s">
        <v>229</v>
      </c>
      <c r="AI549" t="s">
        <v>229</v>
      </c>
      <c r="AJ549" s="2" t="s">
        <v>229</v>
      </c>
      <c r="AK549" s="2" t="s">
        <v>244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44" t="b">
        <v>0</v>
      </c>
      <c r="AP549" s="48" t="b">
        <v>0</v>
      </c>
      <c r="AQ549" s="48" t="b">
        <v>0</v>
      </c>
      <c r="AR549" s="48">
        <v>0</v>
      </c>
      <c r="AS549" s="48" t="b">
        <v>0</v>
      </c>
      <c r="AT549" s="7" t="b">
        <v>0</v>
      </c>
      <c r="AU549" s="40" t="str" cm="1">
        <f t="array" ref="AU549">_xlfn.XLOOKUP(PROPERTIES[[#This Row],[VEHIDCODE]],GRAPHICS_PROPERTIES[VEHIDCODE],GRAPHICS_PROPERTIES[TEMPLATE_ID]&amp;GRAPHICS_PROPERTIES[TEMPLATE_AMENDMENT_CODE])</f>
        <v>TPL_02A</v>
      </c>
    </row>
    <row r="550" spans="1:47" x14ac:dyDescent="0.35">
      <c r="A550" s="2" t="s">
        <v>3182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0" t="str">
        <f>_xlfn.XLOOKUP(PROPERTIES[[#This Row],[VEHIDCODE]],CONTROL[VEHIDCODE],CONTROL[ENGLISH])</f>
        <v>CSR Qingdao CHR380A</v>
      </c>
      <c r="F550" t="s">
        <v>575</v>
      </c>
      <c r="G550" s="40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15</v>
      </c>
      <c r="J550">
        <v>70</v>
      </c>
      <c r="K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3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0">
        <v>60</v>
      </c>
      <c r="AA550" s="19">
        <f>IFERROR(PROPERTIES[[#This Row],[TE_STARTING_KN]]/(PROPERTIES[[#This Row],[WEIGHT]]*9.81),0)</f>
        <v>0.127420998980632</v>
      </c>
      <c r="AB550" s="19">
        <v>0</v>
      </c>
      <c r="AC550" s="16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6">
        <v>70</v>
      </c>
      <c r="AF550" s="6">
        <v>8</v>
      </c>
      <c r="AG550" t="s">
        <v>238</v>
      </c>
      <c r="AH550" t="s">
        <v>229</v>
      </c>
      <c r="AI550" t="s">
        <v>229</v>
      </c>
      <c r="AJ550" s="2" t="s">
        <v>229</v>
      </c>
      <c r="AK550" s="2" t="s">
        <v>244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44" t="b">
        <v>0</v>
      </c>
      <c r="AP550" s="48" t="b">
        <v>0</v>
      </c>
      <c r="AQ550" s="48" t="b">
        <v>0</v>
      </c>
      <c r="AR550" s="48">
        <v>0</v>
      </c>
      <c r="AS550" s="48" t="b">
        <v>0</v>
      </c>
      <c r="AT550" s="7" t="b">
        <v>0</v>
      </c>
      <c r="AU550" s="40" t="str" cm="1">
        <f t="array" ref="AU550">_xlfn.XLOOKUP(PROPERTIES[[#This Row],[VEHIDCODE]],GRAPHICS_PROPERTIES[VEHIDCODE],GRAPHICS_PROPERTIES[TEMPLATE_ID]&amp;GRAPHICS_PROPERTIES[TEMPLATE_AMENDMENT_CODE])</f>
        <v>TPL_02D</v>
      </c>
    </row>
    <row r="551" spans="1:47" x14ac:dyDescent="0.35">
      <c r="A551" s="2" t="s">
        <v>3183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0" t="str">
        <f>_xlfn.XLOOKUP(PROPERTIES[[#This Row],[VEHIDCODE]],CONTROL[VEHIDCODE],CONTROL[ENGLISH])</f>
        <v>PRR MP54</v>
      </c>
      <c r="F551" t="s">
        <v>757</v>
      </c>
      <c r="G551" s="40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15</v>
      </c>
      <c r="J551">
        <v>72</v>
      </c>
      <c r="K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3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0">
        <v>80</v>
      </c>
      <c r="AA551" s="19">
        <f>IFERROR(PROPERTIES[[#This Row],[TE_STARTING_KN]]/(PROPERTIES[[#This Row],[WEIGHT]]*9.81),0)</f>
        <v>0.15101748027334164</v>
      </c>
      <c r="AB551" s="19">
        <v>0</v>
      </c>
      <c r="AC551" s="16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6">
        <v>72</v>
      </c>
      <c r="AF551" s="6">
        <v>8</v>
      </c>
      <c r="AG551" t="s">
        <v>235</v>
      </c>
      <c r="AH551" t="s">
        <v>229</v>
      </c>
      <c r="AI551" t="s">
        <v>229</v>
      </c>
      <c r="AJ551" s="2" t="s">
        <v>229</v>
      </c>
      <c r="AK551" s="2" t="s">
        <v>244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44" t="b">
        <v>0</v>
      </c>
      <c r="AP551" s="48" t="b">
        <v>0</v>
      </c>
      <c r="AQ551" s="48" t="b">
        <v>1</v>
      </c>
      <c r="AR551" s="48">
        <v>0</v>
      </c>
      <c r="AS551" s="48" t="b">
        <v>0</v>
      </c>
      <c r="AT551" s="7" t="b">
        <v>1</v>
      </c>
      <c r="AU551" s="40" t="str" cm="1">
        <f t="array" ref="AU551">_xlfn.XLOOKUP(PROPERTIES[[#This Row],[VEHIDCODE]],GRAPHICS_PROPERTIES[VEHIDCODE],GRAPHICS_PROPERTIES[TEMPLATE_ID]&amp;GRAPHICS_PROPERTIES[TEMPLATE_AMENDMENT_CODE])</f>
        <v>TPL_02A</v>
      </c>
    </row>
    <row r="552" spans="1:47" x14ac:dyDescent="0.35">
      <c r="A552" s="2" t="s">
        <v>3184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0" t="str">
        <f>_xlfn.XLOOKUP(PROPERTIES[[#This Row],[VEHIDCODE]],CONTROL[VEHIDCODE],CONTROL[ENGLISH])</f>
        <v>Alstom AGV</v>
      </c>
      <c r="F552" t="s">
        <v>636</v>
      </c>
      <c r="G552" s="40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15</v>
      </c>
      <c r="J552">
        <v>42</v>
      </c>
      <c r="K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3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0">
        <v>30</v>
      </c>
      <c r="AA552" s="19">
        <f>IFERROR(PROPERTIES[[#This Row],[TE_STARTING_KN]]/(PROPERTIES[[#This Row],[WEIGHT]]*9.81),0)</f>
        <v>7.8701205252743295E-2</v>
      </c>
      <c r="AB552" s="19">
        <v>0</v>
      </c>
      <c r="AC552" s="16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6">
        <v>42</v>
      </c>
      <c r="AF552" s="6">
        <v>7</v>
      </c>
      <c r="AG552" t="s">
        <v>231</v>
      </c>
      <c r="AH552" t="s">
        <v>229</v>
      </c>
      <c r="AI552" t="s">
        <v>229</v>
      </c>
      <c r="AJ552" s="2" t="s">
        <v>229</v>
      </c>
      <c r="AK552" s="2" t="s">
        <v>244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44" t="b">
        <v>0</v>
      </c>
      <c r="AP552" s="48" t="b">
        <v>0</v>
      </c>
      <c r="AQ552" s="48" t="b">
        <v>0</v>
      </c>
      <c r="AR552" s="48">
        <v>0</v>
      </c>
      <c r="AS552" s="48" t="b">
        <v>0</v>
      </c>
      <c r="AT552" s="7" t="b">
        <v>0</v>
      </c>
      <c r="AU552" s="40" t="str" cm="1">
        <f t="array" ref="AU552">_xlfn.XLOOKUP(PROPERTIES[[#This Row],[VEHIDCODE]],GRAPHICS_PROPERTIES[VEHIDCODE],GRAPHICS_PROPERTIES[TEMPLATE_ID]&amp;GRAPHICS_PROPERTIES[TEMPLATE_AMENDMENT_CODE])</f>
        <v>TPL_02E</v>
      </c>
    </row>
    <row r="553" spans="1:47" x14ac:dyDescent="0.35">
      <c r="A553" s="2" t="s">
        <v>3185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0" t="str">
        <f>_xlfn.XLOOKUP(PROPERTIES[[#This Row],[VEHIDCODE]],CONTROL[VEHIDCODE],CONTROL[ENGLISH])</f>
        <v>Alstom Avelia Horizon</v>
      </c>
      <c r="F553" t="s">
        <v>636</v>
      </c>
      <c r="G553" s="40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15</v>
      </c>
      <c r="J553">
        <v>80</v>
      </c>
      <c r="K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3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0">
        <v>200</v>
      </c>
      <c r="AA553" s="19">
        <f>IFERROR(PROPERTIES[[#This Row],[TE_STARTING_KN]]/(PROPERTIES[[#This Row],[WEIGHT]]*9.81),0)</f>
        <v>0.46334908720229817</v>
      </c>
      <c r="AB553" s="19">
        <v>0</v>
      </c>
      <c r="AC553" s="16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6">
        <v>100</v>
      </c>
      <c r="AF553" s="6">
        <v>7</v>
      </c>
      <c r="AG553" t="s">
        <v>231</v>
      </c>
      <c r="AH553" t="s">
        <v>233</v>
      </c>
      <c r="AI553" t="s">
        <v>229</v>
      </c>
      <c r="AJ553" s="2" t="s">
        <v>229</v>
      </c>
      <c r="AK553" s="2" t="s">
        <v>245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44" t="b">
        <v>0</v>
      </c>
      <c r="AP553" s="48" t="b">
        <v>0</v>
      </c>
      <c r="AQ553" s="48" t="b">
        <v>0</v>
      </c>
      <c r="AR553" s="48">
        <v>0</v>
      </c>
      <c r="AS553" s="48" t="b">
        <v>0</v>
      </c>
      <c r="AT553" s="7" t="b">
        <v>0</v>
      </c>
      <c r="AU553" s="40" t="str" cm="1">
        <f t="array" ref="AU553">_xlfn.XLOOKUP(PROPERTIES[[#This Row],[VEHIDCODE]],GRAPHICS_PROPERTIES[VEHIDCODE],GRAPHICS_PROPERTIES[TEMPLATE_ID]&amp;GRAPHICS_PROPERTIES[TEMPLATE_AMENDMENT_CODE])</f>
        <v>TPL_02E</v>
      </c>
    </row>
    <row r="554" spans="1:47" x14ac:dyDescent="0.35">
      <c r="A554" s="2" t="s">
        <v>3186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0" t="str">
        <f>_xlfn.XLOOKUP(PROPERTIES[[#This Row],[VEHIDCODE]],CONTROL[VEHIDCODE],CONTROL[ENGLISH])</f>
        <v>AnsaldoBreda V250 'Albatros'</v>
      </c>
      <c r="F554" t="s">
        <v>692</v>
      </c>
      <c r="G554" s="40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15</v>
      </c>
      <c r="J554">
        <v>71</v>
      </c>
      <c r="K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3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0">
        <f>300/2</f>
        <v>150</v>
      </c>
      <c r="AA554" s="19">
        <f>IFERROR(PROPERTIES[[#This Row],[TE_STARTING_KN]]/(PROPERTIES[[#This Row],[WEIGHT]]*9.81),0)</f>
        <v>0.25066426028976785</v>
      </c>
      <c r="AB554" s="19">
        <v>0</v>
      </c>
      <c r="AC554" s="16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6">
        <v>71</v>
      </c>
      <c r="AF554" s="6">
        <v>8</v>
      </c>
      <c r="AG554" t="s">
        <v>230</v>
      </c>
      <c r="AH554" t="s">
        <v>229</v>
      </c>
      <c r="AI554" t="s">
        <v>229</v>
      </c>
      <c r="AJ554" s="2" t="s">
        <v>229</v>
      </c>
      <c r="AK554" s="2" t="s">
        <v>244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44" t="b">
        <v>0</v>
      </c>
      <c r="AP554" s="48" t="b">
        <v>0</v>
      </c>
      <c r="AQ554" s="48" t="b">
        <v>0</v>
      </c>
      <c r="AR554" s="48">
        <v>0</v>
      </c>
      <c r="AS554" s="48" t="b">
        <v>0</v>
      </c>
      <c r="AT554" s="7" t="b">
        <v>0</v>
      </c>
      <c r="AU554" s="40" t="str" cm="1">
        <f t="array" ref="AU554">_xlfn.XLOOKUP(PROPERTIES[[#This Row],[VEHIDCODE]],GRAPHICS_PROPERTIES[VEHIDCODE],GRAPHICS_PROPERTIES[TEMPLATE_ID]&amp;GRAPHICS_PROPERTIES[TEMPLATE_AMENDMENT_CODE])</f>
        <v>TPL_02D</v>
      </c>
    </row>
    <row r="555" spans="1:47" x14ac:dyDescent="0.35">
      <c r="A555" s="2" t="s">
        <v>3187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0" t="str">
        <f>_xlfn.XLOOKUP(PROPERTIES[[#This Row],[VEHIDCODE]],CONTROL[VEHIDCODE],CONTROL[ENGLISH])</f>
        <v>NS 4800 HSA 'Fyra'</v>
      </c>
      <c r="F555" t="s">
        <v>692</v>
      </c>
      <c r="G555" s="40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15</v>
      </c>
      <c r="J555">
        <v>42</v>
      </c>
      <c r="K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3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0">
        <v>150</v>
      </c>
      <c r="AA555" s="19">
        <f>IFERROR(PROPERTIES[[#This Row],[TE_STARTING_KN]]/(PROPERTIES[[#This Row],[WEIGHT]]*9.81),0)</f>
        <v>0.29404845918607386</v>
      </c>
      <c r="AB555" s="19">
        <v>0</v>
      </c>
      <c r="AC555" s="16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6">
        <v>42</v>
      </c>
      <c r="AF555" s="6">
        <v>8</v>
      </c>
      <c r="AG555" t="s">
        <v>230</v>
      </c>
      <c r="AH555" t="s">
        <v>229</v>
      </c>
      <c r="AI555" t="s">
        <v>229</v>
      </c>
      <c r="AJ555" s="2" t="s">
        <v>229</v>
      </c>
      <c r="AK555" s="2" t="s">
        <v>245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44" t="b">
        <v>0</v>
      </c>
      <c r="AP555" s="48" t="b">
        <v>0</v>
      </c>
      <c r="AQ555" s="48" t="b">
        <v>0</v>
      </c>
      <c r="AR555" s="48">
        <v>0</v>
      </c>
      <c r="AS555" s="48" t="b">
        <v>0</v>
      </c>
      <c r="AT555" s="7" t="b">
        <v>0</v>
      </c>
      <c r="AU555" s="40" t="str" cm="1">
        <f t="array" ref="AU555">_xlfn.XLOOKUP(PROPERTIES[[#This Row],[VEHIDCODE]],GRAPHICS_PROPERTIES[VEHIDCODE],GRAPHICS_PROPERTIES[TEMPLATE_ID]&amp;GRAPHICS_PROPERTIES[TEMPLATE_AMENDMENT_CODE])</f>
        <v>TPL_02E</v>
      </c>
    </row>
    <row r="556" spans="1:47" x14ac:dyDescent="0.35">
      <c r="A556" s="2" t="s">
        <v>3188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0" t="str">
        <f>_xlfn.XLOOKUP(PROPERTIES[[#This Row],[VEHIDCODE]],CONTROL[VEHIDCODE],CONTROL[ENGLISH])</f>
        <v>SIG Rae TEE II</v>
      </c>
      <c r="F556" t="s">
        <v>570</v>
      </c>
      <c r="G556" s="40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15</v>
      </c>
      <c r="J556">
        <f>INT(168+126+54)/6</f>
        <v>58</v>
      </c>
      <c r="K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3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0">
        <f>188/2</f>
        <v>94</v>
      </c>
      <c r="AA556" s="19">
        <f>IFERROR(PROPERTIES[[#This Row],[TE_STARTING_KN]]/(PROPERTIES[[#This Row],[WEIGHT]]*9.81),0)</f>
        <v>0.19423092817588228</v>
      </c>
      <c r="AB556" s="19">
        <v>0</v>
      </c>
      <c r="AC556" s="16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6">
        <f>INT(168+126+54)/6</f>
        <v>58</v>
      </c>
      <c r="AF556" s="6">
        <v>8</v>
      </c>
      <c r="AG556" t="s">
        <v>230</v>
      </c>
      <c r="AH556" t="s">
        <v>229</v>
      </c>
      <c r="AI556" t="s">
        <v>229</v>
      </c>
      <c r="AJ556" s="2" t="s">
        <v>229</v>
      </c>
      <c r="AK556" s="2" t="s">
        <v>244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44" t="b">
        <v>0</v>
      </c>
      <c r="AP556" s="48" t="b">
        <v>0</v>
      </c>
      <c r="AQ556" s="48" t="b">
        <v>0</v>
      </c>
      <c r="AR556" s="48">
        <v>0</v>
      </c>
      <c r="AS556" s="48" t="b">
        <v>0</v>
      </c>
      <c r="AT556" s="7" t="b">
        <v>0</v>
      </c>
      <c r="AU556" s="40" t="str" cm="1">
        <f t="array" ref="AU556">_xlfn.XLOOKUP(PROPERTIES[[#This Row],[VEHIDCODE]],GRAPHICS_PROPERTIES[VEHIDCODE],GRAPHICS_PROPERTIES[TEMPLATE_ID]&amp;GRAPHICS_PROPERTIES[TEMPLATE_AMENDMENT_CODE])</f>
        <v>TPL_02D</v>
      </c>
    </row>
    <row r="557" spans="1:47" x14ac:dyDescent="0.35">
      <c r="A557" s="2" t="s">
        <v>3189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0" t="str">
        <f>_xlfn.XLOOKUP(PROPERTIES[[#This Row],[VEHIDCODE]],CONTROL[VEHIDCODE],CONTROL[ENGLISH])</f>
        <v>Pullman Erie Lackawanna 2500 Series</v>
      </c>
      <c r="F557" t="s">
        <v>757</v>
      </c>
      <c r="G557" s="40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15</v>
      </c>
      <c r="J557">
        <v>82</v>
      </c>
      <c r="K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3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0">
        <v>135</v>
      </c>
      <c r="AA557" s="19">
        <f>IFERROR(PROPERTIES[[#This Row],[TE_STARTING_KN]]/(PROPERTIES[[#This Row],[WEIGHT]]*9.81),0)</f>
        <v>0.22559783426079105</v>
      </c>
      <c r="AB557" s="19">
        <v>0</v>
      </c>
      <c r="AC557" s="16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6">
        <v>84</v>
      </c>
      <c r="AF557" s="6">
        <v>8</v>
      </c>
      <c r="AG557" t="s">
        <v>235</v>
      </c>
      <c r="AH557" t="s">
        <v>229</v>
      </c>
      <c r="AI557" t="s">
        <v>229</v>
      </c>
      <c r="AJ557" s="2" t="s">
        <v>229</v>
      </c>
      <c r="AK557" s="2" t="s">
        <v>244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44" t="b">
        <v>0</v>
      </c>
      <c r="AP557" s="48" t="b">
        <v>0</v>
      </c>
      <c r="AQ557" s="48" t="b">
        <v>0</v>
      </c>
      <c r="AR557" s="48">
        <v>0</v>
      </c>
      <c r="AS557" s="48" t="b">
        <v>0</v>
      </c>
      <c r="AT557" s="7" t="b">
        <v>0</v>
      </c>
      <c r="AU557" s="40" t="str" cm="1">
        <f t="array" ref="AU557">_xlfn.XLOOKUP(PROPERTIES[[#This Row],[VEHIDCODE]],GRAPHICS_PROPERTIES[VEHIDCODE],GRAPHICS_PROPERTIES[TEMPLATE_ID]&amp;GRAPHICS_PROPERTIES[TEMPLATE_AMENDMENT_CODE])</f>
        <v>TPL_02A</v>
      </c>
    </row>
    <row r="558" spans="1:47" x14ac:dyDescent="0.35">
      <c r="A558" s="2" t="s">
        <v>3190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0" t="str">
        <f>_xlfn.XLOOKUP(PROPERTIES[[#This Row],[VEHIDCODE]],CONTROL[VEHIDCODE],CONTROL[ENGLISH])</f>
        <v>Alsthom TGV 23000</v>
      </c>
      <c r="F558" t="s">
        <v>602</v>
      </c>
      <c r="G558" s="40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_xlfn.XLOOKUP("LOADINGSPEEDDEF_"&amp;PROPERTIES[[#This Row],[LOADINGSPEED]],LOADINGSPEEDDEF[TYPE],LOADINGSPEEDDEF[SPEED])</f>
        <v>20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3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0">
        <f>210/2</f>
        <v>105</v>
      </c>
      <c r="AA558" s="19">
        <f>IFERROR(PROPERTIES[[#This Row],[TE_STARTING_KN]]/(PROPERTIES[[#This Row],[WEIGHT]]*9.81),0)</f>
        <v>0.15740241050548659</v>
      </c>
      <c r="AB558" s="19">
        <v>0</v>
      </c>
      <c r="AC558" s="16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6">
        <v>43</v>
      </c>
      <c r="AF558" s="6">
        <v>6</v>
      </c>
      <c r="AG558" t="s">
        <v>230</v>
      </c>
      <c r="AH558" t="s">
        <v>229</v>
      </c>
      <c r="AI558" t="s">
        <v>229</v>
      </c>
      <c r="AJ558" s="2" t="s">
        <v>229</v>
      </c>
      <c r="AK558" s="2" t="s">
        <v>244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44" t="b">
        <v>0</v>
      </c>
      <c r="AP558" s="48" t="b">
        <v>0</v>
      </c>
      <c r="AQ558" s="48" t="b">
        <v>0</v>
      </c>
      <c r="AR558" s="48">
        <v>0</v>
      </c>
      <c r="AS558" s="48" t="b">
        <v>0</v>
      </c>
      <c r="AT558" s="7" t="b">
        <v>0</v>
      </c>
      <c r="AU558" s="40" t="str" cm="1">
        <f t="array" ref="AU558">_xlfn.XLOOKUP(PROPERTIES[[#This Row],[VEHIDCODE]],GRAPHICS_PROPERTIES[VEHIDCODE],GRAPHICS_PROPERTIES[TEMPLATE_ID]&amp;GRAPHICS_PROPERTIES[TEMPLATE_AMENDMENT_CODE])</f>
        <v>TPL_02E</v>
      </c>
    </row>
    <row r="559" spans="1:47" x14ac:dyDescent="0.35">
      <c r="A559" s="2" t="s">
        <v>3191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0" t="str">
        <f>_xlfn.XLOOKUP(PROPERTIES[[#This Row],[VEHIDCODE]],CONTROL[VEHIDCODE],CONTROL[ENGLISH])</f>
        <v>Alsthom TGV Duplex</v>
      </c>
      <c r="F559" t="s">
        <v>602</v>
      </c>
      <c r="G559" s="40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_xlfn.XLOOKUP("LOADINGSPEEDDEF_"&amp;PROPERTIES[[#This Row],[LOADINGSPEED]],LOADINGSPEEDDEF[TYPE],LOADINGSPEEDDEF[SPEED])</f>
        <v>20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3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0">
        <f>220/2</f>
        <v>110</v>
      </c>
      <c r="AA559" s="19">
        <f>IFERROR(PROPERTIES[[#This Row],[TE_STARTING_KN]]/(PROPERTIES[[#This Row],[WEIGHT]]*9.81),0)</f>
        <v>0.16489776338670023</v>
      </c>
      <c r="AB559" s="19">
        <v>0</v>
      </c>
      <c r="AC559" s="16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6">
        <v>72</v>
      </c>
      <c r="AF559" s="6">
        <v>6</v>
      </c>
      <c r="AG559" t="s">
        <v>230</v>
      </c>
      <c r="AH559" t="s">
        <v>233</v>
      </c>
      <c r="AI559" t="s">
        <v>229</v>
      </c>
      <c r="AJ559" s="2" t="s">
        <v>229</v>
      </c>
      <c r="AK559" s="2" t="s">
        <v>244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44" t="b">
        <v>0</v>
      </c>
      <c r="AP559" s="48" t="b">
        <v>0</v>
      </c>
      <c r="AQ559" s="48" t="b">
        <v>0</v>
      </c>
      <c r="AR559" s="48">
        <v>0</v>
      </c>
      <c r="AS559" s="48" t="b">
        <v>0</v>
      </c>
      <c r="AT559" s="7" t="b">
        <v>0</v>
      </c>
      <c r="AU559" s="40" t="str" cm="1">
        <f t="array" ref="AU559">_xlfn.XLOOKUP(PROPERTIES[[#This Row],[VEHIDCODE]],GRAPHICS_PROPERTIES[VEHIDCODE],GRAPHICS_PROPERTIES[TEMPLATE_ID]&amp;GRAPHICS_PROPERTIES[TEMPLATE_AMENDMENT_CODE])</f>
        <v>TPL_02A</v>
      </c>
    </row>
    <row r="560" spans="1:47" x14ac:dyDescent="0.35">
      <c r="A560" s="2" t="s">
        <v>3192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0" t="str">
        <f>_xlfn.XLOOKUP(PROPERTIES[[#This Row],[VEHIDCODE]],CONTROL[VEHIDCODE],CONTROL[ENGLISH])</f>
        <v>GEC-Alsthom Thalys PBKA</v>
      </c>
      <c r="F560" t="s">
        <v>602</v>
      </c>
      <c r="G560" s="40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_xlfn.XLOOKUP("LOADINGSPEEDDEF_"&amp;PROPERTIES[[#This Row],[LOADINGSPEED]],LOADINGSPEEDDEF[TYPE],LOADINGSPEEDDEF[SPEED])</f>
        <v>20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3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0">
        <f>210/2</f>
        <v>105</v>
      </c>
      <c r="AA560" s="19">
        <f>IFERROR(PROPERTIES[[#This Row],[TE_STARTING_KN]]/(PROPERTIES[[#This Row],[WEIGHT]]*9.81),0)</f>
        <v>0.15740241050548659</v>
      </c>
      <c r="AB560" s="19">
        <v>0</v>
      </c>
      <c r="AC560" s="16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6">
        <v>47</v>
      </c>
      <c r="AF560" s="6">
        <v>6</v>
      </c>
      <c r="AG560" t="s">
        <v>230</v>
      </c>
      <c r="AH560" t="s">
        <v>229</v>
      </c>
      <c r="AI560" t="s">
        <v>229</v>
      </c>
      <c r="AJ560" s="2" t="s">
        <v>229</v>
      </c>
      <c r="AK560" s="2" t="s">
        <v>244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44" t="b">
        <v>0</v>
      </c>
      <c r="AP560" s="48" t="b">
        <v>0</v>
      </c>
      <c r="AQ560" s="48" t="b">
        <v>0</v>
      </c>
      <c r="AR560" s="48">
        <v>0</v>
      </c>
      <c r="AS560" s="48" t="b">
        <v>0</v>
      </c>
      <c r="AT560" s="7" t="b">
        <v>0</v>
      </c>
      <c r="AU560" s="40" t="str" cm="1">
        <f t="array" ref="AU560">_xlfn.XLOOKUP(PROPERTIES[[#This Row],[VEHIDCODE]],GRAPHICS_PROPERTIES[VEHIDCODE],GRAPHICS_PROPERTIES[TEMPLATE_ID]&amp;GRAPHICS_PROPERTIES[TEMPLATE_AMENDMENT_CODE])</f>
        <v>TPL_02E</v>
      </c>
    </row>
    <row r="561" spans="1:47" x14ac:dyDescent="0.35">
      <c r="A561" s="2" t="s">
        <v>3193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0" t="str">
        <f>_xlfn.XLOOKUP(PROPERTIES[[#This Row],[VEHIDCODE]],CONTROL[VEHIDCODE],CONTROL[ENGLISH])</f>
        <v>Alsthom 'Pendolino' 680</v>
      </c>
      <c r="F561" t="s">
        <v>583</v>
      </c>
      <c r="G561" s="40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15</v>
      </c>
      <c r="J561">
        <v>47</v>
      </c>
      <c r="K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3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0">
        <v>50</v>
      </c>
      <c r="AA561" s="19">
        <f>IFERROR(PROPERTIES[[#This Row],[TE_STARTING_KN]]/(PROPERTIES[[#This Row],[WEIGHT]]*9.81),0)</f>
        <v>9.2669817440459629E-2</v>
      </c>
      <c r="AB561" s="19">
        <v>0</v>
      </c>
      <c r="AC561" s="16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6">
        <v>47</v>
      </c>
      <c r="AF561" s="6">
        <v>8</v>
      </c>
      <c r="AG561" t="s">
        <v>239</v>
      </c>
      <c r="AH561" t="s">
        <v>229</v>
      </c>
      <c r="AI561" t="s">
        <v>229</v>
      </c>
      <c r="AJ561" s="2" t="s">
        <v>229</v>
      </c>
      <c r="AK561" s="2" t="s">
        <v>244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44" t="b">
        <v>0</v>
      </c>
      <c r="AP561" s="48" t="b">
        <v>0</v>
      </c>
      <c r="AQ561" s="48" t="b">
        <v>1</v>
      </c>
      <c r="AR561" s="48">
        <v>0</v>
      </c>
      <c r="AS561" s="48" t="b">
        <v>0</v>
      </c>
      <c r="AT561" s="7" t="b">
        <v>0</v>
      </c>
      <c r="AU561" s="40" t="str" cm="1">
        <f t="array" ref="AU561">_xlfn.XLOOKUP(PROPERTIES[[#This Row],[VEHIDCODE]],GRAPHICS_PROPERTIES[VEHIDCODE],GRAPHICS_PROPERTIES[TEMPLATE_ID]&amp;GRAPHICS_PROPERTIES[TEMPLATE_AMENDMENT_CODE])</f>
        <v>TPL_02A</v>
      </c>
    </row>
    <row r="562" spans="1:47" x14ac:dyDescent="0.35">
      <c r="A562" s="2" t="s">
        <v>3194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0" t="str">
        <f>_xlfn.XLOOKUP(PROPERTIES[[#This Row],[VEHIDCODE]],CONTROL[VEHIDCODE],CONTROL[ENGLISH])</f>
        <v>CAF/Alstom Class 120</v>
      </c>
      <c r="F562" t="s">
        <v>595</v>
      </c>
      <c r="G562" s="40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15</v>
      </c>
      <c r="J562">
        <v>60</v>
      </c>
      <c r="K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3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0">
        <v>48</v>
      </c>
      <c r="AA562" s="19">
        <f>IFERROR(PROPERTIES[[#This Row],[TE_STARTING_KN]]/(PROPERTIES[[#This Row],[WEIGHT]]*9.81),0)</f>
        <v>8.0212563292725705E-2</v>
      </c>
      <c r="AB562" s="19">
        <v>0</v>
      </c>
      <c r="AC562" s="16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6">
        <v>60</v>
      </c>
      <c r="AF562" s="6">
        <v>8</v>
      </c>
      <c r="AG562" t="s">
        <v>231</v>
      </c>
      <c r="AH562" t="s">
        <v>229</v>
      </c>
      <c r="AI562" t="s">
        <v>229</v>
      </c>
      <c r="AJ562" s="2" t="s">
        <v>229</v>
      </c>
      <c r="AK562" s="2" t="s">
        <v>244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44" t="b">
        <v>0</v>
      </c>
      <c r="AP562" s="48" t="b">
        <v>0</v>
      </c>
      <c r="AQ562" s="48" t="b">
        <v>0</v>
      </c>
      <c r="AR562" s="48">
        <v>0</v>
      </c>
      <c r="AS562" s="48" t="b">
        <v>0</v>
      </c>
      <c r="AT562" s="7" t="b">
        <v>0</v>
      </c>
      <c r="AU562" s="40" t="str" cm="1">
        <f t="array" ref="AU562">_xlfn.XLOOKUP(PROPERTIES[[#This Row],[VEHIDCODE]],GRAPHICS_PROPERTIES[VEHIDCODE],GRAPHICS_PROPERTIES[TEMPLATE_ID]&amp;GRAPHICS_PROPERTIES[TEMPLATE_AMENDMENT_CODE])</f>
        <v>TPL_02A</v>
      </c>
    </row>
    <row r="563" spans="1:47" x14ac:dyDescent="0.35">
      <c r="A563" s="2" t="s">
        <v>3195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0" t="str">
        <f>_xlfn.XLOOKUP(PROPERTIES[[#This Row],[VEHIDCODE]],CONTROL[VEHIDCODE],CONTROL[ENGLISH])</f>
        <v>Bombarier/Alstom Acela Express</v>
      </c>
      <c r="F563" t="s">
        <v>757</v>
      </c>
      <c r="G563" s="40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_xlfn.XLOOKUP("LOADINGSPEEDDEF_"&amp;PROPERTIES[[#This Row],[LOADINGSPEED]],LOADINGSPEEDDEF[TYPE],LOADINGSPEEDDEF[SPEED])</f>
        <v>20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3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0">
        <v>220.2</v>
      </c>
      <c r="AA563" s="19">
        <f>IFERROR(PROPERTIES[[#This Row],[TE_STARTING_KN]]/(PROPERTIES[[#This Row],[WEIGHT]]*9.81),0)</f>
        <v>0.24136003419815197</v>
      </c>
      <c r="AB563" s="19">
        <v>0</v>
      </c>
      <c r="AC563" s="16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6">
        <v>50</v>
      </c>
      <c r="AF563" s="6">
        <v>8</v>
      </c>
      <c r="AG563" t="s">
        <v>235</v>
      </c>
      <c r="AH563" t="s">
        <v>229</v>
      </c>
      <c r="AI563" t="s">
        <v>229</v>
      </c>
      <c r="AJ563" s="2" t="s">
        <v>229</v>
      </c>
      <c r="AK563" s="2" t="s">
        <v>244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44" t="b">
        <v>0</v>
      </c>
      <c r="AP563" s="48" t="b">
        <v>0</v>
      </c>
      <c r="AQ563" s="48" t="b">
        <v>0</v>
      </c>
      <c r="AR563" s="48">
        <v>0</v>
      </c>
      <c r="AS563" s="48" t="b">
        <v>0</v>
      </c>
      <c r="AT563" s="7" t="b">
        <v>0</v>
      </c>
      <c r="AU563" s="40" t="str" cm="1">
        <f t="array" ref="AU563">_xlfn.XLOOKUP(PROPERTIES[[#This Row],[VEHIDCODE]],GRAPHICS_PROPERTIES[VEHIDCODE],GRAPHICS_PROPERTIES[TEMPLATE_ID]&amp;GRAPHICS_PROPERTIES[TEMPLATE_AMENDMENT_CODE])</f>
        <v>TPL_02A</v>
      </c>
    </row>
    <row r="564" spans="1:47" x14ac:dyDescent="0.35">
      <c r="A564" s="2" t="s">
        <v>3196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0" t="str">
        <f>_xlfn.XLOOKUP(PROPERTIES[[#This Row],[VEHIDCODE]],CONTROL[VEHIDCODE],CONTROL[ENGLISH])</f>
        <v>Brooklyn Union Gate 1300</v>
      </c>
      <c r="F564" t="s">
        <v>757</v>
      </c>
      <c r="G564" s="40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22</v>
      </c>
      <c r="J564">
        <v>48</v>
      </c>
      <c r="K564">
        <v>7</v>
      </c>
      <c r="L564">
        <v>0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3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0">
        <v>25</v>
      </c>
      <c r="AA564" s="19">
        <f>IFERROR(PROPERTIES[[#This Row],[TE_STARTING_KN]]/(PROPERTIES[[#This Row],[WEIGHT]]*9.81),0)</f>
        <v>9.1014999271880004E-2</v>
      </c>
      <c r="AB564" s="19">
        <v>0</v>
      </c>
      <c r="AC564" s="16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6">
        <v>0</v>
      </c>
      <c r="AF564" s="6">
        <v>0</v>
      </c>
      <c r="AG564" t="s">
        <v>235</v>
      </c>
      <c r="AH564" t="s">
        <v>229</v>
      </c>
      <c r="AI564" t="s">
        <v>229</v>
      </c>
      <c r="AJ564" s="2" t="s">
        <v>229</v>
      </c>
      <c r="AK564" s="2" t="s">
        <v>244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44" t="b">
        <v>0</v>
      </c>
      <c r="AP564" s="48" t="b">
        <v>0</v>
      </c>
      <c r="AQ564" s="48" t="b">
        <v>0</v>
      </c>
      <c r="AR564" s="48">
        <v>0</v>
      </c>
      <c r="AS564" s="48" t="b">
        <v>0</v>
      </c>
      <c r="AT564" s="7" t="b">
        <v>0</v>
      </c>
      <c r="AU564" s="40" t="str" cm="1">
        <f t="array" ref="AU564">_xlfn.XLOOKUP(PROPERTIES[[#This Row],[VEHIDCODE]],GRAPHICS_PROPERTIES[VEHIDCODE],GRAPHICS_PROPERTIES[TEMPLATE_ID]&amp;GRAPHICS_PROPERTIES[TEMPLATE_AMENDMENT_CODE])</f>
        <v>TPL_01B</v>
      </c>
    </row>
    <row r="565" spans="1:47" x14ac:dyDescent="0.35">
      <c r="A565" s="2" t="s">
        <v>3197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0" t="str">
        <f>_xlfn.XLOOKUP(PROPERTIES[[#This Row],[VEHIDCODE]],CONTROL[VEHIDCODE],CONTROL[ENGLISH])</f>
        <v>Siemens &amp; Halske Budapest 1894 Stock</v>
      </c>
      <c r="F565" t="s">
        <v>626</v>
      </c>
      <c r="G565" s="40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22</v>
      </c>
      <c r="J565">
        <v>46</v>
      </c>
      <c r="K565">
        <v>8</v>
      </c>
      <c r="L565">
        <v>0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3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0">
        <v>18</v>
      </c>
      <c r="AA565" s="19">
        <f>IFERROR(PROPERTIES[[#This Row],[TE_STARTING_KN]]/(PROPERTIES[[#This Row],[WEIGHT]]*9.81),0)</f>
        <v>0.11120378092855157</v>
      </c>
      <c r="AB565" s="19">
        <v>0</v>
      </c>
      <c r="AC565" s="16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6">
        <v>0</v>
      </c>
      <c r="AF565" s="6">
        <v>0</v>
      </c>
      <c r="AG565" t="s">
        <v>236</v>
      </c>
      <c r="AH565" t="s">
        <v>229</v>
      </c>
      <c r="AI565" t="s">
        <v>229</v>
      </c>
      <c r="AJ565" s="2" t="s">
        <v>229</v>
      </c>
      <c r="AK565" s="2" t="s">
        <v>244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44" t="b">
        <v>0</v>
      </c>
      <c r="AP565" s="48" t="b">
        <v>0</v>
      </c>
      <c r="AQ565" s="48" t="b">
        <v>0</v>
      </c>
      <c r="AR565" s="48">
        <v>0</v>
      </c>
      <c r="AS565" s="48" t="b">
        <v>0</v>
      </c>
      <c r="AT565" s="7" t="b">
        <v>0</v>
      </c>
      <c r="AU565" s="40" t="str" cm="1">
        <f t="array" ref="AU565">_xlfn.XLOOKUP(PROPERTIES[[#This Row],[VEHIDCODE]],GRAPHICS_PROPERTIES[VEHIDCODE],GRAPHICS_PROPERTIES[TEMPLATE_ID]&amp;GRAPHICS_PROPERTIES[TEMPLATE_AMENDMENT_CODE])</f>
        <v>TPL_01B</v>
      </c>
    </row>
    <row r="566" spans="1:47" x14ac:dyDescent="0.35">
      <c r="A566" s="2" t="s">
        <v>3198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0" t="str">
        <f>_xlfn.XLOOKUP(PROPERTIES[[#This Row],[VEHIDCODE]],CONTROL[VEHIDCODE],CONTROL[ENGLISH])</f>
        <v>Chicago L Northwest Elevated 1907 Stock</v>
      </c>
      <c r="F566" t="s">
        <v>757</v>
      </c>
      <c r="G566" s="40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22</v>
      </c>
      <c r="J566">
        <v>130</v>
      </c>
      <c r="K566">
        <v>8</v>
      </c>
      <c r="L566">
        <v>0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3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0">
        <v>38</v>
      </c>
      <c r="AA566" s="19">
        <f>IFERROR(PROPERTIES[[#This Row],[TE_STARTING_KN]]/(PROPERTIES[[#This Row],[WEIGHT]]*9.81),0)</f>
        <v>0.12297137679400674</v>
      </c>
      <c r="AB566" s="19">
        <v>0</v>
      </c>
      <c r="AC566" s="16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6">
        <v>0</v>
      </c>
      <c r="AF566" s="6">
        <v>0</v>
      </c>
      <c r="AG566" t="s">
        <v>235</v>
      </c>
      <c r="AH566" t="s">
        <v>229</v>
      </c>
      <c r="AI566" t="s">
        <v>229</v>
      </c>
      <c r="AJ566" s="2" t="s">
        <v>229</v>
      </c>
      <c r="AK566" s="2" t="s">
        <v>244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44" t="b">
        <v>0</v>
      </c>
      <c r="AP566" s="48" t="b">
        <v>0</v>
      </c>
      <c r="AQ566" s="48" t="b">
        <v>0</v>
      </c>
      <c r="AR566" s="48">
        <v>0</v>
      </c>
      <c r="AS566" s="48" t="b">
        <v>0</v>
      </c>
      <c r="AT566" s="7" t="b">
        <v>0</v>
      </c>
      <c r="AU566" s="40" t="str" cm="1">
        <f t="array" ref="AU566">_xlfn.XLOOKUP(PROPERTIES[[#This Row],[VEHIDCODE]],GRAPHICS_PROPERTIES[VEHIDCODE],GRAPHICS_PROPERTIES[TEMPLATE_ID]&amp;GRAPHICS_PROPERTIES[TEMPLATE_AMENDMENT_CODE])</f>
        <v>TPL_01A</v>
      </c>
    </row>
    <row r="567" spans="1:47" x14ac:dyDescent="0.35">
      <c r="A567" s="2" t="s">
        <v>3199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0" t="str">
        <f>_xlfn.XLOOKUP(PROPERTIES[[#This Row],[VEHIDCODE]],CONTROL[VEHIDCODE],CONTROL[ENGLISH])</f>
        <v>Berlin U-Bahn C II</v>
      </c>
      <c r="F567" t="s">
        <v>584</v>
      </c>
      <c r="G567" s="40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22</v>
      </c>
      <c r="J567">
        <v>157</v>
      </c>
      <c r="K567">
        <v>8</v>
      </c>
      <c r="L567">
        <v>0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3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0">
        <v>42</v>
      </c>
      <c r="AA567" s="19">
        <f>IFERROR(PROPERTIES[[#This Row],[TE_STARTING_KN]]/(PROPERTIES[[#This Row],[WEIGHT]]*9.81),0)</f>
        <v>9.4720034640469811E-2</v>
      </c>
      <c r="AB567" s="19">
        <v>0</v>
      </c>
      <c r="AC567" s="16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6">
        <v>0</v>
      </c>
      <c r="AF567" s="6">
        <v>0</v>
      </c>
      <c r="AG567" t="s">
        <v>230</v>
      </c>
      <c r="AH567" t="s">
        <v>229</v>
      </c>
      <c r="AI567" t="s">
        <v>229</v>
      </c>
      <c r="AJ567" s="2" t="s">
        <v>229</v>
      </c>
      <c r="AK567" s="2" t="s">
        <v>244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44" t="b">
        <v>0</v>
      </c>
      <c r="AP567" s="48" t="b">
        <v>0</v>
      </c>
      <c r="AQ567" s="48" t="b">
        <v>0</v>
      </c>
      <c r="AR567" s="48">
        <v>0</v>
      </c>
      <c r="AS567" s="48" t="b">
        <v>0</v>
      </c>
      <c r="AT567" s="7" t="b">
        <v>0</v>
      </c>
      <c r="AU567" s="40" t="str" cm="1">
        <f t="array" ref="AU567">_xlfn.XLOOKUP(PROPERTIES[[#This Row],[VEHIDCODE]],GRAPHICS_PROPERTIES[VEHIDCODE],GRAPHICS_PROPERTIES[TEMPLATE_ID]&amp;GRAPHICS_PROPERTIES[TEMPLATE_AMENDMENT_CODE])</f>
        <v>TPL_01B</v>
      </c>
    </row>
    <row r="568" spans="1:47" x14ac:dyDescent="0.35">
      <c r="A568" s="2" t="s">
        <v>3200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0" t="str">
        <f>_xlfn.XLOOKUP(PROPERTIES[[#This Row],[VEHIDCODE]],CONTROL[VEHIDCODE],CONTROL[ENGLISH])</f>
        <v>ACME Corp. Turbobus</v>
      </c>
      <c r="F568" t="s">
        <v>1028</v>
      </c>
      <c r="G568" s="40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15</v>
      </c>
      <c r="J568">
        <v>45</v>
      </c>
      <c r="K568">
        <v>8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3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0">
        <v>0</v>
      </c>
      <c r="AA568" s="19">
        <f>IFERROR(PROPERTIES[[#This Row],[TE_STARTING_KN]]/(PROPERTIES[[#This Row],[WEIGHT]]*9.81),0)</f>
        <v>0</v>
      </c>
      <c r="AB568" s="19">
        <v>0.28999999999999998</v>
      </c>
      <c r="AC568" s="16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6">
        <v>0</v>
      </c>
      <c r="AF568" s="6">
        <v>2</v>
      </c>
      <c r="AG568" t="s">
        <v>241</v>
      </c>
      <c r="AH568" t="s">
        <v>229</v>
      </c>
      <c r="AI568" t="s">
        <v>229</v>
      </c>
      <c r="AJ568" s="2" t="s">
        <v>229</v>
      </c>
      <c r="AK568" s="2" t="s">
        <v>245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44" t="b">
        <v>0</v>
      </c>
      <c r="AP568" s="48" t="b">
        <v>0</v>
      </c>
      <c r="AQ568" s="48" t="b">
        <v>0</v>
      </c>
      <c r="AR568" s="48">
        <v>0</v>
      </c>
      <c r="AS568" s="48" t="b">
        <v>0</v>
      </c>
      <c r="AT568" s="7" t="b">
        <v>0</v>
      </c>
      <c r="AU568" s="40" t="str" cm="1">
        <f t="array" ref="AU568">_xlfn.XLOOKUP(PROPERTIES[[#This Row],[VEHIDCODE]],GRAPHICS_PROPERTIES[VEHIDCODE],GRAPHICS_PROPERTIES[TEMPLATE_ID]&amp;GRAPHICS_PROPERTIES[TEMPLATE_AMENDMENT_CODE])</f>
        <v>TPL_16B</v>
      </c>
    </row>
    <row r="569" spans="1:47" x14ac:dyDescent="0.35">
      <c r="A569" s="2" t="s">
        <v>3201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0" t="str">
        <f>_xlfn.XLOOKUP(PROPERTIES[[#This Row],[VEHIDCODE]],CONTROL[VEHIDCODE],CONTROL[ENGLISH])</f>
        <v>Siemens EuroSprinter ES64U4M</v>
      </c>
      <c r="F569" t="s">
        <v>584</v>
      </c>
      <c r="G569" s="40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17</v>
      </c>
      <c r="J569">
        <v>0</v>
      </c>
      <c r="K569">
        <v>8</v>
      </c>
      <c r="L569">
        <v>0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3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0">
        <v>600</v>
      </c>
      <c r="AA569" s="19">
        <f>IFERROR(PROPERTIES[[#This Row],[TE_STARTING_KN]]/(PROPERTIES[[#This Row],[WEIGHT]]*9.81),0)</f>
        <v>0.6795786612300373</v>
      </c>
      <c r="AB569" s="19">
        <v>0</v>
      </c>
      <c r="AC569" s="16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6">
        <v>0</v>
      </c>
      <c r="AF569" s="6">
        <v>0</v>
      </c>
      <c r="AG569" t="s">
        <v>230</v>
      </c>
      <c r="AH569" t="s">
        <v>229</v>
      </c>
      <c r="AI569" t="s">
        <v>229</v>
      </c>
      <c r="AJ569" s="2" t="s">
        <v>229</v>
      </c>
      <c r="AK569" s="2" t="s">
        <v>245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44" t="b">
        <v>0</v>
      </c>
      <c r="AP569" s="48" t="b">
        <v>0</v>
      </c>
      <c r="AQ569" s="48" t="b">
        <v>0</v>
      </c>
      <c r="AR569" s="48">
        <v>0</v>
      </c>
      <c r="AS569" s="48" t="b">
        <v>0</v>
      </c>
      <c r="AT569" s="7" t="b">
        <v>0</v>
      </c>
      <c r="AU569" s="40" t="str" cm="1">
        <f t="array" ref="AU569">_xlfn.XLOOKUP(PROPERTIES[[#This Row],[VEHIDCODE]],GRAPHICS_PROPERTIES[VEHIDCODE],GRAPHICS_PROPERTIES[TEMPLATE_ID]&amp;GRAPHICS_PROPERTIES[TEMPLATE_AMENDMENT_CODE])</f>
        <v>TPL_01A</v>
      </c>
    </row>
    <row r="570" spans="1:47" x14ac:dyDescent="0.35">
      <c r="A570" s="2" t="s">
        <v>3202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0" t="str">
        <f>_xlfn.XLOOKUP(PROPERTIES[[#This Row],[VEHIDCODE]],CONTROL[VEHIDCODE],CONTROL[ENGLISH])</f>
        <v>Siemens-Thyssenkrupp Transrapid</v>
      </c>
      <c r="F570" t="s">
        <v>575</v>
      </c>
      <c r="G570" s="40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15</v>
      </c>
      <c r="J570">
        <v>50</v>
      </c>
      <c r="K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3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0">
        <v>450</v>
      </c>
      <c r="AA570" s="19">
        <f>IFERROR(PROPERTIES[[#This Row],[TE_STARTING_KN]]/(PROPERTIES[[#This Row],[WEIGHT]]*9.81),0)</f>
        <v>0.8655011251514626</v>
      </c>
      <c r="AB570" s="19">
        <v>0</v>
      </c>
      <c r="AC570" s="16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6">
        <v>55</v>
      </c>
      <c r="AF570" s="6">
        <v>8</v>
      </c>
      <c r="AG570" t="s">
        <v>238</v>
      </c>
      <c r="AH570" t="s">
        <v>230</v>
      </c>
      <c r="AI570" t="s">
        <v>229</v>
      </c>
      <c r="AJ570" s="2" t="s">
        <v>229</v>
      </c>
      <c r="AK570" s="2" t="s">
        <v>244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44" t="b">
        <v>0</v>
      </c>
      <c r="AP570" s="48" t="b">
        <v>0</v>
      </c>
      <c r="AQ570" s="48" t="b">
        <v>0</v>
      </c>
      <c r="AR570" s="48">
        <v>0</v>
      </c>
      <c r="AS570" s="48" t="b">
        <v>0</v>
      </c>
      <c r="AT570" s="7" t="b">
        <v>0</v>
      </c>
      <c r="AU570" s="40" t="str" cm="1">
        <f t="array" ref="AU570">_xlfn.XLOOKUP(PROPERTIES[[#This Row],[VEHIDCODE]],GRAPHICS_PROPERTIES[VEHIDCODE],GRAPHICS_PROPERTIES[TEMPLATE_ID]&amp;GRAPHICS_PROPERTIES[TEMPLATE_AMENDMENT_CODE])</f>
        <v>TPL_02A</v>
      </c>
    </row>
    <row r="571" spans="1:47" x14ac:dyDescent="0.35">
      <c r="A571" s="2" t="s">
        <v>3203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0" t="str">
        <f>_xlfn.XLOOKUP(PROPERTIES[[#This Row],[VEHIDCODE]],CONTROL[VEHIDCODE],CONTROL[ENGLISH])</f>
        <v>Mistubishi/Nippon Sharyo MLX01-901</v>
      </c>
      <c r="F571" t="s">
        <v>640</v>
      </c>
      <c r="G571" s="40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15</v>
      </c>
      <c r="J571">
        <f>38/2</f>
        <v>19</v>
      </c>
      <c r="K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3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0">
        <v>500</v>
      </c>
      <c r="AA571" s="19">
        <f>IFERROR(PROPERTIES[[#This Row],[TE_STARTING_KN]]/(PROPERTIES[[#This Row],[WEIGHT]]*9.81),0)</f>
        <v>0.70789443878128888</v>
      </c>
      <c r="AB571" s="19">
        <v>0</v>
      </c>
      <c r="AC571" s="16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6">
        <v>60</v>
      </c>
      <c r="AF571" s="6">
        <v>8</v>
      </c>
      <c r="AG571" t="s">
        <v>238</v>
      </c>
      <c r="AH571" t="s">
        <v>229</v>
      </c>
      <c r="AI571" t="s">
        <v>229</v>
      </c>
      <c r="AJ571" s="2" t="s">
        <v>229</v>
      </c>
      <c r="AK571" s="2" t="s">
        <v>245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44" t="b">
        <v>0</v>
      </c>
      <c r="AP571" s="48" t="b">
        <v>0</v>
      </c>
      <c r="AQ571" s="48" t="b">
        <v>0</v>
      </c>
      <c r="AR571" s="48">
        <v>0</v>
      </c>
      <c r="AS571" s="48" t="b">
        <v>0</v>
      </c>
      <c r="AT571" s="7" t="b">
        <v>0</v>
      </c>
      <c r="AU571" s="40" t="str" cm="1">
        <f t="array" ref="AU571">_xlfn.XLOOKUP(PROPERTIES[[#This Row],[VEHIDCODE]],GRAPHICS_PROPERTIES[VEHIDCODE],GRAPHICS_PROPERTIES[TEMPLATE_ID]&amp;GRAPHICS_PROPERTIES[TEMPLATE_AMENDMENT_CODE])</f>
        <v>TPL_02A</v>
      </c>
    </row>
    <row r="572" spans="1:47" x14ac:dyDescent="0.35">
      <c r="A572" s="2" t="s">
        <v>227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0" t="str">
        <f>_xlfn.XLOOKUP(PROPERTIES[[#This Row],[VEHIDCODE]],CONTROL[VEHIDCODE],CONTROL[ENGLISH])</f>
        <v>7th Gen Boxcar [Food]</v>
      </c>
      <c r="G572" s="40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3672</v>
      </c>
      <c r="J572">
        <v>74</v>
      </c>
      <c r="K572">
        <v>8</v>
      </c>
      <c r="L572">
        <v>0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3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0">
        <v>0</v>
      </c>
      <c r="AA572" s="19">
        <f>IFERROR(PROPERTIES[[#This Row],[TE_STARTING_KN]]/(PROPERTIES[[#This Row],[WEIGHT]]*9.81),0)</f>
        <v>0</v>
      </c>
      <c r="AB572" s="19">
        <v>0.3</v>
      </c>
      <c r="AC572" s="16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6">
        <v>0</v>
      </c>
      <c r="AF572" s="6">
        <v>0</v>
      </c>
      <c r="AG572" t="s">
        <v>241</v>
      </c>
      <c r="AH572" t="s">
        <v>229</v>
      </c>
      <c r="AI572" t="s">
        <v>229</v>
      </c>
      <c r="AJ572" s="2" t="s">
        <v>229</v>
      </c>
      <c r="AK572" s="2" t="s">
        <v>245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44" t="b">
        <v>0</v>
      </c>
      <c r="AP572" s="48" t="b">
        <v>0</v>
      </c>
      <c r="AQ572" s="48" t="b">
        <v>0</v>
      </c>
      <c r="AR572" s="48">
        <v>2</v>
      </c>
      <c r="AS572" s="48" t="b">
        <v>0</v>
      </c>
      <c r="AT572" s="7" t="b">
        <v>0</v>
      </c>
      <c r="AU572" s="40" t="str" cm="1">
        <f t="array" ref="AU572">_xlfn.XLOOKUP(PROPERTIES[[#This Row],[VEHIDCODE]],GRAPHICS_PROPERTIES[VEHIDCODE],GRAPHICS_PROPERTIES[TEMPLATE_ID]&amp;GRAPHICS_PROPERTIES[TEMPLATE_AMENDMENT_CODE])</f>
        <v>TPL_04B</v>
      </c>
    </row>
    <row r="573" spans="1:47" x14ac:dyDescent="0.35">
      <c r="A573" s="2" t="s">
        <v>211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0" t="str">
        <f>_xlfn.XLOOKUP(PROPERTIES[[#This Row],[VEHIDCODE]],CONTROL[VEHIDCODE],CONTROL[ENGLISH])</f>
        <v>7th Gen Boxcar [Non-Food]</v>
      </c>
      <c r="G573" s="40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3671</v>
      </c>
      <c r="J573">
        <v>74</v>
      </c>
      <c r="K573">
        <v>8</v>
      </c>
      <c r="L573">
        <v>0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3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0">
        <v>0</v>
      </c>
      <c r="AA573" s="19">
        <f>IFERROR(PROPERTIES[[#This Row],[TE_STARTING_KN]]/(PROPERTIES[[#This Row],[WEIGHT]]*9.81),0)</f>
        <v>0</v>
      </c>
      <c r="AB573" s="19">
        <v>0.3</v>
      </c>
      <c r="AC573" s="16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6">
        <v>0</v>
      </c>
      <c r="AF573" s="6">
        <v>0</v>
      </c>
      <c r="AG573" t="s">
        <v>241</v>
      </c>
      <c r="AH573" t="s">
        <v>229</v>
      </c>
      <c r="AI573" t="s">
        <v>229</v>
      </c>
      <c r="AJ573" s="2" t="s">
        <v>229</v>
      </c>
      <c r="AK573" s="2" t="s">
        <v>245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44" t="b">
        <v>0</v>
      </c>
      <c r="AP573" s="48" t="b">
        <v>0</v>
      </c>
      <c r="AQ573" s="48" t="b">
        <v>0</v>
      </c>
      <c r="AR573" s="48">
        <v>2</v>
      </c>
      <c r="AS573" s="48" t="b">
        <v>0</v>
      </c>
      <c r="AT573" s="7" t="b">
        <v>0</v>
      </c>
      <c r="AU573" s="40" t="str" cm="1">
        <f t="array" ref="AU573">_xlfn.XLOOKUP(PROPERTIES[[#This Row],[VEHIDCODE]],GRAPHICS_PROPERTIES[VEHIDCODE],GRAPHICS_PROPERTIES[TEMPLATE_ID]&amp;GRAPHICS_PROPERTIES[TEMPLATE_AMENDMENT_CODE])</f>
        <v>TPL_04B</v>
      </c>
    </row>
    <row r="574" spans="1:47" x14ac:dyDescent="0.35">
      <c r="A574" s="2" t="s">
        <v>212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0" t="str">
        <f>_xlfn.XLOOKUP(PROPERTIES[[#This Row],[VEHIDCODE]],CONTROL[VEHIDCODE],CONTROL[ENGLISH])</f>
        <v>7th Gen Car Transporter</v>
      </c>
      <c r="G574" s="40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26</v>
      </c>
      <c r="J574">
        <v>20</v>
      </c>
      <c r="K574">
        <v>8</v>
      </c>
      <c r="L574">
        <v>0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3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0">
        <v>0</v>
      </c>
      <c r="AA574" s="19">
        <f>IFERROR(PROPERTIES[[#This Row],[TE_STARTING_KN]]/(PROPERTIES[[#This Row],[WEIGHT]]*9.81),0)</f>
        <v>0</v>
      </c>
      <c r="AB574" s="19">
        <v>0.3</v>
      </c>
      <c r="AC574" s="16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6">
        <v>0</v>
      </c>
      <c r="AF574" s="6">
        <v>0</v>
      </c>
      <c r="AG574" t="s">
        <v>241</v>
      </c>
      <c r="AH574" t="s">
        <v>229</v>
      </c>
      <c r="AI574" t="s">
        <v>229</v>
      </c>
      <c r="AJ574" s="2" t="s">
        <v>229</v>
      </c>
      <c r="AK574" s="2" t="s">
        <v>245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44" t="b">
        <v>0</v>
      </c>
      <c r="AP574" s="48" t="b">
        <v>0</v>
      </c>
      <c r="AQ574" s="48" t="b">
        <v>0</v>
      </c>
      <c r="AR574" s="48">
        <v>2</v>
      </c>
      <c r="AS574" s="48" t="b">
        <v>0</v>
      </c>
      <c r="AT574" s="7" t="b">
        <v>0</v>
      </c>
      <c r="AU574" s="40" t="str" cm="1">
        <f t="array" ref="AU574">_xlfn.XLOOKUP(PROPERTIES[[#This Row],[VEHIDCODE]],GRAPHICS_PROPERTIES[VEHIDCODE],GRAPHICS_PROPERTIES[TEMPLATE_ID]&amp;GRAPHICS_PROPERTIES[TEMPLATE_AMENDMENT_CODE])</f>
        <v>TPL_04B</v>
      </c>
    </row>
    <row r="575" spans="1:47" x14ac:dyDescent="0.35">
      <c r="A575" s="2" t="s">
        <v>213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0" t="str">
        <f>_xlfn.XLOOKUP(PROPERTIES[[#This Row],[VEHIDCODE]],CONTROL[VEHIDCODE],CONTROL[ENGLISH])</f>
        <v>7th Gen Centerbeam Flatcar</v>
      </c>
      <c r="G575" s="40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27</v>
      </c>
      <c r="J575">
        <v>65</v>
      </c>
      <c r="K575">
        <v>8</v>
      </c>
      <c r="L575">
        <v>0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3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0">
        <v>0</v>
      </c>
      <c r="AA575" s="19">
        <f>IFERROR(PROPERTIES[[#This Row],[TE_STARTING_KN]]/(PROPERTIES[[#This Row],[WEIGHT]]*9.81),0)</f>
        <v>0</v>
      </c>
      <c r="AB575" s="19">
        <v>0.3</v>
      </c>
      <c r="AC575" s="16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6">
        <v>0</v>
      </c>
      <c r="AF575" s="6">
        <v>0</v>
      </c>
      <c r="AG575" t="s">
        <v>241</v>
      </c>
      <c r="AH575" t="s">
        <v>229</v>
      </c>
      <c r="AI575" t="s">
        <v>229</v>
      </c>
      <c r="AJ575" s="2" t="s">
        <v>229</v>
      </c>
      <c r="AK575" s="2" t="s">
        <v>245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44" t="b">
        <v>0</v>
      </c>
      <c r="AP575" s="48" t="b">
        <v>0</v>
      </c>
      <c r="AQ575" s="48" t="b">
        <v>0</v>
      </c>
      <c r="AR575" s="48">
        <v>2</v>
      </c>
      <c r="AS575" s="48" t="b">
        <v>0</v>
      </c>
      <c r="AT575" s="7" t="b">
        <v>0</v>
      </c>
      <c r="AU575" s="40" t="str" cm="1">
        <f t="array" ref="AU575">_xlfn.XLOOKUP(PROPERTIES[[#This Row],[VEHIDCODE]],GRAPHICS_PROPERTIES[VEHIDCODE],GRAPHICS_PROPERTIES[TEMPLATE_ID]&amp;GRAPHICS_PROPERTIES[TEMPLATE_AMENDMENT_CODE])</f>
        <v>TPL_04B</v>
      </c>
    </row>
    <row r="576" spans="1:47" x14ac:dyDescent="0.35">
      <c r="A576" s="2" t="s">
        <v>214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0" t="str">
        <f>_xlfn.XLOOKUP(PROPERTIES[[#This Row],[VEHIDCODE]],CONTROL[VEHIDCODE],CONTROL[ENGLISH])</f>
        <v>7th Gen Container Carrier</v>
      </c>
      <c r="G576" s="40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24</v>
      </c>
      <c r="J576">
        <v>60</v>
      </c>
      <c r="K576">
        <v>8</v>
      </c>
      <c r="L576">
        <v>0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3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0">
        <v>0</v>
      </c>
      <c r="AA576" s="19">
        <f>IFERROR(PROPERTIES[[#This Row],[TE_STARTING_KN]]/(PROPERTIES[[#This Row],[WEIGHT]]*9.81),0)</f>
        <v>0</v>
      </c>
      <c r="AB576" s="19">
        <v>0.3</v>
      </c>
      <c r="AC576" s="16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6">
        <v>0</v>
      </c>
      <c r="AF576" s="6">
        <v>0</v>
      </c>
      <c r="AG576" t="s">
        <v>241</v>
      </c>
      <c r="AH576" t="s">
        <v>229</v>
      </c>
      <c r="AI576" t="s">
        <v>229</v>
      </c>
      <c r="AJ576" s="2" t="s">
        <v>229</v>
      </c>
      <c r="AK576" s="2" t="s">
        <v>245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44" t="b">
        <v>0</v>
      </c>
      <c r="AP576" s="48" t="b">
        <v>0</v>
      </c>
      <c r="AQ576" s="48" t="b">
        <v>0</v>
      </c>
      <c r="AR576" s="48">
        <v>2</v>
      </c>
      <c r="AS576" s="48" t="b">
        <v>0</v>
      </c>
      <c r="AT576" s="7" t="b">
        <v>0</v>
      </c>
      <c r="AU576" s="40" t="str" cm="1">
        <f t="array" ref="AU576">_xlfn.XLOOKUP(PROPERTIES[[#This Row],[VEHIDCODE]],GRAPHICS_PROPERTIES[VEHIDCODE],GRAPHICS_PROPERTIES[TEMPLATE_ID]&amp;GRAPHICS_PROPERTIES[TEMPLATE_AMENDMENT_CODE])</f>
        <v>TPL_04B</v>
      </c>
    </row>
    <row r="577" spans="1:47" x14ac:dyDescent="0.35">
      <c r="A577" s="2" t="s">
        <v>215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0" t="str">
        <f>_xlfn.XLOOKUP(PROPERTIES[[#This Row],[VEHIDCODE]],CONTROL[VEHIDCODE],CONTROL[ENGLISH])</f>
        <v>7th Gen Container Doublestack</v>
      </c>
      <c r="G577" s="40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28</v>
      </c>
      <c r="J577">
        <v>75</v>
      </c>
      <c r="K577">
        <v>8</v>
      </c>
      <c r="L577">
        <v>0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3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0">
        <v>0</v>
      </c>
      <c r="AA577" s="19">
        <f>IFERROR(PROPERTIES[[#This Row],[TE_STARTING_KN]]/(PROPERTIES[[#This Row],[WEIGHT]]*9.81),0)</f>
        <v>0</v>
      </c>
      <c r="AB577" s="19">
        <v>0.3</v>
      </c>
      <c r="AC577" s="16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6">
        <v>0</v>
      </c>
      <c r="AF577" s="6">
        <v>0</v>
      </c>
      <c r="AG577" t="s">
        <v>241</v>
      </c>
      <c r="AH577" t="s">
        <v>229</v>
      </c>
      <c r="AI577" t="s">
        <v>229</v>
      </c>
      <c r="AJ577" s="2" t="s">
        <v>229</v>
      </c>
      <c r="AK577" s="2" t="s">
        <v>245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44" t="b">
        <v>0</v>
      </c>
      <c r="AP577" s="48" t="b">
        <v>0</v>
      </c>
      <c r="AQ577" s="48" t="b">
        <v>0</v>
      </c>
      <c r="AR577" s="48">
        <v>2</v>
      </c>
      <c r="AS577" s="48" t="b">
        <v>0</v>
      </c>
      <c r="AT577" s="7" t="b">
        <v>0</v>
      </c>
      <c r="AU577" s="40" t="str" cm="1">
        <f t="array" ref="AU577">_xlfn.XLOOKUP(PROPERTIES[[#This Row],[VEHIDCODE]],GRAPHICS_PROPERTIES[VEHIDCODE],GRAPHICS_PROPERTIES[TEMPLATE_ID]&amp;GRAPHICS_PROPERTIES[TEMPLATE_AMENDMENT_CODE])</f>
        <v>TPL_04B</v>
      </c>
    </row>
    <row r="578" spans="1:47" x14ac:dyDescent="0.35">
      <c r="A578" s="2" t="s">
        <v>216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0" t="str">
        <f>_xlfn.XLOOKUP(PROPERTIES[[#This Row],[VEHIDCODE]],CONTROL[VEHIDCODE],CONTROL[ENGLISH])</f>
        <v>7th Gen Flatcar</v>
      </c>
      <c r="G578" s="40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29</v>
      </c>
      <c r="J578">
        <v>72</v>
      </c>
      <c r="K578">
        <v>8</v>
      </c>
      <c r="L578">
        <v>0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3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0">
        <v>0</v>
      </c>
      <c r="AA578" s="19">
        <f>IFERROR(PROPERTIES[[#This Row],[TE_STARTING_KN]]/(PROPERTIES[[#This Row],[WEIGHT]]*9.81),0)</f>
        <v>0</v>
      </c>
      <c r="AB578" s="19">
        <v>0.3</v>
      </c>
      <c r="AC578" s="16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6">
        <v>0</v>
      </c>
      <c r="AF578" s="6">
        <v>0</v>
      </c>
      <c r="AG578" t="s">
        <v>241</v>
      </c>
      <c r="AH578" t="s">
        <v>229</v>
      </c>
      <c r="AI578" t="s">
        <v>229</v>
      </c>
      <c r="AJ578" s="2" t="s">
        <v>229</v>
      </c>
      <c r="AK578" s="2" t="s">
        <v>245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44" t="b">
        <v>0</v>
      </c>
      <c r="AP578" s="48" t="b">
        <v>0</v>
      </c>
      <c r="AQ578" s="48" t="b">
        <v>0</v>
      </c>
      <c r="AR578" s="48">
        <v>2</v>
      </c>
      <c r="AS578" s="48" t="b">
        <v>0</v>
      </c>
      <c r="AT578" s="7" t="b">
        <v>0</v>
      </c>
      <c r="AU578" s="40" t="str" cm="1">
        <f t="array" ref="AU578">_xlfn.XLOOKUP(PROPERTIES[[#This Row],[VEHIDCODE]],GRAPHICS_PROPERTIES[VEHIDCODE],GRAPHICS_PROPERTIES[TEMPLATE_ID]&amp;GRAPHICS_PROPERTIES[TEMPLATE_AMENDMENT_CODE])</f>
        <v>TPL_04B</v>
      </c>
    </row>
    <row r="579" spans="1:47" x14ac:dyDescent="0.35">
      <c r="A579" s="2" t="s">
        <v>217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0" t="str">
        <f>_xlfn.XLOOKUP(PROPERTIES[[#This Row],[VEHIDCODE]],CONTROL[VEHIDCODE],CONTROL[ENGLISH])</f>
        <v>7th Gen Gondola</v>
      </c>
      <c r="G579" s="40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30</v>
      </c>
      <c r="J579">
        <v>75</v>
      </c>
      <c r="K579">
        <v>8</v>
      </c>
      <c r="L579">
        <v>0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3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0">
        <v>0</v>
      </c>
      <c r="AA579" s="19">
        <f>IFERROR(PROPERTIES[[#This Row],[TE_STARTING_KN]]/(PROPERTIES[[#This Row],[WEIGHT]]*9.81),0)</f>
        <v>0</v>
      </c>
      <c r="AB579" s="19">
        <v>0.3</v>
      </c>
      <c r="AC579" s="16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6">
        <v>0</v>
      </c>
      <c r="AF579" s="6">
        <v>0</v>
      </c>
      <c r="AG579" t="s">
        <v>241</v>
      </c>
      <c r="AH579" t="s">
        <v>229</v>
      </c>
      <c r="AI579" t="s">
        <v>229</v>
      </c>
      <c r="AJ579" s="2" t="s">
        <v>229</v>
      </c>
      <c r="AK579" s="2" t="s">
        <v>245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44" t="b">
        <v>0</v>
      </c>
      <c r="AP579" s="48" t="b">
        <v>0</v>
      </c>
      <c r="AQ579" s="48" t="b">
        <v>0</v>
      </c>
      <c r="AR579" s="48">
        <v>2</v>
      </c>
      <c r="AS579" s="48" t="b">
        <v>1</v>
      </c>
      <c r="AT579" s="7" t="b">
        <v>0</v>
      </c>
      <c r="AU579" s="40" t="str" cm="1">
        <f t="array" ref="AU579">_xlfn.XLOOKUP(PROPERTIES[[#This Row],[VEHIDCODE]],GRAPHICS_PROPERTIES[VEHIDCODE],GRAPHICS_PROPERTIES[TEMPLATE_ID]&amp;GRAPHICS_PROPERTIES[TEMPLATE_AMENDMENT_CODE])</f>
        <v>TPL_04B</v>
      </c>
    </row>
    <row r="580" spans="1:47" x14ac:dyDescent="0.35">
      <c r="A580" s="2" t="s">
        <v>218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0" t="str">
        <f>_xlfn.XLOOKUP(PROPERTIES[[#This Row],[VEHIDCODE]],CONTROL[VEHIDCODE],CONTROL[ENGLISH])</f>
        <v>7th Gen Heavy Flatcar</v>
      </c>
      <c r="G580" s="40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31</v>
      </c>
      <c r="J580">
        <v>96</v>
      </c>
      <c r="K580">
        <v>8</v>
      </c>
      <c r="L580">
        <v>0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3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0">
        <v>0</v>
      </c>
      <c r="AA580" s="19">
        <f>IFERROR(PROPERTIES[[#This Row],[TE_STARTING_KN]]/(PROPERTIES[[#This Row],[WEIGHT]]*9.81),0)</f>
        <v>0</v>
      </c>
      <c r="AB580" s="19">
        <v>0.3</v>
      </c>
      <c r="AC580" s="16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6">
        <v>0</v>
      </c>
      <c r="AF580" s="6">
        <v>0</v>
      </c>
      <c r="AG580" t="s">
        <v>241</v>
      </c>
      <c r="AH580" t="s">
        <v>229</v>
      </c>
      <c r="AI580" t="s">
        <v>229</v>
      </c>
      <c r="AJ580" s="2" t="s">
        <v>229</v>
      </c>
      <c r="AK580" s="2" t="s">
        <v>245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44" t="b">
        <v>0</v>
      </c>
      <c r="AP580" s="48" t="b">
        <v>0</v>
      </c>
      <c r="AQ580" s="48" t="b">
        <v>0</v>
      </c>
      <c r="AR580" s="48">
        <v>2</v>
      </c>
      <c r="AS580" s="48" t="b">
        <v>0</v>
      </c>
      <c r="AT580" s="7" t="b">
        <v>0</v>
      </c>
      <c r="AU580" s="40" t="str" cm="1">
        <f t="array" ref="AU580">_xlfn.XLOOKUP(PROPERTIES[[#This Row],[VEHIDCODE]],GRAPHICS_PROPERTIES[VEHIDCODE],GRAPHICS_PROPERTIES[TEMPLATE_ID]&amp;GRAPHICS_PROPERTIES[TEMPLATE_AMENDMENT_CODE])</f>
        <v>TPL_04B</v>
      </c>
    </row>
    <row r="581" spans="1:47" x14ac:dyDescent="0.35">
      <c r="A581" s="2" t="s">
        <v>219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0" t="str">
        <f>_xlfn.XLOOKUP(PROPERTIES[[#This Row],[VEHIDCODE]],CONTROL[VEHIDCODE],CONTROL[ENGLISH])</f>
        <v>7th Gen Self-discharging Hopper [Food]</v>
      </c>
      <c r="G581" s="40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3667</v>
      </c>
      <c r="J581">
        <v>75</v>
      </c>
      <c r="K581">
        <v>8</v>
      </c>
      <c r="L581">
        <v>0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3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0">
        <v>0</v>
      </c>
      <c r="AA581" s="19">
        <f>IFERROR(PROPERTIES[[#This Row],[TE_STARTING_KN]]/(PROPERTIES[[#This Row],[WEIGHT]]*9.81),0)</f>
        <v>0</v>
      </c>
      <c r="AB581" s="19">
        <v>0.3</v>
      </c>
      <c r="AC581" s="16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6">
        <v>0</v>
      </c>
      <c r="AF581" s="6">
        <v>0</v>
      </c>
      <c r="AG581" t="s">
        <v>241</v>
      </c>
      <c r="AH581" t="s">
        <v>229</v>
      </c>
      <c r="AI581" t="s">
        <v>229</v>
      </c>
      <c r="AJ581" s="2" t="s">
        <v>229</v>
      </c>
      <c r="AK581" s="2" t="s">
        <v>245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44" t="b">
        <v>0</v>
      </c>
      <c r="AP581" s="48" t="b">
        <v>0</v>
      </c>
      <c r="AQ581" s="48" t="b">
        <v>0</v>
      </c>
      <c r="AR581" s="48">
        <v>2</v>
      </c>
      <c r="AS581" s="48" t="b">
        <v>1</v>
      </c>
      <c r="AT581" s="7" t="b">
        <v>0</v>
      </c>
      <c r="AU581" s="40" t="str" cm="1">
        <f t="array" ref="AU581">_xlfn.XLOOKUP(PROPERTIES[[#This Row],[VEHIDCODE]],GRAPHICS_PROPERTIES[VEHIDCODE],GRAPHICS_PROPERTIES[TEMPLATE_ID]&amp;GRAPHICS_PROPERTIES[TEMPLATE_AMENDMENT_CODE])</f>
        <v>TPL_04B</v>
      </c>
    </row>
    <row r="582" spans="1:47" x14ac:dyDescent="0.35">
      <c r="A582" s="2" t="s">
        <v>220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0" t="str">
        <f>_xlfn.XLOOKUP(PROPERTIES[[#This Row],[VEHIDCODE]],CONTROL[VEHIDCODE],CONTROL[ENGLISH])</f>
        <v>7th Gen Self-discharging Hopper [Non-Food]</v>
      </c>
      <c r="G582" s="40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3668</v>
      </c>
      <c r="J582">
        <v>75</v>
      </c>
      <c r="K582">
        <v>8</v>
      </c>
      <c r="L582">
        <v>0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3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0">
        <v>0</v>
      </c>
      <c r="AA582" s="19">
        <f>IFERROR(PROPERTIES[[#This Row],[TE_STARTING_KN]]/(PROPERTIES[[#This Row],[WEIGHT]]*9.81),0)</f>
        <v>0</v>
      </c>
      <c r="AB582" s="19">
        <v>0.3</v>
      </c>
      <c r="AC582" s="16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6">
        <v>0</v>
      </c>
      <c r="AF582" s="6">
        <v>0</v>
      </c>
      <c r="AG582" t="s">
        <v>241</v>
      </c>
      <c r="AH582" t="s">
        <v>229</v>
      </c>
      <c r="AI582" t="s">
        <v>229</v>
      </c>
      <c r="AJ582" s="2" t="s">
        <v>229</v>
      </c>
      <c r="AK582" s="2" t="s">
        <v>245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44" t="b">
        <v>0</v>
      </c>
      <c r="AP582" s="48" t="b">
        <v>0</v>
      </c>
      <c r="AQ582" s="48" t="b">
        <v>0</v>
      </c>
      <c r="AR582" s="48">
        <v>2</v>
      </c>
      <c r="AS582" s="48" t="b">
        <v>0</v>
      </c>
      <c r="AT582" s="7" t="b">
        <v>0</v>
      </c>
      <c r="AU582" s="40" t="str" cm="1">
        <f t="array" ref="AU582">_xlfn.XLOOKUP(PROPERTIES[[#This Row],[VEHIDCODE]],GRAPHICS_PROPERTIES[VEHIDCODE],GRAPHICS_PROPERTIES[TEMPLATE_ID]&amp;GRAPHICS_PROPERTIES[TEMPLATE_AMENDMENT_CODE])</f>
        <v>TPL_04B</v>
      </c>
    </row>
    <row r="583" spans="1:47" x14ac:dyDescent="0.35">
      <c r="A583" s="2" t="s">
        <v>221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0" t="str">
        <f>_xlfn.XLOOKUP(PROPERTIES[[#This Row],[VEHIDCODE]],CONTROL[VEHIDCODE],CONTROL[ENGLISH])</f>
        <v>7th Gen Silo [Food]</v>
      </c>
      <c r="G583" s="40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3669</v>
      </c>
      <c r="J583">
        <v>75</v>
      </c>
      <c r="K583">
        <v>8</v>
      </c>
      <c r="L583">
        <v>0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3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0">
        <v>0</v>
      </c>
      <c r="AA583" s="19">
        <f>IFERROR(PROPERTIES[[#This Row],[TE_STARTING_KN]]/(PROPERTIES[[#This Row],[WEIGHT]]*9.81),0)</f>
        <v>0</v>
      </c>
      <c r="AB583" s="19">
        <v>0.3</v>
      </c>
      <c r="AC583" s="16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6">
        <v>0</v>
      </c>
      <c r="AF583" s="6">
        <v>0</v>
      </c>
      <c r="AG583" t="s">
        <v>241</v>
      </c>
      <c r="AH583" t="s">
        <v>229</v>
      </c>
      <c r="AI583" t="s">
        <v>229</v>
      </c>
      <c r="AJ583" s="2" t="s">
        <v>229</v>
      </c>
      <c r="AK583" s="2" t="s">
        <v>245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44" t="b">
        <v>0</v>
      </c>
      <c r="AP583" s="48" t="b">
        <v>0</v>
      </c>
      <c r="AQ583" s="48" t="b">
        <v>0</v>
      </c>
      <c r="AR583" s="48">
        <v>2</v>
      </c>
      <c r="AS583" s="48" t="b">
        <v>0</v>
      </c>
      <c r="AT583" s="7" t="b">
        <v>0</v>
      </c>
      <c r="AU583" s="40" t="str" cm="1">
        <f t="array" ref="AU583">_xlfn.XLOOKUP(PROPERTIES[[#This Row],[VEHIDCODE]],GRAPHICS_PROPERTIES[VEHIDCODE],GRAPHICS_PROPERTIES[TEMPLATE_ID]&amp;GRAPHICS_PROPERTIES[TEMPLATE_AMENDMENT_CODE])</f>
        <v>TPL_04B</v>
      </c>
    </row>
    <row r="584" spans="1:47" x14ac:dyDescent="0.35">
      <c r="A584" s="2" t="s">
        <v>222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0" t="str">
        <f>_xlfn.XLOOKUP(PROPERTIES[[#This Row],[VEHIDCODE]],CONTROL[VEHIDCODE],CONTROL[ENGLISH])</f>
        <v>7th Gen Silo [Non-Food]</v>
      </c>
      <c r="G584" s="40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3670</v>
      </c>
      <c r="J584">
        <v>75</v>
      </c>
      <c r="K584">
        <v>8</v>
      </c>
      <c r="L584">
        <v>0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3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0">
        <v>0</v>
      </c>
      <c r="AA584" s="19">
        <f>IFERROR(PROPERTIES[[#This Row],[TE_STARTING_KN]]/(PROPERTIES[[#This Row],[WEIGHT]]*9.81),0)</f>
        <v>0</v>
      </c>
      <c r="AB584" s="19">
        <v>0.3</v>
      </c>
      <c r="AC584" s="16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6">
        <v>0</v>
      </c>
      <c r="AF584" s="6">
        <v>0</v>
      </c>
      <c r="AG584" t="s">
        <v>241</v>
      </c>
      <c r="AH584" t="s">
        <v>229</v>
      </c>
      <c r="AI584" t="s">
        <v>229</v>
      </c>
      <c r="AJ584" s="2" t="s">
        <v>229</v>
      </c>
      <c r="AK584" s="2" t="s">
        <v>245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44" t="b">
        <v>0</v>
      </c>
      <c r="AP584" s="48" t="b">
        <v>0</v>
      </c>
      <c r="AQ584" s="48" t="b">
        <v>0</v>
      </c>
      <c r="AR584" s="48">
        <v>2</v>
      </c>
      <c r="AS584" s="48" t="b">
        <v>0</v>
      </c>
      <c r="AT584" s="7" t="b">
        <v>0</v>
      </c>
      <c r="AU584" s="40" t="str" cm="1">
        <f t="array" ref="AU584">_xlfn.XLOOKUP(PROPERTIES[[#This Row],[VEHIDCODE]],GRAPHICS_PROPERTIES[VEHIDCODE],GRAPHICS_PROPERTIES[TEMPLATE_ID]&amp;GRAPHICS_PROPERTIES[TEMPLATE_AMENDMENT_CODE])</f>
        <v>TPL_04B</v>
      </c>
    </row>
    <row r="585" spans="1:47" x14ac:dyDescent="0.35">
      <c r="A585" s="2" t="s">
        <v>223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0" t="str">
        <f>_xlfn.XLOOKUP(PROPERTIES[[#This Row],[VEHIDCODE]],CONTROL[VEHIDCODE],CONTROL[ENGLISH])</f>
        <v>7th Gen Superheavy Flatcar</v>
      </c>
      <c r="G585" s="40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34</v>
      </c>
      <c r="J585">
        <v>195</v>
      </c>
      <c r="K585">
        <v>4</v>
      </c>
      <c r="L585">
        <v>0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3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0">
        <v>0</v>
      </c>
      <c r="AA585" s="19">
        <f>IFERROR(PROPERTIES[[#This Row],[TE_STARTING_KN]]/(PROPERTIES[[#This Row],[WEIGHT]]*9.81),0)</f>
        <v>0</v>
      </c>
      <c r="AB585" s="19">
        <v>0.3</v>
      </c>
      <c r="AC585" s="16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6">
        <v>0</v>
      </c>
      <c r="AF585" s="6">
        <v>0</v>
      </c>
      <c r="AG585" t="s">
        <v>241</v>
      </c>
      <c r="AH585" t="s">
        <v>229</v>
      </c>
      <c r="AI585" t="s">
        <v>229</v>
      </c>
      <c r="AJ585" s="2" t="s">
        <v>229</v>
      </c>
      <c r="AK585" s="2" t="s">
        <v>245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44" t="b">
        <v>0</v>
      </c>
      <c r="AP585" s="48" t="b">
        <v>0</v>
      </c>
      <c r="AQ585" s="48" t="b">
        <v>0</v>
      </c>
      <c r="AR585" s="48">
        <v>0</v>
      </c>
      <c r="AS585" s="48" t="b">
        <v>0</v>
      </c>
      <c r="AT585" s="7" t="b">
        <v>0</v>
      </c>
      <c r="AU585" s="40" t="str" cm="1">
        <f t="array" ref="AU585">_xlfn.XLOOKUP(PROPERTIES[[#This Row],[VEHIDCODE]],GRAPHICS_PROPERTIES[VEHIDCODE],GRAPHICS_PROPERTIES[TEMPLATE_ID]&amp;GRAPHICS_PROPERTIES[TEMPLATE_AMENDMENT_CODE])</f>
        <v>TPL_25A</v>
      </c>
    </row>
    <row r="586" spans="1:47" x14ac:dyDescent="0.35">
      <c r="A586" s="2" t="s">
        <v>224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0" t="str">
        <f>_xlfn.XLOOKUP(PROPERTIES[[#This Row],[VEHIDCODE]],CONTROL[VEHIDCODE],CONTROL[ENGLISH])</f>
        <v>7th Gen Tanker</v>
      </c>
      <c r="G586" s="40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35</v>
      </c>
      <c r="J586">
        <v>105</v>
      </c>
      <c r="K586">
        <v>8</v>
      </c>
      <c r="L586">
        <v>0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3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0">
        <v>0</v>
      </c>
      <c r="AA586" s="19">
        <f>IFERROR(PROPERTIES[[#This Row],[TE_STARTING_KN]]/(PROPERTIES[[#This Row],[WEIGHT]]*9.81),0)</f>
        <v>0</v>
      </c>
      <c r="AB586" s="19">
        <v>0.3</v>
      </c>
      <c r="AC586" s="16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6">
        <v>0</v>
      </c>
      <c r="AF586" s="6">
        <v>0</v>
      </c>
      <c r="AG586" t="s">
        <v>241</v>
      </c>
      <c r="AH586" t="s">
        <v>229</v>
      </c>
      <c r="AI586" t="s">
        <v>229</v>
      </c>
      <c r="AJ586" s="2" t="s">
        <v>229</v>
      </c>
      <c r="AK586" s="2" t="s">
        <v>245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44" t="b">
        <v>0</v>
      </c>
      <c r="AP586" s="48" t="b">
        <v>0</v>
      </c>
      <c r="AQ586" s="48" t="b">
        <v>0</v>
      </c>
      <c r="AR586" s="48">
        <v>2</v>
      </c>
      <c r="AS586" s="48" t="b">
        <v>0</v>
      </c>
      <c r="AT586" s="7" t="b">
        <v>0</v>
      </c>
      <c r="AU586" s="40" t="str" cm="1">
        <f t="array" ref="AU586">_xlfn.XLOOKUP(PROPERTIES[[#This Row],[VEHIDCODE]],GRAPHICS_PROPERTIES[VEHIDCODE],GRAPHICS_PROPERTIES[TEMPLATE_ID]&amp;GRAPHICS_PROPERTIES[TEMPLATE_AMENDMENT_CODE])</f>
        <v>TPL_04B</v>
      </c>
    </row>
    <row r="587" spans="1:47" x14ac:dyDescent="0.35">
      <c r="A587" s="2" t="s">
        <v>3204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0" t="str">
        <f>_xlfn.XLOOKUP(PROPERTIES[[#This Row],[VEHIDCODE]],CONTROL[VEHIDCODE],CONTROL[ENGLISH])</f>
        <v>Niigata Transys Shikoku 1000</v>
      </c>
      <c r="F587" t="s">
        <v>640</v>
      </c>
      <c r="G587" s="40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15</v>
      </c>
      <c r="J587">
        <v>151</v>
      </c>
      <c r="K587">
        <v>7</v>
      </c>
      <c r="L587">
        <v>0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3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0">
        <v>65</v>
      </c>
      <c r="AA587" s="19">
        <f>IFERROR(PROPERTIES[[#This Row],[TE_STARTING_KN]]/(PROPERTIES[[#This Row],[WEIGHT]]*9.81),0)</f>
        <v>0.207059123343527</v>
      </c>
      <c r="AB587" s="19">
        <v>0</v>
      </c>
      <c r="AC587" s="16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6">
        <v>0</v>
      </c>
      <c r="AF587" s="6">
        <v>0</v>
      </c>
      <c r="AG587" t="s">
        <v>238</v>
      </c>
      <c r="AH587" t="s">
        <v>229</v>
      </c>
      <c r="AI587" t="s">
        <v>229</v>
      </c>
      <c r="AJ587" s="2" t="s">
        <v>229</v>
      </c>
      <c r="AK587" s="2" t="s">
        <v>244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44" t="b">
        <v>0</v>
      </c>
      <c r="AP587" s="48" t="b">
        <v>0</v>
      </c>
      <c r="AQ587" s="48" t="b">
        <v>0</v>
      </c>
      <c r="AR587" s="48">
        <v>0</v>
      </c>
      <c r="AS587" s="48" t="b">
        <v>0</v>
      </c>
      <c r="AT587" s="7" t="b">
        <v>0</v>
      </c>
      <c r="AU587" s="40" t="str" cm="1">
        <f t="array" ref="AU587">_xlfn.XLOOKUP(PROPERTIES[[#This Row],[VEHIDCODE]],GRAPHICS_PROPERTIES[VEHIDCODE],GRAPHICS_PROPERTIES[TEMPLATE_ID]&amp;GRAPHICS_PROPERTIES[TEMPLATE_AMENDMENT_CODE])</f>
        <v>TPL_01B</v>
      </c>
    </row>
    <row r="588" spans="1:47" x14ac:dyDescent="0.35">
      <c r="A588" s="2" t="s">
        <v>3205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0" t="str">
        <f>_xlfn.XLOOKUP(PROPERTIES[[#This Row],[VEHIDCODE]],CONTROL[VEHIDCODE],CONTROL[ENGLISH])</f>
        <v>Niigata Transys KiHa E120</v>
      </c>
      <c r="F588" t="s">
        <v>640</v>
      </c>
      <c r="G588" s="40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15</v>
      </c>
      <c r="J588">
        <v>114</v>
      </c>
      <c r="K588">
        <v>8</v>
      </c>
      <c r="L588">
        <v>0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3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0">
        <v>60</v>
      </c>
      <c r="AA588" s="19">
        <f>IFERROR(PROPERTIES[[#This Row],[TE_STARTING_KN]]/(PROPERTIES[[#This Row],[WEIGHT]]*9.81),0)</f>
        <v>0.15682584489923937</v>
      </c>
      <c r="AB588" s="19">
        <v>0</v>
      </c>
      <c r="AC588" s="16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6">
        <v>0</v>
      </c>
      <c r="AF588" s="6">
        <v>0</v>
      </c>
      <c r="AG588" t="s">
        <v>238</v>
      </c>
      <c r="AH588" t="s">
        <v>229</v>
      </c>
      <c r="AI588" t="s">
        <v>229</v>
      </c>
      <c r="AJ588" s="2" t="s">
        <v>229</v>
      </c>
      <c r="AK588" s="2" t="s">
        <v>244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44" t="b">
        <v>0</v>
      </c>
      <c r="AP588" s="48" t="b">
        <v>0</v>
      </c>
      <c r="AQ588" s="48" t="b">
        <v>0</v>
      </c>
      <c r="AR588" s="48">
        <v>0</v>
      </c>
      <c r="AS588" s="48" t="b">
        <v>0</v>
      </c>
      <c r="AT588" s="7" t="b">
        <v>0</v>
      </c>
      <c r="AU588" s="40" t="str" cm="1">
        <f t="array" ref="AU588">_xlfn.XLOOKUP(PROPERTIES[[#This Row],[VEHIDCODE]],GRAPHICS_PROPERTIES[VEHIDCODE],GRAPHICS_PROPERTIES[TEMPLATE_ID]&amp;GRAPHICS_PROPERTIES[TEMPLATE_AMENDMENT_CODE])</f>
        <v>TPL_01B</v>
      </c>
    </row>
    <row r="589" spans="1:47" x14ac:dyDescent="0.35">
      <c r="A589" s="2" t="s">
        <v>3206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0" t="str">
        <f>_xlfn.XLOOKUP(PROPERTIES[[#This Row],[VEHIDCODE]],CONTROL[VEHIDCODE],CONTROL[ENGLISH])</f>
        <v>Ferrostaal SB-56</v>
      </c>
      <c r="F589" t="s">
        <v>573</v>
      </c>
      <c r="G589" s="40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15</v>
      </c>
      <c r="J589">
        <v>40</v>
      </c>
      <c r="K589">
        <v>8</v>
      </c>
      <c r="L589">
        <v>0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3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0">
        <v>22</v>
      </c>
      <c r="AA589" s="19">
        <f>IFERROR(PROPERTIES[[#This Row],[TE_STARTING_KN]]/(PROPERTIES[[#This Row],[WEIGHT]]*9.81),0)</f>
        <v>7.4013517559707045E-2</v>
      </c>
      <c r="AB589" s="19">
        <v>0</v>
      </c>
      <c r="AC589" s="16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6">
        <v>0</v>
      </c>
      <c r="AF589" s="6">
        <v>0</v>
      </c>
      <c r="AG589" t="s">
        <v>237</v>
      </c>
      <c r="AH589" t="s">
        <v>229</v>
      </c>
      <c r="AI589" t="s">
        <v>229</v>
      </c>
      <c r="AJ589" s="2" t="s">
        <v>229</v>
      </c>
      <c r="AK589" s="2" t="s">
        <v>244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44" t="b">
        <v>0</v>
      </c>
      <c r="AP589" s="48" t="b">
        <v>0</v>
      </c>
      <c r="AQ589" s="48" t="b">
        <v>0</v>
      </c>
      <c r="AR589" s="48">
        <v>0</v>
      </c>
      <c r="AS589" s="48" t="b">
        <v>0</v>
      </c>
      <c r="AT589" s="7" t="b">
        <v>0</v>
      </c>
      <c r="AU589" s="40" t="str" cm="1">
        <f t="array" ref="AU589">_xlfn.XLOOKUP(PROPERTIES[[#This Row],[VEHIDCODE]],GRAPHICS_PROPERTIES[VEHIDCODE],GRAPHICS_PROPERTIES[TEMPLATE_ID]&amp;GRAPHICS_PROPERTIES[TEMPLATE_AMENDMENT_CODE])</f>
        <v>TPL_01B</v>
      </c>
    </row>
    <row r="590" spans="1:47" x14ac:dyDescent="0.35">
      <c r="A590" s="2" t="s">
        <v>3207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0" t="str">
        <f>_xlfn.XLOOKUP(PROPERTIES[[#This Row],[VEHIDCODE]],CONTROL[VEHIDCODE],CONTROL[ENGLISH])</f>
        <v>Sulzer M Railcar</v>
      </c>
      <c r="F590" t="s">
        <v>538</v>
      </c>
      <c r="G590" s="40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15</v>
      </c>
      <c r="J590">
        <v>40</v>
      </c>
      <c r="K590">
        <v>7</v>
      </c>
      <c r="L590">
        <v>0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3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0">
        <v>42</v>
      </c>
      <c r="AA590" s="19">
        <f>IFERROR(PROPERTIES[[#This Row],[TE_STARTING_KN]]/(PROPERTIES[[#This Row],[WEIGHT]]*9.81),0)</f>
        <v>0.11571204231754689</v>
      </c>
      <c r="AB590" s="19">
        <v>0</v>
      </c>
      <c r="AC590" s="16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6">
        <v>0</v>
      </c>
      <c r="AF590" s="6">
        <v>0</v>
      </c>
      <c r="AG590" t="s">
        <v>237</v>
      </c>
      <c r="AH590" t="s">
        <v>229</v>
      </c>
      <c r="AI590" t="s">
        <v>229</v>
      </c>
      <c r="AJ590" s="2" t="s">
        <v>229</v>
      </c>
      <c r="AK590" s="2" t="s">
        <v>244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44" t="b">
        <v>0</v>
      </c>
      <c r="AP590" s="48" t="b">
        <v>0</v>
      </c>
      <c r="AQ590" s="48" t="b">
        <v>0</v>
      </c>
      <c r="AR590" s="48">
        <v>0</v>
      </c>
      <c r="AS590" s="48" t="b">
        <v>0</v>
      </c>
      <c r="AT590" s="7" t="b">
        <v>0</v>
      </c>
      <c r="AU590" s="40" t="str" cm="1">
        <f t="array" ref="AU590">_xlfn.XLOOKUP(PROPERTIES[[#This Row],[VEHIDCODE]],GRAPHICS_PROPERTIES[VEHIDCODE],GRAPHICS_PROPERTIES[TEMPLATE_ID]&amp;GRAPHICS_PROPERTIES[TEMPLATE_AMENDMENT_CODE])</f>
        <v>TPL_01B</v>
      </c>
    </row>
    <row r="591" spans="1:47" x14ac:dyDescent="0.35">
      <c r="A591" s="2" t="s">
        <v>3208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0" t="str">
        <f>_xlfn.XLOOKUP(PROPERTIES[[#This Row],[VEHIDCODE]],CONTROL[VEHIDCODE],CONTROL[ENGLISH])</f>
        <v>Eritrean Railway A.62-70 'Littorina'</v>
      </c>
      <c r="F591" t="s">
        <v>594</v>
      </c>
      <c r="G591" s="40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15</v>
      </c>
      <c r="J591">
        <v>62</v>
      </c>
      <c r="K591">
        <v>7</v>
      </c>
      <c r="L591">
        <v>0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3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0">
        <v>32</v>
      </c>
      <c r="AA591" s="19">
        <f>IFERROR(PROPERTIES[[#This Row],[TE_STARTING_KN]]/(PROPERTIES[[#This Row],[WEIGHT]]*9.81),0)</f>
        <v>0.13591573224600748</v>
      </c>
      <c r="AB591" s="19">
        <v>0</v>
      </c>
      <c r="AC591" s="16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6">
        <v>0</v>
      </c>
      <c r="AF591" s="6">
        <v>0</v>
      </c>
      <c r="AG591" t="s">
        <v>233</v>
      </c>
      <c r="AH591" t="s">
        <v>229</v>
      </c>
      <c r="AI591" t="s">
        <v>229</v>
      </c>
      <c r="AJ591" s="2" t="s">
        <v>229</v>
      </c>
      <c r="AK591" s="2" t="s">
        <v>244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44" t="b">
        <v>0</v>
      </c>
      <c r="AP591" s="48" t="b">
        <v>0</v>
      </c>
      <c r="AQ591" s="48" t="b">
        <v>0</v>
      </c>
      <c r="AR591" s="48">
        <v>0</v>
      </c>
      <c r="AS591" s="48" t="b">
        <v>0</v>
      </c>
      <c r="AT591" s="7" t="b">
        <v>0</v>
      </c>
      <c r="AU591" s="40" t="str" cm="1">
        <f t="array" ref="AU591">_xlfn.XLOOKUP(PROPERTIES[[#This Row],[VEHIDCODE]],GRAPHICS_PROPERTIES[VEHIDCODE],GRAPHICS_PROPERTIES[TEMPLATE_ID]&amp;GRAPHICS_PROPERTIES[TEMPLATE_AMENDMENT_CODE])</f>
        <v>TPL_01B</v>
      </c>
    </row>
    <row r="592" spans="1:47" x14ac:dyDescent="0.35">
      <c r="A592" s="2" t="s">
        <v>3209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0" t="str">
        <f>_xlfn.XLOOKUP(PROPERTIES[[#This Row],[VEHIDCODE]],CONTROL[VEHIDCODE],CONTROL[ENGLISH])</f>
        <v>SLM CFe 3/3</v>
      </c>
      <c r="F592" t="s">
        <v>570</v>
      </c>
      <c r="G592" s="40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15</v>
      </c>
      <c r="J592">
        <v>32</v>
      </c>
      <c r="K592">
        <v>6</v>
      </c>
      <c r="L592">
        <v>0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3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0">
        <v>78</v>
      </c>
      <c r="AA592" s="19">
        <f>IFERROR(PROPERTIES[[#This Row],[TE_STARTING_KN]]/(PROPERTIES[[#This Row],[WEIGHT]]*9.81),0)</f>
        <v>0.23385500989386579</v>
      </c>
      <c r="AB592" s="19">
        <v>0</v>
      </c>
      <c r="AC592" s="16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6">
        <v>0</v>
      </c>
      <c r="AF592" s="6">
        <v>0</v>
      </c>
      <c r="AG592" t="s">
        <v>230</v>
      </c>
      <c r="AH592" t="s">
        <v>229</v>
      </c>
      <c r="AI592" t="s">
        <v>229</v>
      </c>
      <c r="AJ592" s="2" t="s">
        <v>229</v>
      </c>
      <c r="AK592" s="2" t="s">
        <v>244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44" t="b">
        <v>0</v>
      </c>
      <c r="AP592" s="48" t="b">
        <v>0</v>
      </c>
      <c r="AQ592" s="48" t="b">
        <v>0</v>
      </c>
      <c r="AR592" s="48">
        <v>0</v>
      </c>
      <c r="AS592" s="48" t="b">
        <v>0</v>
      </c>
      <c r="AT592" s="7" t="b">
        <v>0</v>
      </c>
      <c r="AU592" s="40" t="str" cm="1">
        <f t="array" ref="AU592">_xlfn.XLOOKUP(PROPERTIES[[#This Row],[VEHIDCODE]],GRAPHICS_PROPERTIES[VEHIDCODE],GRAPHICS_PROPERTIES[TEMPLATE_ID]&amp;GRAPHICS_PROPERTIES[TEMPLATE_AMENDMENT_CODE])</f>
        <v>TPL_01B</v>
      </c>
    </row>
    <row r="593" spans="1:47" x14ac:dyDescent="0.35">
      <c r="A593" s="2" t="s">
        <v>3210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0" t="str">
        <f>_xlfn.XLOOKUP(PROPERTIES[[#This Row],[VEHIDCODE]],CONTROL[VEHIDCODE],CONTROL[ENGLISH])</f>
        <v>TPC BVB Be 2/2</v>
      </c>
      <c r="F593" t="s">
        <v>570</v>
      </c>
      <c r="G593" s="40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15</v>
      </c>
      <c r="J593">
        <v>33</v>
      </c>
      <c r="K593">
        <v>4</v>
      </c>
      <c r="L593">
        <v>0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3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0">
        <v>45</v>
      </c>
      <c r="AA593" s="19">
        <f>IFERROR(PROPERTIES[[#This Row],[TE_STARTING_KN]]/(PROPERTIES[[#This Row],[WEIGHT]]*9.81),0)</f>
        <v>0.35837155963302747</v>
      </c>
      <c r="AB593" s="19">
        <v>0</v>
      </c>
      <c r="AC593" s="16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6">
        <v>0</v>
      </c>
      <c r="AF593" s="6">
        <v>0</v>
      </c>
      <c r="AG593" t="s">
        <v>230</v>
      </c>
      <c r="AH593" t="s">
        <v>229</v>
      </c>
      <c r="AI593" t="s">
        <v>229</v>
      </c>
      <c r="AJ593" s="2" t="s">
        <v>229</v>
      </c>
      <c r="AK593" s="2" t="s">
        <v>244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44" t="b">
        <v>0</v>
      </c>
      <c r="AP593" s="48" t="b">
        <v>0</v>
      </c>
      <c r="AQ593" s="48" t="b">
        <v>0</v>
      </c>
      <c r="AR593" s="48">
        <v>0</v>
      </c>
      <c r="AS593" s="48" t="b">
        <v>0</v>
      </c>
      <c r="AT593" s="7" t="b">
        <v>0</v>
      </c>
      <c r="AU593" s="40" t="str" cm="1">
        <f t="array" ref="AU593">_xlfn.XLOOKUP(PROPERTIES[[#This Row],[VEHIDCODE]],GRAPHICS_PROPERTIES[VEHIDCODE],GRAPHICS_PROPERTIES[TEMPLATE_ID]&amp;GRAPHICS_PROPERTIES[TEMPLATE_AMENDMENT_CODE])</f>
        <v>TPL_01B</v>
      </c>
    </row>
    <row r="594" spans="1:47" x14ac:dyDescent="0.35">
      <c r="A594" s="2" t="s">
        <v>3211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0" t="str">
        <f>_xlfn.XLOOKUP(PROPERTIES[[#This Row],[VEHIDCODE]],CONTROL[VEHIDCODE],CONTROL[ENGLISH])</f>
        <v>MVR Beh 2/4</v>
      </c>
      <c r="F594" t="s">
        <v>570</v>
      </c>
      <c r="G594" s="40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15</v>
      </c>
      <c r="J594">
        <v>52</v>
      </c>
      <c r="K594">
        <v>8</v>
      </c>
      <c r="L594">
        <v>0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3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0">
        <v>110</v>
      </c>
      <c r="AA594" s="19">
        <f>IFERROR(PROPERTIES[[#This Row],[TE_STARTING_KN]]/(PROPERTIES[[#This Row],[WEIGHT]]*9.81),0)</f>
        <v>0.35040774719673801</v>
      </c>
      <c r="AB594" s="19">
        <v>0</v>
      </c>
      <c r="AC594" s="16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6">
        <v>0</v>
      </c>
      <c r="AF594" s="6">
        <v>0</v>
      </c>
      <c r="AG594" t="s">
        <v>230</v>
      </c>
      <c r="AH594" t="s">
        <v>229</v>
      </c>
      <c r="AI594" t="s">
        <v>229</v>
      </c>
      <c r="AJ594" s="2" t="s">
        <v>229</v>
      </c>
      <c r="AK594" s="2" t="s">
        <v>244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44" t="b">
        <v>0</v>
      </c>
      <c r="AP594" s="48" t="b">
        <v>0</v>
      </c>
      <c r="AQ594" s="48" t="b">
        <v>0</v>
      </c>
      <c r="AR594" s="48">
        <v>0</v>
      </c>
      <c r="AS594" s="48" t="b">
        <v>0</v>
      </c>
      <c r="AT594" s="7" t="b">
        <v>0</v>
      </c>
      <c r="AU594" s="40" t="str" cm="1">
        <f t="array" ref="AU594">_xlfn.XLOOKUP(PROPERTIES[[#This Row],[VEHIDCODE]],GRAPHICS_PROPERTIES[VEHIDCODE],GRAPHICS_PROPERTIES[TEMPLATE_ID]&amp;GRAPHICS_PROPERTIES[TEMPLATE_AMENDMENT_CODE])</f>
        <v>TPL_01B</v>
      </c>
    </row>
    <row r="595" spans="1:47" x14ac:dyDescent="0.35">
      <c r="A595" s="2" t="s">
        <v>3212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0" t="str">
        <f>_xlfn.XLOOKUP(PROPERTIES[[#This Row],[VEHIDCODE]],CONTROL[VEHIDCODE],CONTROL[ENGLISH])</f>
        <v>Ferrocarril de Soller 1-3</v>
      </c>
      <c r="F595" t="s">
        <v>595</v>
      </c>
      <c r="G595" s="40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15</v>
      </c>
      <c r="J595">
        <v>36</v>
      </c>
      <c r="K595">
        <v>6</v>
      </c>
      <c r="L595">
        <v>0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3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0">
        <v>52</v>
      </c>
      <c r="AA595" s="19">
        <f>IFERROR(PROPERTIES[[#This Row],[TE_STARTING_KN]]/(PROPERTIES[[#This Row],[WEIGHT]]*9.81),0)</f>
        <v>0.16062768356346338</v>
      </c>
      <c r="AB595" s="19">
        <v>0</v>
      </c>
      <c r="AC595" s="16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6">
        <v>0</v>
      </c>
      <c r="AF595" s="6">
        <v>0</v>
      </c>
      <c r="AG595" t="s">
        <v>231</v>
      </c>
      <c r="AH595" t="s">
        <v>229</v>
      </c>
      <c r="AI595" t="s">
        <v>229</v>
      </c>
      <c r="AJ595" s="2" t="s">
        <v>229</v>
      </c>
      <c r="AK595" s="2" t="s">
        <v>244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44" t="b">
        <v>0</v>
      </c>
      <c r="AP595" s="48" t="b">
        <v>0</v>
      </c>
      <c r="AQ595" s="48" t="b">
        <v>0</v>
      </c>
      <c r="AR595" s="48">
        <v>0</v>
      </c>
      <c r="AS595" s="48" t="b">
        <v>0</v>
      </c>
      <c r="AT595" s="7" t="b">
        <v>0</v>
      </c>
      <c r="AU595" s="40" t="str" cm="1">
        <f t="array" ref="AU595">_xlfn.XLOOKUP(PROPERTIES[[#This Row],[VEHIDCODE]],GRAPHICS_PROPERTIES[VEHIDCODE],GRAPHICS_PROPERTIES[TEMPLATE_ID]&amp;GRAPHICS_PROPERTIES[TEMPLATE_AMENDMENT_CODE])</f>
        <v>TPL_01B</v>
      </c>
    </row>
    <row r="596" spans="1:47" x14ac:dyDescent="0.35">
      <c r="A596" s="2" t="s">
        <v>3213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0" t="str">
        <f>_xlfn.XLOOKUP(PROPERTIES[[#This Row],[VEHIDCODE]],CONTROL[VEHIDCODE],CONTROL[ENGLISH])</f>
        <v>Hitachi Choshi DeHa 1000</v>
      </c>
      <c r="F596" t="s">
        <v>640</v>
      </c>
      <c r="G596" s="40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15</v>
      </c>
      <c r="J596">
        <v>34</v>
      </c>
      <c r="K596">
        <v>7</v>
      </c>
      <c r="L596">
        <v>0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3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0">
        <v>54</v>
      </c>
      <c r="AA596" s="19">
        <f>IFERROR(PROPERTIES[[#This Row],[TE_STARTING_KN]]/(PROPERTIES[[#This Row],[WEIGHT]]*9.81),0)</f>
        <v>0.17756732761171942</v>
      </c>
      <c r="AB596" s="19">
        <v>0</v>
      </c>
      <c r="AC596" s="16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6">
        <v>0</v>
      </c>
      <c r="AF596" s="6">
        <v>0</v>
      </c>
      <c r="AG596" t="s">
        <v>238</v>
      </c>
      <c r="AH596" t="s">
        <v>229</v>
      </c>
      <c r="AI596" t="s">
        <v>229</v>
      </c>
      <c r="AJ596" s="2" t="s">
        <v>229</v>
      </c>
      <c r="AK596" s="2" t="s">
        <v>244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44" t="b">
        <v>0</v>
      </c>
      <c r="AP596" s="48" t="b">
        <v>0</v>
      </c>
      <c r="AQ596" s="48" t="b">
        <v>0</v>
      </c>
      <c r="AR596" s="48">
        <v>0</v>
      </c>
      <c r="AS596" s="48" t="b">
        <v>0</v>
      </c>
      <c r="AT596" s="7" t="b">
        <v>0</v>
      </c>
      <c r="AU596" s="40" t="str" cm="1">
        <f t="array" ref="AU596">_xlfn.XLOOKUP(PROPERTIES[[#This Row],[VEHIDCODE]],GRAPHICS_PROPERTIES[VEHIDCODE],GRAPHICS_PROPERTIES[TEMPLATE_ID]&amp;GRAPHICS_PROPERTIES[TEMPLATE_AMENDMENT_CODE])</f>
        <v>TPL_01B</v>
      </c>
    </row>
    <row r="597" spans="1:47" x14ac:dyDescent="0.35">
      <c r="A597" s="2" t="s">
        <v>3214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0" t="str">
        <f>_xlfn.XLOOKUP(PROPERTIES[[#This Row],[VEHIDCODE]],CONTROL[VEHIDCODE],CONTROL[ENGLISH])</f>
        <v>SLM G 3/4</v>
      </c>
      <c r="F597" t="s">
        <v>570</v>
      </c>
      <c r="G597" s="40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17</v>
      </c>
      <c r="J597">
        <v>0</v>
      </c>
      <c r="K597">
        <v>6</v>
      </c>
      <c r="L597">
        <v>0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3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0">
        <v>38</v>
      </c>
      <c r="AA597" s="19">
        <f>IFERROR(PROPERTIES[[#This Row],[TE_STARTING_KN]]/(PROPERTIES[[#This Row],[WEIGHT]]*9.81),0)</f>
        <v>0.1291199456337071</v>
      </c>
      <c r="AB597" s="19">
        <v>0</v>
      </c>
      <c r="AC597" s="16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6">
        <v>0</v>
      </c>
      <c r="AF597" s="6">
        <v>0</v>
      </c>
      <c r="AG597" t="s">
        <v>230</v>
      </c>
      <c r="AH597" t="s">
        <v>229</v>
      </c>
      <c r="AI597" t="s">
        <v>229</v>
      </c>
      <c r="AJ597" s="2" t="s">
        <v>229</v>
      </c>
      <c r="AK597" s="2" t="s">
        <v>244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44" t="b">
        <v>0</v>
      </c>
      <c r="AP597" s="48" t="b">
        <v>0</v>
      </c>
      <c r="AQ597" s="48" t="b">
        <v>0</v>
      </c>
      <c r="AR597" s="48">
        <v>0</v>
      </c>
      <c r="AS597" s="48" t="b">
        <v>0</v>
      </c>
      <c r="AT597" s="7" t="b">
        <v>0</v>
      </c>
      <c r="AU597" s="40" t="str" cm="1">
        <f t="array" ref="AU597">_xlfn.XLOOKUP(PROPERTIES[[#This Row],[VEHIDCODE]],GRAPHICS_PROPERTIES[VEHIDCODE],GRAPHICS_PROPERTIES[TEMPLATE_ID]&amp;GRAPHICS_PROPERTIES[TEMPLATE_AMENDMENT_CODE])</f>
        <v>TPL_03C</v>
      </c>
    </row>
    <row r="598" spans="1:47" x14ac:dyDescent="0.35">
      <c r="A598" s="2" t="s">
        <v>3215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0" t="str">
        <f>_xlfn.XLOOKUP(PROPERTIES[[#This Row],[VEHIDCODE]],CONTROL[VEHIDCODE],CONTROL[ENGLISH])</f>
        <v>Kisha Seizo 2-10-4T E10</v>
      </c>
      <c r="F598" t="s">
        <v>640</v>
      </c>
      <c r="G598" s="40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17</v>
      </c>
      <c r="J598">
        <v>0</v>
      </c>
      <c r="K598">
        <v>7</v>
      </c>
      <c r="L598">
        <v>0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3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0">
        <v>213</v>
      </c>
      <c r="AA598" s="19">
        <f>IFERROR(PROPERTIES[[#This Row],[TE_STARTING_KN]]/(PROPERTIES[[#This Row],[WEIGHT]]*9.81),0)</f>
        <v>0.21286802182646758</v>
      </c>
      <c r="AB598" s="19">
        <v>0</v>
      </c>
      <c r="AC598" s="16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6">
        <v>0</v>
      </c>
      <c r="AF598" s="6">
        <v>0</v>
      </c>
      <c r="AG598" t="s">
        <v>238</v>
      </c>
      <c r="AH598" t="s">
        <v>229</v>
      </c>
      <c r="AI598" t="s">
        <v>229</v>
      </c>
      <c r="AJ598" s="2" t="s">
        <v>229</v>
      </c>
      <c r="AK598" s="2" t="s">
        <v>244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44" t="b">
        <v>0</v>
      </c>
      <c r="AP598" s="48" t="b">
        <v>0</v>
      </c>
      <c r="AQ598" s="48" t="b">
        <v>0</v>
      </c>
      <c r="AR598" s="48">
        <v>0</v>
      </c>
      <c r="AS598" s="48" t="b">
        <v>0</v>
      </c>
      <c r="AT598" s="7" t="b">
        <v>0</v>
      </c>
      <c r="AU598" s="40" t="str" cm="1">
        <f t="array" ref="AU598">_xlfn.XLOOKUP(PROPERTIES[[#This Row],[VEHIDCODE]],GRAPHICS_PROPERTIES[VEHIDCODE],GRAPHICS_PROPERTIES[TEMPLATE_ID]&amp;GRAPHICS_PROPERTIES[TEMPLATE_AMENDMENT_CODE])</f>
        <v>TPL_03C</v>
      </c>
    </row>
    <row r="599" spans="1:47" x14ac:dyDescent="0.35">
      <c r="A599" s="2" t="s">
        <v>3216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0" t="str">
        <f>_xlfn.XLOOKUP(PROPERTIES[[#This Row],[VEHIDCODE]],CONTROL[VEHIDCODE],CONTROL[ENGLISH])</f>
        <v>H. K. Porter, Inc 2-6-0 7100</v>
      </c>
      <c r="F599" t="s">
        <v>640</v>
      </c>
      <c r="G599" s="40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17</v>
      </c>
      <c r="J599">
        <v>0</v>
      </c>
      <c r="K599">
        <v>5</v>
      </c>
      <c r="L599">
        <v>0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3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0">
        <v>22</v>
      </c>
      <c r="AA599" s="19">
        <f>IFERROR(PROPERTIES[[#This Row],[TE_STARTING_KN]]/(PROPERTIES[[#This Row],[WEIGHT]]*9.81),0)</f>
        <v>7.2342244582552367E-2</v>
      </c>
      <c r="AB599" s="19">
        <v>0</v>
      </c>
      <c r="AC599" s="16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6">
        <v>0</v>
      </c>
      <c r="AF599" s="6">
        <v>4</v>
      </c>
      <c r="AG599" t="s">
        <v>238</v>
      </c>
      <c r="AH599" t="s">
        <v>229</v>
      </c>
      <c r="AI599" t="s">
        <v>229</v>
      </c>
      <c r="AJ599" s="2" t="s">
        <v>229</v>
      </c>
      <c r="AK599" s="2" t="s">
        <v>244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44" t="b">
        <v>0</v>
      </c>
      <c r="AP599" s="48" t="b">
        <v>0</v>
      </c>
      <c r="AQ599" s="48" t="b">
        <v>0</v>
      </c>
      <c r="AR599" s="48">
        <v>0</v>
      </c>
      <c r="AS599" s="48" t="b">
        <v>0</v>
      </c>
      <c r="AT599" s="7" t="b">
        <v>0</v>
      </c>
      <c r="AU599" s="40" t="str" cm="1">
        <f t="array" ref="AU599">_xlfn.XLOOKUP(PROPERTIES[[#This Row],[VEHIDCODE]],GRAPHICS_PROPERTIES[VEHIDCODE],GRAPHICS_PROPERTIES[TEMPLATE_ID]&amp;GRAPHICS_PROPERTIES[TEMPLATE_AMENDMENT_CODE])</f>
        <v>TPL_03A</v>
      </c>
    </row>
    <row r="600" spans="1:47" x14ac:dyDescent="0.35">
      <c r="A600" s="2" t="s">
        <v>3217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0" t="str">
        <f>_xlfn.XLOOKUP(PROPERTIES[[#This Row],[VEHIDCODE]],CONTROL[VEHIDCODE],CONTROL[ENGLISH])</f>
        <v>Richard Francis Trevithick 2-4-2T 860</v>
      </c>
      <c r="F600" t="s">
        <v>640</v>
      </c>
      <c r="G600" s="40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17</v>
      </c>
      <c r="J600">
        <v>0</v>
      </c>
      <c r="K600">
        <v>5</v>
      </c>
      <c r="L600">
        <v>0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3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0">
        <v>48</v>
      </c>
      <c r="AA600" s="19">
        <f>IFERROR(PROPERTIES[[#This Row],[TE_STARTING_KN]]/(PROPERTIES[[#This Row],[WEIGHT]]*9.81),0)</f>
        <v>0.1529051987767584</v>
      </c>
      <c r="AB600" s="19">
        <v>0</v>
      </c>
      <c r="AC600" s="16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6">
        <v>0</v>
      </c>
      <c r="AF600" s="6">
        <v>0</v>
      </c>
      <c r="AG600" t="s">
        <v>238</v>
      </c>
      <c r="AH600" t="s">
        <v>229</v>
      </c>
      <c r="AI600" t="s">
        <v>229</v>
      </c>
      <c r="AJ600" s="2" t="s">
        <v>229</v>
      </c>
      <c r="AK600" s="2" t="s">
        <v>244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44" t="b">
        <v>0</v>
      </c>
      <c r="AP600" s="48" t="b">
        <v>0</v>
      </c>
      <c r="AQ600" s="48" t="b">
        <v>0</v>
      </c>
      <c r="AR600" s="48">
        <v>0</v>
      </c>
      <c r="AS600" s="48" t="b">
        <v>0</v>
      </c>
      <c r="AT600" s="7" t="b">
        <v>0</v>
      </c>
      <c r="AU600" s="40" t="str" cm="1">
        <f t="array" ref="AU600">_xlfn.XLOOKUP(PROPERTIES[[#This Row],[VEHIDCODE]],GRAPHICS_PROPERTIES[VEHIDCODE],GRAPHICS_PROPERTIES[TEMPLATE_ID]&amp;GRAPHICS_PROPERTIES[TEMPLATE_AMENDMENT_CODE])</f>
        <v>TPL_03C</v>
      </c>
    </row>
    <row r="601" spans="1:47" x14ac:dyDescent="0.35">
      <c r="A601" s="2" t="s">
        <v>3218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0" t="str">
        <f>_xlfn.XLOOKUP(PROPERTIES[[#This Row],[VEHIDCODE]],CONTROL[VEHIDCODE],CONTROL[ENGLISH])</f>
        <v>Kawasaki 2-8-0 9600</v>
      </c>
      <c r="F601" t="s">
        <v>640</v>
      </c>
      <c r="G601" s="40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17</v>
      </c>
      <c r="J601">
        <v>0</v>
      </c>
      <c r="K601">
        <v>7</v>
      </c>
      <c r="L601">
        <v>0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3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0">
        <v>139</v>
      </c>
      <c r="AA601" s="19">
        <f>IFERROR(PROPERTIES[[#This Row],[TE_STARTING_KN]]/(PROPERTIES[[#This Row],[WEIGHT]]*9.81),0)</f>
        <v>0.14914963249101346</v>
      </c>
      <c r="AB601" s="19">
        <v>0</v>
      </c>
      <c r="AC601" s="16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6">
        <v>0</v>
      </c>
      <c r="AF601" s="6">
        <v>4</v>
      </c>
      <c r="AG601" t="s">
        <v>238</v>
      </c>
      <c r="AH601" t="s">
        <v>229</v>
      </c>
      <c r="AI601" t="s">
        <v>229</v>
      </c>
      <c r="AJ601" s="2" t="s">
        <v>229</v>
      </c>
      <c r="AK601" s="2" t="s">
        <v>244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44" t="b">
        <v>0</v>
      </c>
      <c r="AP601" s="48" t="b">
        <v>0</v>
      </c>
      <c r="AQ601" s="48" t="b">
        <v>0</v>
      </c>
      <c r="AR601" s="48">
        <v>0</v>
      </c>
      <c r="AS601" s="48" t="b">
        <v>0</v>
      </c>
      <c r="AT601" s="7" t="b">
        <v>0</v>
      </c>
      <c r="AU601" s="40" t="str" cm="1">
        <f t="array" ref="AU601">_xlfn.XLOOKUP(PROPERTIES[[#This Row],[VEHIDCODE]],GRAPHICS_PROPERTIES[VEHIDCODE],GRAPHICS_PROPERTIES[TEMPLATE_ID]&amp;GRAPHICS_PROPERTIES[TEMPLATE_AMENDMENT_CODE])</f>
        <v>TPL_03A</v>
      </c>
    </row>
    <row r="602" spans="1:47" x14ac:dyDescent="0.35">
      <c r="A602" s="2" t="s">
        <v>3219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0" t="str">
        <f>_xlfn.XLOOKUP(PROPERTIES[[#This Row],[VEHIDCODE]],CONTROL[VEHIDCODE],CONTROL[ENGLISH])</f>
        <v>Kawasaki 2-8-2 D50</v>
      </c>
      <c r="F602" t="s">
        <v>640</v>
      </c>
      <c r="G602" s="40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17</v>
      </c>
      <c r="J602">
        <v>0</v>
      </c>
      <c r="K602">
        <v>6</v>
      </c>
      <c r="L602">
        <v>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3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0">
        <v>166</v>
      </c>
      <c r="AA602" s="19">
        <f>IFERROR(PROPERTIES[[#This Row],[TE_STARTING_KN]]/(PROPERTIES[[#This Row],[WEIGHT]]*9.81),0)</f>
        <v>0.13870089069367153</v>
      </c>
      <c r="AB602" s="19">
        <v>0</v>
      </c>
      <c r="AC602" s="16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6">
        <v>0</v>
      </c>
      <c r="AF602" s="6">
        <v>4</v>
      </c>
      <c r="AG602" t="s">
        <v>238</v>
      </c>
      <c r="AH602" t="s">
        <v>229</v>
      </c>
      <c r="AI602" t="s">
        <v>229</v>
      </c>
      <c r="AJ602" s="2" t="s">
        <v>229</v>
      </c>
      <c r="AK602" s="2" t="s">
        <v>244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44" t="b">
        <v>0</v>
      </c>
      <c r="AP602" s="48" t="b">
        <v>0</v>
      </c>
      <c r="AQ602" s="48" t="b">
        <v>0</v>
      </c>
      <c r="AR602" s="48">
        <v>0</v>
      </c>
      <c r="AS602" s="48" t="b">
        <v>0</v>
      </c>
      <c r="AT602" s="7" t="b">
        <v>0</v>
      </c>
      <c r="AU602" s="40" t="str" cm="1">
        <f t="array" ref="AU602">_xlfn.XLOOKUP(PROPERTIES[[#This Row],[VEHIDCODE]],GRAPHICS_PROPERTIES[VEHIDCODE],GRAPHICS_PROPERTIES[TEMPLATE_ID]&amp;GRAPHICS_PROPERTIES[TEMPLATE_AMENDMENT_CODE])</f>
        <v>TPL_03A</v>
      </c>
    </row>
    <row r="603" spans="1:47" x14ac:dyDescent="0.35">
      <c r="A603" s="2" t="s">
        <v>3220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0" t="str">
        <f>_xlfn.XLOOKUP(PROPERTIES[[#This Row],[VEHIDCODE]],CONTROL[VEHIDCODE],CONTROL[ENGLISH])</f>
        <v>Kisha/Mitsubishi/NS DF50</v>
      </c>
      <c r="F603" t="s">
        <v>640</v>
      </c>
      <c r="G603" s="40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17</v>
      </c>
      <c r="J603">
        <v>0</v>
      </c>
      <c r="K603">
        <v>7</v>
      </c>
      <c r="L603">
        <v>0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3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0">
        <v>123</v>
      </c>
      <c r="AA603" s="19">
        <f>IFERROR(PROPERTIES[[#This Row],[TE_STARTING_KN]]/(PROPERTIES[[#This Row],[WEIGHT]]*9.81),0)</f>
        <v>0.14750854470228458</v>
      </c>
      <c r="AB603" s="19">
        <v>0</v>
      </c>
      <c r="AC603" s="16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6">
        <v>0</v>
      </c>
      <c r="AF603" s="6">
        <v>0</v>
      </c>
      <c r="AG603" t="s">
        <v>238</v>
      </c>
      <c r="AH603" t="s">
        <v>229</v>
      </c>
      <c r="AI603" t="s">
        <v>229</v>
      </c>
      <c r="AJ603" s="2" t="s">
        <v>229</v>
      </c>
      <c r="AK603" s="2" t="s">
        <v>244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44" t="b">
        <v>0</v>
      </c>
      <c r="AP603" s="48" t="b">
        <v>0</v>
      </c>
      <c r="AQ603" s="48" t="b">
        <v>0</v>
      </c>
      <c r="AR603" s="48">
        <v>0</v>
      </c>
      <c r="AS603" s="48" t="b">
        <v>0</v>
      </c>
      <c r="AT603" s="7" t="b">
        <v>0</v>
      </c>
      <c r="AU603" s="40" t="str" cm="1">
        <f t="array" ref="AU603">_xlfn.XLOOKUP(PROPERTIES[[#This Row],[VEHIDCODE]],GRAPHICS_PROPERTIES[VEHIDCODE],GRAPHICS_PROPERTIES[TEMPLATE_ID]&amp;GRAPHICS_PROPERTIES[TEMPLATE_AMENDMENT_CODE])</f>
        <v>TPL_01A</v>
      </c>
    </row>
    <row r="604" spans="1:47" x14ac:dyDescent="0.35">
      <c r="A604" s="2" t="s">
        <v>3221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0" t="str">
        <f>_xlfn.XLOOKUP(PROPERTIES[[#This Row],[VEHIDCODE]],CONTROL[VEHIDCODE],CONTROL[ENGLISH])</f>
        <v>SIG Alioth De 2/2</v>
      </c>
      <c r="F604" t="s">
        <v>570</v>
      </c>
      <c r="G604" s="40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17</v>
      </c>
      <c r="J604">
        <v>0</v>
      </c>
      <c r="K604">
        <v>5</v>
      </c>
      <c r="L604">
        <v>0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3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0">
        <v>24.5</v>
      </c>
      <c r="AA604" s="19">
        <f>IFERROR(PROPERTIES[[#This Row],[TE_STARTING_KN]]/(PROPERTIES[[#This Row],[WEIGHT]]*9.81),0)</f>
        <v>0.1560907237512742</v>
      </c>
      <c r="AB604" s="19">
        <v>0</v>
      </c>
      <c r="AC604" s="16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6">
        <v>0</v>
      </c>
      <c r="AF604" s="6">
        <v>0</v>
      </c>
      <c r="AG604" t="s">
        <v>230</v>
      </c>
      <c r="AH604" t="s">
        <v>229</v>
      </c>
      <c r="AI604" t="s">
        <v>229</v>
      </c>
      <c r="AJ604" s="2" t="s">
        <v>229</v>
      </c>
      <c r="AK604" s="2" t="s">
        <v>244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44" t="b">
        <v>0</v>
      </c>
      <c r="AP604" s="48" t="b">
        <v>0</v>
      </c>
      <c r="AQ604" s="48" t="b">
        <v>0</v>
      </c>
      <c r="AR604" s="48">
        <v>0</v>
      </c>
      <c r="AS604" s="48" t="b">
        <v>0</v>
      </c>
      <c r="AT604" s="7" t="b">
        <v>0</v>
      </c>
      <c r="AU604" s="40" t="str" cm="1">
        <f t="array" ref="AU604">_xlfn.XLOOKUP(PROPERTIES[[#This Row],[VEHIDCODE]],GRAPHICS_PROPERTIES[VEHIDCODE],GRAPHICS_PROPERTIES[TEMPLATE_ID]&amp;GRAPHICS_PROPERTIES[TEMPLATE_AMENDMENT_CODE])</f>
        <v>TPL_01A</v>
      </c>
    </row>
    <row r="605" spans="1:47" x14ac:dyDescent="0.35">
      <c r="A605" s="2" t="s">
        <v>3222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0" t="str">
        <f>_xlfn.XLOOKUP(PROPERTIES[[#This Row],[VEHIDCODE]],CONTROL[VEHIDCODE],CONTROL[ENGLISH])</f>
        <v>Toshiba EH10</v>
      </c>
      <c r="F605" t="s">
        <v>640</v>
      </c>
      <c r="G605" s="40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17</v>
      </c>
      <c r="J605">
        <v>0</v>
      </c>
      <c r="K605">
        <v>6</v>
      </c>
      <c r="L605">
        <v>0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3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0">
        <v>238</v>
      </c>
      <c r="AA605" s="19">
        <f>IFERROR(PROPERTIES[[#This Row],[TE_STARTING_KN]]/(PROPERTIES[[#This Row],[WEIGHT]]*9.81),0)</f>
        <v>0.20914619143027874</v>
      </c>
      <c r="AB605" s="19">
        <v>0</v>
      </c>
      <c r="AC605" s="16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6">
        <v>0</v>
      </c>
      <c r="AF605" s="6">
        <v>6</v>
      </c>
      <c r="AG605" t="s">
        <v>238</v>
      </c>
      <c r="AH605" t="s">
        <v>229</v>
      </c>
      <c r="AI605" t="s">
        <v>229</v>
      </c>
      <c r="AJ605" s="2" t="s">
        <v>229</v>
      </c>
      <c r="AK605" s="2" t="s">
        <v>244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44" t="b">
        <v>0</v>
      </c>
      <c r="AP605" s="48" t="b">
        <v>0</v>
      </c>
      <c r="AQ605" s="48" t="b">
        <v>0</v>
      </c>
      <c r="AR605" s="48">
        <v>0</v>
      </c>
      <c r="AS605" s="48" t="b">
        <v>0</v>
      </c>
      <c r="AT605" s="7" t="b">
        <v>0</v>
      </c>
      <c r="AU605" s="40" t="str" cm="1">
        <f t="array" ref="AU605">_xlfn.XLOOKUP(PROPERTIES[[#This Row],[VEHIDCODE]],GRAPHICS_PROPERTIES[VEHIDCODE],GRAPHICS_PROPERTIES[TEMPLATE_ID]&amp;GRAPHICS_PROPERTIES[TEMPLATE_AMENDMENT_CODE])</f>
        <v>TPL_03D</v>
      </c>
    </row>
    <row r="606" spans="1:47" x14ac:dyDescent="0.35">
      <c r="A606" s="2" t="s">
        <v>3223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0" t="str">
        <f>_xlfn.XLOOKUP(PROPERTIES[[#This Row],[VEHIDCODE]],CONTROL[VEHIDCODE],CONTROL[ENGLISH])</f>
        <v>Kawasaki/Toshiba EF64</v>
      </c>
      <c r="F606" t="s">
        <v>640</v>
      </c>
      <c r="G606" s="40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17</v>
      </c>
      <c r="J606">
        <v>0</v>
      </c>
      <c r="K606">
        <v>8</v>
      </c>
      <c r="L606">
        <v>0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3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0">
        <v>196</v>
      </c>
      <c r="AA606" s="19">
        <f>IFERROR(PROPERTIES[[#This Row],[TE_STARTING_KN]]/(PROPERTIES[[#This Row],[WEIGHT]]*9.81),0)</f>
        <v>0.20812096500169894</v>
      </c>
      <c r="AB606" s="19">
        <v>0</v>
      </c>
      <c r="AC606" s="16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6">
        <v>0</v>
      </c>
      <c r="AF606" s="6">
        <v>0</v>
      </c>
      <c r="AG606" t="s">
        <v>238</v>
      </c>
      <c r="AH606" t="s">
        <v>229</v>
      </c>
      <c r="AI606" t="s">
        <v>229</v>
      </c>
      <c r="AJ606" s="2" t="s">
        <v>229</v>
      </c>
      <c r="AK606" s="2" t="s">
        <v>244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44" t="b">
        <v>0</v>
      </c>
      <c r="AP606" s="48" t="b">
        <v>0</v>
      </c>
      <c r="AQ606" s="48" t="b">
        <v>0</v>
      </c>
      <c r="AR606" s="48">
        <v>0</v>
      </c>
      <c r="AS606" s="48" t="b">
        <v>0</v>
      </c>
      <c r="AT606" s="7" t="b">
        <v>0</v>
      </c>
      <c r="AU606" s="40" t="str" cm="1">
        <f t="array" ref="AU606">_xlfn.XLOOKUP(PROPERTIES[[#This Row],[VEHIDCODE]],GRAPHICS_PROPERTIES[VEHIDCODE],GRAPHICS_PROPERTIES[TEMPLATE_ID]&amp;GRAPHICS_PROPERTIES[TEMPLATE_AMENDMENT_CODE])</f>
        <v>TPL_01A</v>
      </c>
    </row>
    <row r="607" spans="1:47" x14ac:dyDescent="0.35">
      <c r="A607" s="2" t="s">
        <v>3224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0" t="str">
        <f>_xlfn.XLOOKUP(PROPERTIES[[#This Row],[VEHIDCODE]],CONTROL[VEHIDCODE],CONTROL[ENGLISH])</f>
        <v>EEC EO Class</v>
      </c>
      <c r="F607" t="s">
        <v>697</v>
      </c>
      <c r="G607" s="40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17</v>
      </c>
      <c r="J607">
        <v>0</v>
      </c>
      <c r="K607">
        <v>7</v>
      </c>
      <c r="L607">
        <v>0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3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0">
        <v>63</v>
      </c>
      <c r="AA607" s="19">
        <f>IFERROR(PROPERTIES[[#This Row],[TE_STARTING_KN]]/(PROPERTIES[[#This Row],[WEIGHT]]*9.81),0)</f>
        <v>0.12844036697247707</v>
      </c>
      <c r="AB607" s="19">
        <v>0</v>
      </c>
      <c r="AC607" s="16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6">
        <v>0</v>
      </c>
      <c r="AF607" s="6">
        <v>0</v>
      </c>
      <c r="AG607" t="s">
        <v>232</v>
      </c>
      <c r="AH607" t="s">
        <v>229</v>
      </c>
      <c r="AI607" t="s">
        <v>229</v>
      </c>
      <c r="AJ607" s="2" t="s">
        <v>229</v>
      </c>
      <c r="AK607" s="2" t="s">
        <v>244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44" t="b">
        <v>0</v>
      </c>
      <c r="AP607" s="48" t="b">
        <v>0</v>
      </c>
      <c r="AQ607" s="48" t="b">
        <v>0</v>
      </c>
      <c r="AR607" s="48">
        <v>0</v>
      </c>
      <c r="AS607" s="48" t="b">
        <v>0</v>
      </c>
      <c r="AT607" s="7" t="b">
        <v>0</v>
      </c>
      <c r="AU607" s="40" t="str" cm="1">
        <f t="array" ref="AU607">_xlfn.XLOOKUP(PROPERTIES[[#This Row],[VEHIDCODE]],GRAPHICS_PROPERTIES[VEHIDCODE],GRAPHICS_PROPERTIES[TEMPLATE_ID]&amp;GRAPHICS_PROPERTIES[TEMPLATE_AMENDMENT_CODE])</f>
        <v>TPL_01A</v>
      </c>
    </row>
    <row r="608" spans="1:47" x14ac:dyDescent="0.35">
      <c r="A608" s="2" t="s">
        <v>3225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0" t="str">
        <f>_xlfn.XLOOKUP(PROPERTIES[[#This Row],[VEHIDCODE]],CONTROL[VEHIDCODE],CONTROL[ENGLISH])</f>
        <v>Tulloch 0-6-0DM 'W' Class DNU WRONG</v>
      </c>
      <c r="F608" t="s">
        <v>541</v>
      </c>
      <c r="G608" s="40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17</v>
      </c>
      <c r="J608">
        <v>0</v>
      </c>
      <c r="K608">
        <v>5</v>
      </c>
      <c r="L608">
        <v>0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3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0">
        <v>267</v>
      </c>
      <c r="AA608" s="19">
        <f>IFERROR(PROPERTIES[[#This Row],[TE_STARTING_KN]]/(PROPERTIES[[#This Row],[WEIGHT]]*9.81),0)</f>
        <v>0.24742841256602721</v>
      </c>
      <c r="AB608" s="19">
        <v>0</v>
      </c>
      <c r="AC608" s="16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6">
        <v>0</v>
      </c>
      <c r="AF608" s="6">
        <v>0</v>
      </c>
      <c r="AG608" t="s">
        <v>232</v>
      </c>
      <c r="AH608" t="s">
        <v>229</v>
      </c>
      <c r="AI608" t="s">
        <v>229</v>
      </c>
      <c r="AJ608" s="2" t="s">
        <v>229</v>
      </c>
      <c r="AK608" s="2" t="s">
        <v>244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44" t="b">
        <v>0</v>
      </c>
      <c r="AP608" s="48" t="b">
        <v>0</v>
      </c>
      <c r="AQ608" s="48" t="b">
        <v>1</v>
      </c>
      <c r="AR608" s="48">
        <v>0</v>
      </c>
      <c r="AS608" s="48" t="b">
        <v>0</v>
      </c>
      <c r="AT608" s="7" t="b">
        <v>1</v>
      </c>
      <c r="AU608" s="40" t="str" cm="1">
        <f t="array" ref="AU608">_xlfn.XLOOKUP(PROPERTIES[[#This Row],[VEHIDCODE]],GRAPHICS_PROPERTIES[VEHIDCODE],GRAPHICS_PROPERTIES[TEMPLATE_ID]&amp;GRAPHICS_PROPERTIES[TEMPLATE_AMENDMENT_CODE])</f>
        <v>TPL_01A</v>
      </c>
    </row>
    <row r="609" spans="1:47" x14ac:dyDescent="0.35">
      <c r="A609" s="2" t="s">
        <v>3226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0" t="str">
        <f>_xlfn.XLOOKUP(PROPERTIES[[#This Row],[VEHIDCODE]],CONTROL[VEHIDCODE],CONTROL[ENGLISH])</f>
        <v xml:space="preserve">GEC/NBLC SAR 4E </v>
      </c>
      <c r="F609" t="s">
        <v>771</v>
      </c>
      <c r="G609" s="40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17</v>
      </c>
      <c r="J609">
        <v>0</v>
      </c>
      <c r="K609">
        <v>8</v>
      </c>
      <c r="L609">
        <v>0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3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0">
        <v>322</v>
      </c>
      <c r="AA609" s="19">
        <f>IFERROR(PROPERTIES[[#This Row],[TE_STARTING_KN]]/(PROPERTIES[[#This Row],[WEIGHT]]*9.81),0)</f>
        <v>0.21176547959619871</v>
      </c>
      <c r="AB609" s="19">
        <v>0</v>
      </c>
      <c r="AC609" s="16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6">
        <v>0</v>
      </c>
      <c r="AF609" s="6">
        <v>0</v>
      </c>
      <c r="AG609" t="s">
        <v>233</v>
      </c>
      <c r="AH609" t="s">
        <v>229</v>
      </c>
      <c r="AI609" t="s">
        <v>229</v>
      </c>
      <c r="AJ609" s="2" t="s">
        <v>229</v>
      </c>
      <c r="AK609" s="2" t="s">
        <v>244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44" t="b">
        <v>0</v>
      </c>
      <c r="AP609" s="48" t="b">
        <v>0</v>
      </c>
      <c r="AQ609" s="48" t="b">
        <v>0</v>
      </c>
      <c r="AR609" s="48">
        <v>0</v>
      </c>
      <c r="AS609" s="48" t="b">
        <v>0</v>
      </c>
      <c r="AT609" s="7" t="b">
        <v>0</v>
      </c>
      <c r="AU609" s="40" t="str" cm="1">
        <f t="array" ref="AU609">_xlfn.XLOOKUP(PROPERTIES[[#This Row],[VEHIDCODE]],GRAPHICS_PROPERTIES[VEHIDCODE],GRAPHICS_PROPERTIES[TEMPLATE_ID]&amp;GRAPHICS_PROPERTIES[TEMPLATE_AMENDMENT_CODE])</f>
        <v>TPL_01A</v>
      </c>
    </row>
    <row r="610" spans="1:47" x14ac:dyDescent="0.35">
      <c r="A610" s="2" t="s">
        <v>3227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0" t="str">
        <f>_xlfn.XLOOKUP(PROPERTIES[[#This Row],[VEHIDCODE]],CONTROL[VEHIDCODE],CONTROL[ENGLISH])</f>
        <v>Metrowick MV 5E1</v>
      </c>
      <c r="F610" t="s">
        <v>771</v>
      </c>
      <c r="G610" s="40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17</v>
      </c>
      <c r="J610">
        <v>0</v>
      </c>
      <c r="K610">
        <v>7</v>
      </c>
      <c r="L610">
        <v>0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3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0">
        <v>250</v>
      </c>
      <c r="AA610" s="19">
        <f>IFERROR(PROPERTIES[[#This Row],[TE_STARTING_KN]]/(PROPERTIES[[#This Row],[WEIGHT]]*9.81),0)</f>
        <v>0.29632790460612091</v>
      </c>
      <c r="AB610" s="19">
        <v>0</v>
      </c>
      <c r="AC610" s="16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6">
        <v>0</v>
      </c>
      <c r="AF610" s="6">
        <v>0</v>
      </c>
      <c r="AG610" t="s">
        <v>233</v>
      </c>
      <c r="AH610" t="s">
        <v>229</v>
      </c>
      <c r="AI610" t="s">
        <v>229</v>
      </c>
      <c r="AJ610" s="2" t="s">
        <v>229</v>
      </c>
      <c r="AK610" s="2" t="s">
        <v>244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44" t="b">
        <v>0</v>
      </c>
      <c r="AP610" s="48" t="b">
        <v>0</v>
      </c>
      <c r="AQ610" s="48" t="b">
        <v>0</v>
      </c>
      <c r="AR610" s="48">
        <v>0</v>
      </c>
      <c r="AS610" s="48" t="b">
        <v>0</v>
      </c>
      <c r="AT610" s="7" t="b">
        <v>0</v>
      </c>
      <c r="AU610" s="40" t="str" cm="1">
        <f t="array" ref="AU610">_xlfn.XLOOKUP(PROPERTIES[[#This Row],[VEHIDCODE]],GRAPHICS_PROPERTIES[VEHIDCODE],GRAPHICS_PROPERTIES[TEMPLATE_ID]&amp;GRAPHICS_PROPERTIES[TEMPLATE_AMENDMENT_CODE])</f>
        <v>TPL_01A</v>
      </c>
    </row>
    <row r="611" spans="1:47" x14ac:dyDescent="0.35">
      <c r="A611" s="2" t="s">
        <v>3228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0" t="str">
        <f>_xlfn.XLOOKUP(PROPERTIES[[#This Row],[VEHIDCODE]],CONTROL[VEHIDCODE],CONTROL[ENGLISH])</f>
        <v>UCW 6E</v>
      </c>
      <c r="F611" t="s">
        <v>771</v>
      </c>
      <c r="G611" s="40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17</v>
      </c>
      <c r="J611">
        <v>0</v>
      </c>
      <c r="K611">
        <v>8</v>
      </c>
      <c r="L611">
        <v>0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3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0">
        <v>311</v>
      </c>
      <c r="AA611" s="19">
        <f>IFERROR(PROPERTIES[[#This Row],[TE_STARTING_KN]]/(PROPERTIES[[#This Row],[WEIGHT]]*9.81),0)</f>
        <v>0.35620611849866562</v>
      </c>
      <c r="AB611" s="19">
        <v>0</v>
      </c>
      <c r="AC611" s="16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6">
        <v>0</v>
      </c>
      <c r="AF611" s="6">
        <v>0</v>
      </c>
      <c r="AG611" t="s">
        <v>233</v>
      </c>
      <c r="AH611" t="s">
        <v>229</v>
      </c>
      <c r="AI611" t="s">
        <v>229</v>
      </c>
      <c r="AJ611" s="2" t="s">
        <v>229</v>
      </c>
      <c r="AK611" s="2" t="s">
        <v>244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44" t="b">
        <v>0</v>
      </c>
      <c r="AP611" s="48" t="b">
        <v>0</v>
      </c>
      <c r="AQ611" s="48" t="b">
        <v>0</v>
      </c>
      <c r="AR611" s="48">
        <v>0</v>
      </c>
      <c r="AS611" s="48" t="b">
        <v>0</v>
      </c>
      <c r="AT611" s="7" t="b">
        <v>0</v>
      </c>
      <c r="AU611" s="40" t="str" cm="1">
        <f t="array" ref="AU611">_xlfn.XLOOKUP(PROPERTIES[[#This Row],[VEHIDCODE]],GRAPHICS_PROPERTIES[VEHIDCODE],GRAPHICS_PROPERTIES[TEMPLATE_ID]&amp;GRAPHICS_PROPERTIES[TEMPLATE_AMENDMENT_CODE])</f>
        <v>TPL_01A</v>
      </c>
    </row>
    <row r="612" spans="1:47" x14ac:dyDescent="0.35">
      <c r="A612" s="2" t="s">
        <v>3229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0" t="str">
        <f>_xlfn.XLOOKUP(PROPERTIES[[#This Row],[VEHIDCODE]],CONTROL[VEHIDCODE],CONTROL[ENGLISH])</f>
        <v>SLM/BBC/MFO Ge 4/4 I</v>
      </c>
      <c r="F612" t="s">
        <v>570</v>
      </c>
      <c r="G612" s="40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17</v>
      </c>
      <c r="J612">
        <v>0</v>
      </c>
      <c r="K612">
        <v>8</v>
      </c>
      <c r="L612">
        <v>0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3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0">
        <v>135</v>
      </c>
      <c r="AA612" s="19">
        <f>IFERROR(PROPERTIES[[#This Row],[TE_STARTING_KN]]/(PROPERTIES[[#This Row],[WEIGHT]]*9.81),0)</f>
        <v>0.29279718914698416</v>
      </c>
      <c r="AB612" s="19">
        <v>0</v>
      </c>
      <c r="AC612" s="16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6">
        <v>0</v>
      </c>
      <c r="AF612" s="6">
        <v>0</v>
      </c>
      <c r="AG612" t="s">
        <v>230</v>
      </c>
      <c r="AH612" t="s">
        <v>229</v>
      </c>
      <c r="AI612" t="s">
        <v>229</v>
      </c>
      <c r="AJ612" s="2" t="s">
        <v>229</v>
      </c>
      <c r="AK612" s="2" t="s">
        <v>244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44" t="b">
        <v>0</v>
      </c>
      <c r="AP612" s="48" t="b">
        <v>0</v>
      </c>
      <c r="AQ612" s="48" t="b">
        <v>0</v>
      </c>
      <c r="AR612" s="48">
        <v>0</v>
      </c>
      <c r="AS612" s="48" t="b">
        <v>0</v>
      </c>
      <c r="AT612" s="7" t="b">
        <v>0</v>
      </c>
      <c r="AU612" s="40" t="str" cm="1">
        <f t="array" ref="AU612">_xlfn.XLOOKUP(PROPERTIES[[#This Row],[VEHIDCODE]],GRAPHICS_PROPERTIES[VEHIDCODE],GRAPHICS_PROPERTIES[TEMPLATE_ID]&amp;GRAPHICS_PROPERTIES[TEMPLATE_AMENDMENT_CODE])</f>
        <v>TPL_01A</v>
      </c>
    </row>
    <row r="613" spans="1:47" x14ac:dyDescent="0.35">
      <c r="A613" s="2" t="s">
        <v>3230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0" t="str">
        <f>_xlfn.XLOOKUP(PROPERTIES[[#This Row],[VEHIDCODE]],CONTROL[VEHIDCODE],CONTROL[ENGLISH])</f>
        <v>SLM/BBC/MFO Ge 6/6 'Krokodil'</v>
      </c>
      <c r="F613" t="s">
        <v>570</v>
      </c>
      <c r="G613" s="40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17</v>
      </c>
      <c r="J613">
        <v>0</v>
      </c>
      <c r="K613">
        <v>8</v>
      </c>
      <c r="L613">
        <v>0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3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0">
        <v>131</v>
      </c>
      <c r="AA613" s="19">
        <f>IFERROR(PROPERTIES[[#This Row],[TE_STARTING_KN]]/(PROPERTIES[[#This Row],[WEIGHT]]*9.81),0)</f>
        <v>0.20232910141167021</v>
      </c>
      <c r="AB613" s="19">
        <v>0</v>
      </c>
      <c r="AC613" s="16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6">
        <v>0</v>
      </c>
      <c r="AF613" s="6">
        <v>0</v>
      </c>
      <c r="AG613" t="s">
        <v>230</v>
      </c>
      <c r="AH613" t="s">
        <v>229</v>
      </c>
      <c r="AI613" t="s">
        <v>229</v>
      </c>
      <c r="AJ613" s="2" t="s">
        <v>229</v>
      </c>
      <c r="AK613" s="2" t="s">
        <v>244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44" t="b">
        <v>0</v>
      </c>
      <c r="AP613" s="48" t="b">
        <v>0</v>
      </c>
      <c r="AQ613" s="48" t="b">
        <v>0</v>
      </c>
      <c r="AR613" s="48">
        <v>0</v>
      </c>
      <c r="AS613" s="48" t="b">
        <v>0</v>
      </c>
      <c r="AT613" s="7" t="b">
        <v>0</v>
      </c>
      <c r="AU613" s="40" t="str" cm="1">
        <f t="array" ref="AU613">_xlfn.XLOOKUP(PROPERTIES[[#This Row],[VEHIDCODE]],GRAPHICS_PROPERTIES[VEHIDCODE],GRAPHICS_PROPERTIES[TEMPLATE_ID]&amp;GRAPHICS_PROPERTIES[TEMPLATE_AMENDMENT_CODE])</f>
        <v>TPL_03C</v>
      </c>
    </row>
    <row r="614" spans="1:47" x14ac:dyDescent="0.35">
      <c r="A614" s="2" t="s">
        <v>3231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0" t="str">
        <f>_xlfn.XLOOKUP(PROPERTIES[[#This Row],[VEHIDCODE]],CONTROL[VEHIDCODE],CONTROL[ENGLISH])</f>
        <v>Stadler He 4/4</v>
      </c>
      <c r="F614" t="s">
        <v>558</v>
      </c>
      <c r="G614" s="40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17</v>
      </c>
      <c r="J614">
        <v>0</v>
      </c>
      <c r="K614">
        <v>7</v>
      </c>
      <c r="L614">
        <v>0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3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0">
        <v>760</v>
      </c>
      <c r="AA614" s="19">
        <f>IFERROR(PROPERTIES[[#This Row],[TE_STARTING_KN]]/(PROPERTIES[[#This Row],[WEIGHT]]*9.81),0)</f>
        <v>0.64026419322499395</v>
      </c>
      <c r="AB614" s="19">
        <v>0</v>
      </c>
      <c r="AC614" s="16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6">
        <v>0</v>
      </c>
      <c r="AF614" s="6">
        <v>0</v>
      </c>
      <c r="AG614" t="s">
        <v>237</v>
      </c>
      <c r="AH614" t="s">
        <v>229</v>
      </c>
      <c r="AI614" t="s">
        <v>229</v>
      </c>
      <c r="AJ614" s="2" t="s">
        <v>229</v>
      </c>
      <c r="AK614" s="2" t="s">
        <v>244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44" t="b">
        <v>0</v>
      </c>
      <c r="AP614" s="48" t="b">
        <v>0</v>
      </c>
      <c r="AQ614" s="48" t="b">
        <v>0</v>
      </c>
      <c r="AR614" s="48">
        <v>0</v>
      </c>
      <c r="AS614" s="48" t="b">
        <v>0</v>
      </c>
      <c r="AT614" s="7" t="b">
        <v>0</v>
      </c>
      <c r="AU614" s="40" t="str" cm="1">
        <f t="array" ref="AU614">_xlfn.XLOOKUP(PROPERTIES[[#This Row],[VEHIDCODE]],GRAPHICS_PROPERTIES[VEHIDCODE],GRAPHICS_PROPERTIES[TEMPLATE_ID]&amp;GRAPHICS_PROPERTIES[TEMPLATE_AMENDMENT_CODE])</f>
        <v>TPL_01A</v>
      </c>
    </row>
    <row r="615" spans="1:47" x14ac:dyDescent="0.35">
      <c r="A615" s="2" t="s">
        <v>3232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0" t="str">
        <f>_xlfn.XLOOKUP(PROPERTIES[[#This Row],[VEHIDCODE]],CONTROL[VEHIDCODE],CONTROL[ENGLISH])</f>
        <v>UCW 50 c/s Group 7E</v>
      </c>
      <c r="F615" t="s">
        <v>771</v>
      </c>
      <c r="G615" s="40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17</v>
      </c>
      <c r="J615">
        <v>0</v>
      </c>
      <c r="K615">
        <v>7</v>
      </c>
      <c r="L615">
        <v>0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3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0">
        <v>450</v>
      </c>
      <c r="AA615" s="19">
        <f>IFERROR(PROPERTIES[[#This Row],[TE_STARTING_KN]]/(PROPERTIES[[#This Row],[WEIGHT]]*9.81),0)</f>
        <v>0.36993193252441547</v>
      </c>
      <c r="AB615" s="19">
        <v>0</v>
      </c>
      <c r="AC615" s="16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6">
        <v>0</v>
      </c>
      <c r="AF615" s="6">
        <v>0</v>
      </c>
      <c r="AG615" t="s">
        <v>233</v>
      </c>
      <c r="AH615" t="s">
        <v>229</v>
      </c>
      <c r="AI615" t="s">
        <v>229</v>
      </c>
      <c r="AJ615" s="2" t="s">
        <v>229</v>
      </c>
      <c r="AK615" s="2" t="s">
        <v>244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44" t="b">
        <v>0</v>
      </c>
      <c r="AP615" s="48" t="b">
        <v>0</v>
      </c>
      <c r="AQ615" s="48" t="b">
        <v>0</v>
      </c>
      <c r="AR615" s="48">
        <v>0</v>
      </c>
      <c r="AS615" s="48" t="b">
        <v>0</v>
      </c>
      <c r="AT615" s="7" t="b">
        <v>0</v>
      </c>
      <c r="AU615" s="40" t="str" cm="1">
        <f t="array" ref="AU615">_xlfn.XLOOKUP(PROPERTIES[[#This Row],[VEHIDCODE]],GRAPHICS_PROPERTIES[VEHIDCODE],GRAPHICS_PROPERTIES[TEMPLATE_ID]&amp;GRAPHICS_PROPERTIES[TEMPLATE_AMENDMENT_CODE])</f>
        <v>TPL_01A</v>
      </c>
    </row>
    <row r="616" spans="1:47" x14ac:dyDescent="0.35">
      <c r="A616" s="2" t="s">
        <v>3233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0" t="str">
        <f>_xlfn.XLOOKUP(PROPERTIES[[#This Row],[VEHIDCODE]],CONTROL[VEHIDCODE],CONTROL[ENGLISH])</f>
        <v>General Motors GM5FC</v>
      </c>
      <c r="F616" t="s">
        <v>771</v>
      </c>
      <c r="G616" s="40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17</v>
      </c>
      <c r="J616">
        <v>0</v>
      </c>
      <c r="K616">
        <v>8</v>
      </c>
      <c r="L616">
        <v>0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3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0">
        <v>580</v>
      </c>
      <c r="AA616" s="19">
        <f>IFERROR(PROPERTIES[[#This Row],[TE_STARTING_KN]]/(PROPERTIES[[#This Row],[WEIGHT]]*9.81),0)</f>
        <v>0.34374036934310026</v>
      </c>
      <c r="AB616" s="19">
        <v>0</v>
      </c>
      <c r="AC616" s="16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6">
        <v>0</v>
      </c>
      <c r="AF616" s="6">
        <v>0</v>
      </c>
      <c r="AG616" t="s">
        <v>233</v>
      </c>
      <c r="AH616" t="s">
        <v>229</v>
      </c>
      <c r="AI616" t="s">
        <v>229</v>
      </c>
      <c r="AJ616" s="2" t="s">
        <v>229</v>
      </c>
      <c r="AK616" s="2" t="s">
        <v>244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44" t="b">
        <v>0</v>
      </c>
      <c r="AP616" s="48" t="b">
        <v>0</v>
      </c>
      <c r="AQ616" s="48" t="b">
        <v>0</v>
      </c>
      <c r="AR616" s="48">
        <v>0</v>
      </c>
      <c r="AS616" s="48" t="b">
        <v>0</v>
      </c>
      <c r="AT616" s="7" t="b">
        <v>0</v>
      </c>
      <c r="AU616" s="40" t="str" cm="1">
        <f t="array" ref="AU616">_xlfn.XLOOKUP(PROPERTIES[[#This Row],[VEHIDCODE]],GRAPHICS_PROPERTIES[VEHIDCODE],GRAPHICS_PROPERTIES[TEMPLATE_ID]&amp;GRAPHICS_PROPERTIES[TEMPLATE_AMENDMENT_CODE])</f>
        <v>TPL_01A</v>
      </c>
    </row>
    <row r="617" spans="1:47" x14ac:dyDescent="0.35">
      <c r="A617" s="2" t="s">
        <v>3234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0" t="str">
        <f>_xlfn.XLOOKUP(PROPERTIES[[#This Row],[VEHIDCODE]],CONTROL[VEHIDCODE],CONTROL[ENGLISH])</f>
        <v>Brush EF Class</v>
      </c>
      <c r="F617" t="s">
        <v>697</v>
      </c>
      <c r="G617" s="40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17</v>
      </c>
      <c r="J617">
        <v>0</v>
      </c>
      <c r="K617">
        <v>8</v>
      </c>
      <c r="L617">
        <v>0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3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0">
        <v>360</v>
      </c>
      <c r="AA617" s="19">
        <f>IFERROR(PROPERTIES[[#This Row],[TE_STARTING_KN]]/(PROPERTIES[[#This Row],[WEIGHT]]*9.81),0)</f>
        <v>0.3429649318357198</v>
      </c>
      <c r="AB617" s="19">
        <v>0</v>
      </c>
      <c r="AC617" s="16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6">
        <v>0</v>
      </c>
      <c r="AF617" s="6">
        <v>0</v>
      </c>
      <c r="AG617" t="s">
        <v>232</v>
      </c>
      <c r="AH617" t="s">
        <v>229</v>
      </c>
      <c r="AI617" t="s">
        <v>229</v>
      </c>
      <c r="AJ617" s="2" t="s">
        <v>229</v>
      </c>
      <c r="AK617" s="2" t="s">
        <v>244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44" t="b">
        <v>0</v>
      </c>
      <c r="AP617" s="48" t="b">
        <v>0</v>
      </c>
      <c r="AQ617" s="48" t="b">
        <v>0</v>
      </c>
      <c r="AR617" s="48">
        <v>0</v>
      </c>
      <c r="AS617" s="48" t="b">
        <v>0</v>
      </c>
      <c r="AT617" s="7" t="b">
        <v>0</v>
      </c>
      <c r="AU617" s="40" t="str" cm="1">
        <f t="array" ref="AU617">_xlfn.XLOOKUP(PROPERTIES[[#This Row],[VEHIDCODE]],GRAPHICS_PROPERTIES[VEHIDCODE],GRAPHICS_PROPERTIES[TEMPLATE_ID]&amp;GRAPHICS_PROPERTIES[TEMPLATE_AMENDMENT_CODE])</f>
        <v>TPL_01A</v>
      </c>
    </row>
    <row r="618" spans="1:47" x14ac:dyDescent="0.35">
      <c r="A618" s="2" t="s">
        <v>3235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0" t="str">
        <f>_xlfn.XLOOKUP(PROPERTIES[[#This Row],[VEHIDCODE]],CONTROL[VEHIDCODE],CONTROL[ENGLISH])</f>
        <v>Nippon Sharyo Odakyu 3100 series NSE</v>
      </c>
      <c r="F618" t="s">
        <v>640</v>
      </c>
      <c r="G618" s="40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15</v>
      </c>
      <c r="J618">
        <v>48</v>
      </c>
      <c r="K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3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0">
        <v>35</v>
      </c>
      <c r="AA618" s="19">
        <f>IFERROR(PROPERTIES[[#This Row],[TE_STARTING_KN]]/(PROPERTIES[[#This Row],[WEIGHT]]*9.81),0)</f>
        <v>0.12562633702315831</v>
      </c>
      <c r="AB618" s="19">
        <v>0</v>
      </c>
      <c r="AC618" s="16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6">
        <v>42</v>
      </c>
      <c r="AF618" s="6">
        <v>8</v>
      </c>
      <c r="AG618" t="s">
        <v>238</v>
      </c>
      <c r="AH618" t="s">
        <v>229</v>
      </c>
      <c r="AI618" t="s">
        <v>229</v>
      </c>
      <c r="AJ618" s="2" t="s">
        <v>229</v>
      </c>
      <c r="AK618" s="2" t="s">
        <v>244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44" t="b">
        <v>0</v>
      </c>
      <c r="AP618" s="48" t="b">
        <v>0</v>
      </c>
      <c r="AQ618" s="48" t="b">
        <v>0</v>
      </c>
      <c r="AR618" s="48">
        <v>0</v>
      </c>
      <c r="AS618" s="48" t="b">
        <v>0</v>
      </c>
      <c r="AT618" s="7" t="b">
        <v>0</v>
      </c>
      <c r="AU618" s="40" t="str" cm="1">
        <f t="array" ref="AU618">_xlfn.XLOOKUP(PROPERTIES[[#This Row],[VEHIDCODE]],GRAPHICS_PROPERTIES[VEHIDCODE],GRAPHICS_PROPERTIES[TEMPLATE_ID]&amp;GRAPHICS_PROPERTIES[TEMPLATE_AMENDMENT_CODE])</f>
        <v>TPL_02D</v>
      </c>
    </row>
    <row r="619" spans="1:47" x14ac:dyDescent="0.35">
      <c r="A619" s="2" t="s">
        <v>3236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0" t="str">
        <f>_xlfn.XLOOKUP(PROPERTIES[[#This Row],[VEHIDCODE]],CONTROL[VEHIDCODE],CONTROL[ENGLISH])</f>
        <v>Nippon Sharyo Odakyu 10000 series HiSE</v>
      </c>
      <c r="F619" t="s">
        <v>640</v>
      </c>
      <c r="G619" s="40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15</v>
      </c>
      <c r="J619">
        <v>46</v>
      </c>
      <c r="K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3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0">
        <v>42</v>
      </c>
      <c r="AA619" s="19">
        <f>IFERROR(PROPERTIES[[#This Row],[TE_STARTING_KN]]/(PROPERTIES[[#This Row],[WEIGHT]]*9.81),0)</f>
        <v>0.13092799895257601</v>
      </c>
      <c r="AB619" s="19">
        <v>0</v>
      </c>
      <c r="AC619" s="16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6">
        <v>44</v>
      </c>
      <c r="AF619" s="6">
        <v>8</v>
      </c>
      <c r="AG619" t="s">
        <v>238</v>
      </c>
      <c r="AH619" t="s">
        <v>229</v>
      </c>
      <c r="AI619" t="s">
        <v>229</v>
      </c>
      <c r="AJ619" s="2" t="s">
        <v>229</v>
      </c>
      <c r="AK619" s="2" t="s">
        <v>244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44" t="b">
        <v>0</v>
      </c>
      <c r="AP619" s="48" t="b">
        <v>0</v>
      </c>
      <c r="AQ619" s="48" t="b">
        <v>0</v>
      </c>
      <c r="AR619" s="48">
        <v>0</v>
      </c>
      <c r="AS619" s="48" t="b">
        <v>0</v>
      </c>
      <c r="AT619" s="7" t="b">
        <v>0</v>
      </c>
      <c r="AU619" s="40" t="str" cm="1">
        <f t="array" ref="AU619">_xlfn.XLOOKUP(PROPERTIES[[#This Row],[VEHIDCODE]],GRAPHICS_PROPERTIES[VEHIDCODE],GRAPHICS_PROPERTIES[TEMPLATE_ID]&amp;GRAPHICS_PROPERTIES[TEMPLATE_AMENDMENT_CODE])</f>
        <v>TPL_02D</v>
      </c>
    </row>
    <row r="620" spans="1:47" x14ac:dyDescent="0.35">
      <c r="A620" s="2" t="s">
        <v>3237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0" t="str">
        <f>_xlfn.XLOOKUP(PROPERTIES[[#This Row],[VEHIDCODE]],CONTROL[VEHIDCODE],CONTROL[ENGLISH])</f>
        <v>Comeng/Goninan S-set</v>
      </c>
      <c r="F620" t="s">
        <v>541</v>
      </c>
      <c r="G620" s="40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15</v>
      </c>
      <c r="J620">
        <v>112</v>
      </c>
      <c r="K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3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0">
        <v>110</v>
      </c>
      <c r="AA620" s="19">
        <f>IFERROR(PROPERTIES[[#This Row],[TE_STARTING_KN]]/(PROPERTIES[[#This Row],[WEIGHT]]*9.81),0)</f>
        <v>0.2385754874530982</v>
      </c>
      <c r="AB620" s="19">
        <v>0</v>
      </c>
      <c r="AC620" s="16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6">
        <v>130</v>
      </c>
      <c r="AF620" s="6">
        <v>8</v>
      </c>
      <c r="AG620" t="s">
        <v>232</v>
      </c>
      <c r="AH620" t="s">
        <v>229</v>
      </c>
      <c r="AI620" t="s">
        <v>229</v>
      </c>
      <c r="AJ620" s="2" t="s">
        <v>229</v>
      </c>
      <c r="AK620" s="2" t="s">
        <v>244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44" t="b">
        <v>0</v>
      </c>
      <c r="AP620" s="48" t="b">
        <v>0</v>
      </c>
      <c r="AQ620" s="48" t="b">
        <v>0</v>
      </c>
      <c r="AR620" s="48">
        <v>0</v>
      </c>
      <c r="AS620" s="48" t="b">
        <v>0</v>
      </c>
      <c r="AT620" s="7" t="b">
        <v>0</v>
      </c>
      <c r="AU620" s="40" t="str" cm="1">
        <f t="array" ref="AU620">_xlfn.XLOOKUP(PROPERTIES[[#This Row],[VEHIDCODE]],GRAPHICS_PROPERTIES[VEHIDCODE],GRAPHICS_PROPERTIES[TEMPLATE_ID]&amp;GRAPHICS_PROPERTIES[TEMPLATE_AMENDMENT_CODE])</f>
        <v>TPL_02A</v>
      </c>
    </row>
    <row r="621" spans="1:47" x14ac:dyDescent="0.35">
      <c r="A621" s="2" t="s">
        <v>3238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0" t="str">
        <f>_xlfn.XLOOKUP(PROPERTIES[[#This Row],[VEHIDCODE]],CONTROL[VEHIDCODE],CONTROL[ENGLISH])</f>
        <v>UGL Rail H-set 'OSCAR'</v>
      </c>
      <c r="F621" t="s">
        <v>541</v>
      </c>
      <c r="G621" s="40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15</v>
      </c>
      <c r="J621">
        <v>120</v>
      </c>
      <c r="K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3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0">
        <v>110</v>
      </c>
      <c r="AA621" s="19">
        <f>IFERROR(PROPERTIES[[#This Row],[TE_STARTING_KN]]/(PROPERTIES[[#This Row],[WEIGHT]]*9.81),0)</f>
        <v>0.19672013877711605</v>
      </c>
      <c r="AB621" s="19">
        <v>0</v>
      </c>
      <c r="AC621" s="16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6">
        <v>120</v>
      </c>
      <c r="AF621" s="6">
        <v>8</v>
      </c>
      <c r="AG621" t="s">
        <v>232</v>
      </c>
      <c r="AH621" t="s">
        <v>229</v>
      </c>
      <c r="AI621" t="s">
        <v>229</v>
      </c>
      <c r="AJ621" s="2" t="s">
        <v>229</v>
      </c>
      <c r="AK621" s="2" t="s">
        <v>244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44" t="b">
        <v>0</v>
      </c>
      <c r="AP621" s="48" t="b">
        <v>0</v>
      </c>
      <c r="AQ621" s="48" t="b">
        <v>0</v>
      </c>
      <c r="AR621" s="48">
        <v>0</v>
      </c>
      <c r="AS621" s="48" t="b">
        <v>0</v>
      </c>
      <c r="AT621" s="7" t="b">
        <v>0</v>
      </c>
      <c r="AU621" s="40" t="str" cm="1">
        <f t="array" ref="AU621">_xlfn.XLOOKUP(PROPERTIES[[#This Row],[VEHIDCODE]],GRAPHICS_PROPERTIES[VEHIDCODE],GRAPHICS_PROPERTIES[TEMPLATE_ID]&amp;GRAPHICS_PROPERTIES[TEMPLATE_AMENDMENT_CODE])</f>
        <v>TPL_02A</v>
      </c>
    </row>
    <row r="622" spans="1:47" x14ac:dyDescent="0.35">
      <c r="A622" s="2" t="s">
        <v>3239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0" t="str">
        <f>_xlfn.XLOOKUP(PROPERTIES[[#This Row],[VEHIDCODE]],CONTROL[VEHIDCODE],CONTROL[ENGLISH])</f>
        <v>Victorian Railways 'Swing Door'</v>
      </c>
      <c r="F622" t="s">
        <v>541</v>
      </c>
      <c r="G622" s="40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15</v>
      </c>
      <c r="J622">
        <v>48</v>
      </c>
      <c r="K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3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0">
        <f>110/2</f>
        <v>55</v>
      </c>
      <c r="AA622" s="19">
        <f>IFERROR(PROPERTIES[[#This Row],[TE_STARTING_KN]]/(PROPERTIES[[#This Row],[WEIGHT]]*9.81),0)</f>
        <v>0.1192877437265491</v>
      </c>
      <c r="AB622" s="19">
        <v>0</v>
      </c>
      <c r="AC622" s="16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6">
        <v>75</v>
      </c>
      <c r="AF622" s="6">
        <v>8</v>
      </c>
      <c r="AG622" t="s">
        <v>232</v>
      </c>
      <c r="AH622" t="s">
        <v>229</v>
      </c>
      <c r="AI622" t="s">
        <v>229</v>
      </c>
      <c r="AJ622" s="2" t="s">
        <v>229</v>
      </c>
      <c r="AK622" s="2" t="s">
        <v>244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44" t="b">
        <v>0</v>
      </c>
      <c r="AP622" s="48" t="b">
        <v>0</v>
      </c>
      <c r="AQ622" s="48" t="b">
        <v>0</v>
      </c>
      <c r="AR622" s="48">
        <v>0</v>
      </c>
      <c r="AS622" s="48" t="b">
        <v>0</v>
      </c>
      <c r="AT622" s="7" t="b">
        <v>0</v>
      </c>
      <c r="AU622" s="40" t="str" cm="1">
        <f t="array" ref="AU622">_xlfn.XLOOKUP(PROPERTIES[[#This Row],[VEHIDCODE]],GRAPHICS_PROPERTIES[VEHIDCODE],GRAPHICS_PROPERTIES[TEMPLATE_ID]&amp;GRAPHICS_PROPERTIES[TEMPLATE_AMENDMENT_CODE])</f>
        <v>TPL_02A</v>
      </c>
    </row>
    <row r="623" spans="1:47" x14ac:dyDescent="0.35">
      <c r="A623" s="2" t="s">
        <v>3478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0" t="str">
        <f>_xlfn.XLOOKUP(PROPERTIES[[#This Row],[VEHIDCODE]],CONTROL[VEHIDCODE],CONTROL[ENGLISH])</f>
        <v>Ganz-MAVAG EM/ET</v>
      </c>
      <c r="F623" t="s">
        <v>697</v>
      </c>
      <c r="G623" s="40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15</v>
      </c>
      <c r="J623">
        <v>74</v>
      </c>
      <c r="K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3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0">
        <v>50</v>
      </c>
      <c r="AA623" s="19">
        <f>IFERROR(PROPERTIES[[#This Row],[TE_STARTING_KN]]/(PROPERTIES[[#This Row],[WEIGHT]]*9.81),0)</f>
        <v>0.13555425423471487</v>
      </c>
      <c r="AB623" s="19">
        <v>0</v>
      </c>
      <c r="AC623" s="16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6">
        <v>74</v>
      </c>
      <c r="AF623" s="6">
        <v>8</v>
      </c>
      <c r="AG623" t="s">
        <v>232</v>
      </c>
      <c r="AH623" t="s">
        <v>229</v>
      </c>
      <c r="AI623" t="s">
        <v>229</v>
      </c>
      <c r="AJ623" s="2" t="s">
        <v>229</v>
      </c>
      <c r="AK623" s="2" t="s">
        <v>244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44" t="b">
        <v>0</v>
      </c>
      <c r="AP623" s="48" t="b">
        <v>0</v>
      </c>
      <c r="AQ623" s="48" t="b">
        <v>1</v>
      </c>
      <c r="AR623" s="48">
        <v>0</v>
      </c>
      <c r="AS623" s="48" t="b">
        <v>0</v>
      </c>
      <c r="AT623" s="7" t="b">
        <v>1</v>
      </c>
      <c r="AU623" s="40" t="str" cm="1">
        <f t="array" ref="AU623">_xlfn.XLOOKUP(PROPERTIES[[#This Row],[VEHIDCODE]],GRAPHICS_PROPERTIES[VEHIDCODE],GRAPHICS_PROPERTIES[TEMPLATE_ID]&amp;GRAPHICS_PROPERTIES[TEMPLATE_AMENDMENT_CODE])</f>
        <v>TPL_02A</v>
      </c>
    </row>
    <row r="624" spans="1:47" x14ac:dyDescent="0.35">
      <c r="A624" s="2" t="s">
        <v>3241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0" t="str">
        <f>_xlfn.XLOOKUP(PROPERTIES[[#This Row],[VEHIDCODE]],CONTROL[VEHIDCODE],CONTROL[ENGLISH])</f>
        <v>Metro-Cammell 5M2</v>
      </c>
      <c r="F624" t="s">
        <v>771</v>
      </c>
      <c r="G624" s="40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15</v>
      </c>
      <c r="J624">
        <f>INT(176/2)</f>
        <v>88</v>
      </c>
      <c r="K624">
        <v>7</v>
      </c>
      <c r="L624">
        <v>0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3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0">
        <v>160</v>
      </c>
      <c r="AA624" s="19">
        <f>IFERROR(PROPERTIES[[#This Row],[TE_STARTING_KN]]/(PROPERTIES[[#This Row],[WEIGHT]]*9.81),0)</f>
        <v>0.27183146449201495</v>
      </c>
      <c r="AB624" s="19">
        <v>0</v>
      </c>
      <c r="AC624" s="16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6">
        <f>149+52</f>
        <v>201</v>
      </c>
      <c r="AF624" s="6">
        <v>7</v>
      </c>
      <c r="AG624" t="s">
        <v>233</v>
      </c>
      <c r="AH624" t="s">
        <v>229</v>
      </c>
      <c r="AI624" t="s">
        <v>229</v>
      </c>
      <c r="AJ624" s="2" t="s">
        <v>229</v>
      </c>
      <c r="AK624" s="2" t="s">
        <v>244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44" t="b">
        <v>0</v>
      </c>
      <c r="AP624" s="48" t="b">
        <v>0</v>
      </c>
      <c r="AQ624" s="48" t="b">
        <v>0</v>
      </c>
      <c r="AR624" s="48">
        <v>0</v>
      </c>
      <c r="AS624" s="48" t="b">
        <v>0</v>
      </c>
      <c r="AT624" s="7" t="b">
        <v>0</v>
      </c>
      <c r="AU624" s="40" t="str" cm="1">
        <f t="array" ref="AU624">_xlfn.XLOOKUP(PROPERTIES[[#This Row],[VEHIDCODE]],GRAPHICS_PROPERTIES[VEHIDCODE],GRAPHICS_PROPERTIES[TEMPLATE_ID]&amp;GRAPHICS_PROPERTIES[TEMPLATE_AMENDMENT_CODE])</f>
        <v>TPL_02A</v>
      </c>
    </row>
    <row r="625" spans="1:47" x14ac:dyDescent="0.35">
      <c r="A625" s="2" t="s">
        <v>3242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0" t="str">
        <f>_xlfn.XLOOKUP(PROPERTIES[[#This Row],[VEHIDCODE]],CONTROL[VEHIDCODE],CONTROL[ENGLISH])</f>
        <v>Alstom X'Trapolis 100</v>
      </c>
      <c r="F625" t="s">
        <v>573</v>
      </c>
      <c r="G625" s="40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15</v>
      </c>
      <c r="J625">
        <v>72</v>
      </c>
      <c r="K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3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0">
        <v>95</v>
      </c>
      <c r="AA625" s="19">
        <f>IFERROR(PROPERTIES[[#This Row],[TE_STARTING_KN]]/(PROPERTIES[[#This Row],[WEIGHT]]*9.81),0)</f>
        <v>0.2252092075006519</v>
      </c>
      <c r="AB625" s="19">
        <v>0</v>
      </c>
      <c r="AC625" s="16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6">
        <v>96</v>
      </c>
      <c r="AF625" s="6">
        <v>8</v>
      </c>
      <c r="AG625" t="s">
        <v>237</v>
      </c>
      <c r="AH625" t="s">
        <v>232</v>
      </c>
      <c r="AI625" t="s">
        <v>229</v>
      </c>
      <c r="AJ625" s="2" t="s">
        <v>229</v>
      </c>
      <c r="AK625" s="2" t="s">
        <v>244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44" t="b">
        <v>0</v>
      </c>
      <c r="AP625" s="48" t="b">
        <v>0</v>
      </c>
      <c r="AQ625" s="48" t="b">
        <v>0</v>
      </c>
      <c r="AR625" s="48">
        <v>0</v>
      </c>
      <c r="AS625" s="48" t="b">
        <v>0</v>
      </c>
      <c r="AT625" s="7" t="b">
        <v>0</v>
      </c>
      <c r="AU625" s="40" t="str" cm="1">
        <f t="array" ref="AU625">_xlfn.XLOOKUP(PROPERTIES[[#This Row],[VEHIDCODE]],GRAPHICS_PROPERTIES[VEHIDCODE],GRAPHICS_PROPERTIES[TEMPLATE_ID]&amp;GRAPHICS_PROPERTIES[TEMPLATE_AMENDMENT_CODE])</f>
        <v>TPL_02A</v>
      </c>
    </row>
    <row r="626" spans="1:47" x14ac:dyDescent="0.35">
      <c r="A626" s="2" t="s">
        <v>3243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0" t="str">
        <f>_xlfn.XLOOKUP(PROPERTIES[[#This Row],[VEHIDCODE]],CONTROL[VEHIDCODE],CONTROL[ENGLISH])</f>
        <v>GEC/Fiat AES Railcar</v>
      </c>
      <c r="F626" t="s">
        <v>573</v>
      </c>
      <c r="G626" s="40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15</v>
      </c>
      <c r="J626">
        <v>88</v>
      </c>
      <c r="K626">
        <v>7</v>
      </c>
      <c r="L626">
        <v>0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3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0">
        <v>85</v>
      </c>
      <c r="AA626" s="19">
        <f>IFERROR(PROPERTIES[[#This Row],[TE_STARTING_KN]]/(PROPERTIES[[#This Row],[WEIGHT]]*9.81),0)</f>
        <v>0.16662746020544186</v>
      </c>
      <c r="AB626" s="19">
        <v>0</v>
      </c>
      <c r="AC626" s="16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6">
        <v>92</v>
      </c>
      <c r="AF626" s="6">
        <v>7</v>
      </c>
      <c r="AG626" t="s">
        <v>237</v>
      </c>
      <c r="AH626" t="s">
        <v>229</v>
      </c>
      <c r="AI626" t="s">
        <v>229</v>
      </c>
      <c r="AJ626" s="2" t="s">
        <v>229</v>
      </c>
      <c r="AK626" s="2" t="s">
        <v>244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44" t="b">
        <v>0</v>
      </c>
      <c r="AP626" s="48" t="b">
        <v>0</v>
      </c>
      <c r="AQ626" s="48" t="b">
        <v>1</v>
      </c>
      <c r="AR626" s="48">
        <v>0</v>
      </c>
      <c r="AS626" s="48" t="b">
        <v>0</v>
      </c>
      <c r="AT626" s="7" t="b">
        <v>1</v>
      </c>
      <c r="AU626" s="40" t="str" cm="1">
        <f t="array" ref="AU626">_xlfn.XLOOKUP(PROPERTIES[[#This Row],[VEHIDCODE]],GRAPHICS_PROPERTIES[VEHIDCODE],GRAPHICS_PROPERTIES[TEMPLATE_ID]&amp;GRAPHICS_PROPERTIES[TEMPLATE_AMENDMENT_CODE])</f>
        <v>TPL_02A</v>
      </c>
    </row>
    <row r="627" spans="1:47" x14ac:dyDescent="0.35">
      <c r="A627" s="2" t="s">
        <v>3244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0" t="str">
        <f>_xlfn.XLOOKUP(PROPERTIES[[#This Row],[VEHIDCODE]],CONTROL[VEHIDCODE],CONTROL[ENGLISH])</f>
        <v>Ganz-MAVAG YZ-E</v>
      </c>
      <c r="F627" t="s">
        <v>748</v>
      </c>
      <c r="G627" s="40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15</v>
      </c>
      <c r="J627">
        <v>150</v>
      </c>
      <c r="K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3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0">
        <v>125</v>
      </c>
      <c r="AA627" s="19">
        <f>IFERROR(PROPERTIES[[#This Row],[TE_STARTING_KN]]/(PROPERTIES[[#This Row],[WEIGHT]]*9.81),0)</f>
        <v>0.26362965306337655</v>
      </c>
      <c r="AB627" s="19">
        <v>0</v>
      </c>
      <c r="AC627" s="16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6">
        <v>150</v>
      </c>
      <c r="AF627" s="6">
        <v>8</v>
      </c>
      <c r="AG627" t="s">
        <v>233</v>
      </c>
      <c r="AH627" t="s">
        <v>229</v>
      </c>
      <c r="AI627" t="s">
        <v>229</v>
      </c>
      <c r="AJ627" s="2" t="s">
        <v>229</v>
      </c>
      <c r="AK627" s="2" t="s">
        <v>244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44" t="b">
        <v>0</v>
      </c>
      <c r="AP627" s="48" t="b">
        <v>0</v>
      </c>
      <c r="AQ627" s="48" t="b">
        <v>0</v>
      </c>
      <c r="AR627" s="48">
        <v>0</v>
      </c>
      <c r="AS627" s="48" t="b">
        <v>0</v>
      </c>
      <c r="AT627" s="7" t="b">
        <v>0</v>
      </c>
      <c r="AU627" s="40" t="str" cm="1">
        <f t="array" ref="AU627">_xlfn.XLOOKUP(PROPERTIES[[#This Row],[VEHIDCODE]],GRAPHICS_PROPERTIES[VEHIDCODE],GRAPHICS_PROPERTIES[TEMPLATE_ID]&amp;GRAPHICS_PROPERTIES[TEMPLATE_AMENDMENT_CODE])</f>
        <v>TPL_02D</v>
      </c>
    </row>
    <row r="628" spans="1:47" x14ac:dyDescent="0.35">
      <c r="A628" s="2" t="s">
        <v>3245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0" t="str">
        <f>_xlfn.XLOOKUP(PROPERTIES[[#This Row],[VEHIDCODE]],CONTROL[VEHIDCODE],CONTROL[ENGLISH])</f>
        <v>Walkers Tilt Train 'ETT'</v>
      </c>
      <c r="F628" t="s">
        <v>541</v>
      </c>
      <c r="G628" s="40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15</v>
      </c>
      <c r="J628">
        <v>47</v>
      </c>
      <c r="K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3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0">
        <v>105</v>
      </c>
      <c r="AA628" s="19">
        <f>IFERROR(PROPERTIES[[#This Row],[TE_STARTING_KN]]/(PROPERTIES[[#This Row],[WEIGHT]]*9.81),0)</f>
        <v>0.23785253143051305</v>
      </c>
      <c r="AB628" s="19">
        <v>0</v>
      </c>
      <c r="AC628" s="16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6">
        <v>56</v>
      </c>
      <c r="AF628" s="6">
        <v>8</v>
      </c>
      <c r="AG628" t="s">
        <v>232</v>
      </c>
      <c r="AH628" t="s">
        <v>229</v>
      </c>
      <c r="AI628" t="s">
        <v>229</v>
      </c>
      <c r="AJ628" s="2" t="s">
        <v>229</v>
      </c>
      <c r="AK628" s="2" t="s">
        <v>244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44" t="b">
        <v>0</v>
      </c>
      <c r="AP628" s="48" t="b">
        <v>0</v>
      </c>
      <c r="AQ628" s="48" t="b">
        <v>1</v>
      </c>
      <c r="AR628" s="48">
        <v>0</v>
      </c>
      <c r="AS628" s="48" t="b">
        <v>0</v>
      </c>
      <c r="AT628" s="7" t="b">
        <v>0</v>
      </c>
      <c r="AU628" s="40" t="str" cm="1">
        <f t="array" ref="AU628">_xlfn.XLOOKUP(PROPERTIES[[#This Row],[VEHIDCODE]],GRAPHICS_PROPERTIES[VEHIDCODE],GRAPHICS_PROPERTIES[TEMPLATE_ID]&amp;GRAPHICS_PROPERTIES[TEMPLATE_AMENDMENT_CODE])</f>
        <v>TPL_02D</v>
      </c>
    </row>
    <row r="629" spans="1:47" x14ac:dyDescent="0.35">
      <c r="A629" s="2" t="s">
        <v>3246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0" t="str">
        <f>_xlfn.XLOOKUP(PROPERTIES[[#This Row],[VEHIDCODE]],CONTROL[VEHIDCODE],CONTROL[ENGLISH])</f>
        <v>NEVZ-TEVZ VL15</v>
      </c>
      <c r="F629" t="s">
        <v>716</v>
      </c>
      <c r="G629" s="40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17</v>
      </c>
      <c r="J629">
        <v>0</v>
      </c>
      <c r="K629">
        <v>8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3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0">
        <f>2*530</f>
        <v>1060</v>
      </c>
      <c r="AA629" s="19">
        <f>IFERROR(PROPERTIES[[#This Row],[TE_STARTING_KN]]/(PROPERTIES[[#This Row],[WEIGHT]]*9.81),0)</f>
        <v>0.3601766904519198</v>
      </c>
      <c r="AB629" s="19">
        <v>0</v>
      </c>
      <c r="AC629" s="16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6">
        <v>0</v>
      </c>
      <c r="AF629" s="6">
        <v>8</v>
      </c>
      <c r="AG629" t="s">
        <v>1948</v>
      </c>
      <c r="AH629" t="s">
        <v>229</v>
      </c>
      <c r="AI629" t="s">
        <v>229</v>
      </c>
      <c r="AJ629" s="2" t="s">
        <v>229</v>
      </c>
      <c r="AK629" s="2" t="s">
        <v>244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44" t="b">
        <v>0</v>
      </c>
      <c r="AP629" s="48" t="b">
        <v>0</v>
      </c>
      <c r="AQ629" s="48" t="b">
        <v>0</v>
      </c>
      <c r="AR629" s="48">
        <v>0</v>
      </c>
      <c r="AS629" s="48" t="b">
        <v>0</v>
      </c>
      <c r="AT629" s="7" t="b">
        <v>0</v>
      </c>
      <c r="AU629" s="40" t="str" cm="1">
        <f t="array" ref="AU629">_xlfn.XLOOKUP(PROPERTIES[[#This Row],[VEHIDCODE]],GRAPHICS_PROPERTIES[VEHIDCODE],GRAPHICS_PROPERTIES[TEMPLATE_ID]&amp;GRAPHICS_PROPERTIES[TEMPLATE_AMENDMENT_CODE])</f>
        <v>TPL_03D</v>
      </c>
    </row>
    <row r="630" spans="1:47" x14ac:dyDescent="0.35">
      <c r="A630" s="2" t="s">
        <v>3247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0" t="str">
        <f>_xlfn.XLOOKUP(PROPERTIES[[#This Row],[VEHIDCODE]],CONTROL[VEHIDCODE],CONTROL[ENGLISH])</f>
        <v>TEVZ VL11</v>
      </c>
      <c r="F630" t="s">
        <v>716</v>
      </c>
      <c r="G630" s="40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17</v>
      </c>
      <c r="J630">
        <v>0</v>
      </c>
      <c r="K630">
        <v>8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3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0">
        <f>245*2</f>
        <v>490</v>
      </c>
      <c r="AA630" s="19">
        <f>IFERROR(PROPERTIES[[#This Row],[TE_STARTING_KN]]/(PROPERTIES[[#This Row],[WEIGHT]]*9.81),0)</f>
        <v>0.27146212826308558</v>
      </c>
      <c r="AB630" s="19">
        <v>0</v>
      </c>
      <c r="AC630" s="16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6">
        <v>0</v>
      </c>
      <c r="AF630" s="6">
        <v>8</v>
      </c>
      <c r="AG630" t="s">
        <v>1948</v>
      </c>
      <c r="AH630" t="s">
        <v>229</v>
      </c>
      <c r="AI630" t="s">
        <v>229</v>
      </c>
      <c r="AJ630" s="2" t="s">
        <v>229</v>
      </c>
      <c r="AK630" s="2" t="s">
        <v>244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44" t="b">
        <v>0</v>
      </c>
      <c r="AP630" s="48" t="b">
        <v>0</v>
      </c>
      <c r="AQ630" s="48" t="b">
        <v>0</v>
      </c>
      <c r="AR630" s="48">
        <v>0</v>
      </c>
      <c r="AS630" s="48" t="b">
        <v>0</v>
      </c>
      <c r="AT630" s="7" t="b">
        <v>0</v>
      </c>
      <c r="AU630" s="40" t="str" cm="1">
        <f t="array" ref="AU630">_xlfn.XLOOKUP(PROPERTIES[[#This Row],[VEHIDCODE]],GRAPHICS_PROPERTIES[VEHIDCODE],GRAPHICS_PROPERTIES[TEMPLATE_ID]&amp;GRAPHICS_PROPERTIES[TEMPLATE_AMENDMENT_CODE])</f>
        <v>TPL_03D</v>
      </c>
    </row>
    <row r="631" spans="1:47" x14ac:dyDescent="0.35">
      <c r="A631" s="2" t="s">
        <v>3248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0" t="str">
        <f>_xlfn.XLOOKUP(PROPERTIES[[#This Row],[VEHIDCODE]],CONTROL[VEHIDCODE],CONTROL[ENGLISH])</f>
        <v>NEVZ VL22M</v>
      </c>
      <c r="F631" t="s">
        <v>716</v>
      </c>
      <c r="G631" s="40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17</v>
      </c>
      <c r="J631">
        <v>0</v>
      </c>
      <c r="K631">
        <v>8</v>
      </c>
      <c r="L631">
        <v>0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3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0">
        <v>0</v>
      </c>
      <c r="AA631" s="19">
        <f>IFERROR(PROPERTIES[[#This Row],[TE_STARTING_KN]]/(PROPERTIES[[#This Row],[WEIGHT]]*9.81),0)</f>
        <v>0</v>
      </c>
      <c r="AB631" s="19">
        <v>0.39</v>
      </c>
      <c r="AC631" s="16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6">
        <v>0</v>
      </c>
      <c r="AF631" s="6">
        <v>0</v>
      </c>
      <c r="AG631" t="s">
        <v>1948</v>
      </c>
      <c r="AH631" t="s">
        <v>229</v>
      </c>
      <c r="AI631" t="s">
        <v>229</v>
      </c>
      <c r="AJ631" s="2" t="s">
        <v>229</v>
      </c>
      <c r="AK631" s="2" t="s">
        <v>244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44" t="b">
        <v>0</v>
      </c>
      <c r="AP631" s="48" t="b">
        <v>0</v>
      </c>
      <c r="AQ631" s="48" t="b">
        <v>0</v>
      </c>
      <c r="AR631" s="48">
        <v>0</v>
      </c>
      <c r="AS631" s="48" t="b">
        <v>0</v>
      </c>
      <c r="AT631" s="7" t="b">
        <v>0</v>
      </c>
      <c r="AU631" s="40" t="str" cm="1">
        <f t="array" ref="AU631">_xlfn.XLOOKUP(PROPERTIES[[#This Row],[VEHIDCODE]],GRAPHICS_PROPERTIES[VEHIDCODE],GRAPHICS_PROPERTIES[TEMPLATE_ID]&amp;GRAPHICS_PROPERTIES[TEMPLATE_AMENDMENT_CODE])</f>
        <v>TPL_01A</v>
      </c>
    </row>
    <row r="632" spans="1:47" x14ac:dyDescent="0.35">
      <c r="A632" s="2" t="s">
        <v>3249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0" t="str">
        <f>_xlfn.XLOOKUP(PROPERTIES[[#This Row],[VEHIDCODE]],CONTROL[VEHIDCODE],CONTROL[ENGLISH])</f>
        <v>DEVZ DE1</v>
      </c>
      <c r="F632" t="s">
        <v>754</v>
      </c>
      <c r="G632" s="40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17</v>
      </c>
      <c r="J632">
        <v>0</v>
      </c>
      <c r="K632">
        <v>8</v>
      </c>
      <c r="L632">
        <v>0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3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0">
        <v>706</v>
      </c>
      <c r="AA632" s="19">
        <f>IFERROR(PROPERTIES[[#This Row],[TE_STARTING_KN]]/(PROPERTIES[[#This Row],[WEIGHT]]*9.81),0)</f>
        <v>0.39112706643620082</v>
      </c>
      <c r="AB632" s="19">
        <v>0</v>
      </c>
      <c r="AC632" s="16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6">
        <v>0</v>
      </c>
      <c r="AF632" s="6">
        <v>0</v>
      </c>
      <c r="AG632" t="s">
        <v>236</v>
      </c>
      <c r="AH632" t="s">
        <v>229</v>
      </c>
      <c r="AI632" t="s">
        <v>229</v>
      </c>
      <c r="AJ632" s="2" t="s">
        <v>229</v>
      </c>
      <c r="AK632" s="2" t="s">
        <v>244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44" t="b">
        <v>0</v>
      </c>
      <c r="AP632" s="48" t="b">
        <v>0</v>
      </c>
      <c r="AQ632" s="48" t="b">
        <v>0</v>
      </c>
      <c r="AR632" s="48">
        <v>0</v>
      </c>
      <c r="AS632" s="48" t="b">
        <v>0</v>
      </c>
      <c r="AT632" s="7" t="b">
        <v>0</v>
      </c>
      <c r="AU632" s="40" t="str" cm="1">
        <f t="array" ref="AU632">_xlfn.XLOOKUP(PROPERTIES[[#This Row],[VEHIDCODE]],GRAPHICS_PROPERTIES[VEHIDCODE],GRAPHICS_PROPERTIES[TEMPLATE_ID]&amp;GRAPHICS_PROPERTIES[TEMPLATE_AMENDMENT_CODE])</f>
        <v>TPL_03D</v>
      </c>
    </row>
    <row r="633" spans="1:47" x14ac:dyDescent="0.35">
      <c r="A633" s="2" t="s">
        <v>3250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0" t="str">
        <f>_xlfn.XLOOKUP(PROPERTIES[[#This Row],[VEHIDCODE]],CONTROL[VEHIDCODE],CONTROL[ENGLISH])</f>
        <v>Skoda 12E</v>
      </c>
      <c r="F633" t="s">
        <v>716</v>
      </c>
      <c r="G633" s="40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17</v>
      </c>
      <c r="J633">
        <v>0</v>
      </c>
      <c r="K633">
        <v>7</v>
      </c>
      <c r="L633">
        <v>0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3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0">
        <v>260</v>
      </c>
      <c r="AA633" s="19">
        <f>IFERROR(PROPERTIES[[#This Row],[TE_STARTING_KN]]/(PROPERTIES[[#This Row],[WEIGHT]]*9.81),0)</f>
        <v>0.31180667985848776</v>
      </c>
      <c r="AB633" s="19">
        <v>0</v>
      </c>
      <c r="AC633" s="16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6">
        <v>0</v>
      </c>
      <c r="AF633" s="6">
        <v>0</v>
      </c>
      <c r="AG633" t="s">
        <v>1948</v>
      </c>
      <c r="AH633" t="s">
        <v>229</v>
      </c>
      <c r="AI633" t="s">
        <v>229</v>
      </c>
      <c r="AJ633" s="2" t="s">
        <v>229</v>
      </c>
      <c r="AK633" s="2" t="s">
        <v>244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44" t="b">
        <v>0</v>
      </c>
      <c r="AP633" s="48" t="b">
        <v>0</v>
      </c>
      <c r="AQ633" s="48" t="b">
        <v>0</v>
      </c>
      <c r="AR633" s="48">
        <v>0</v>
      </c>
      <c r="AS633" s="48" t="b">
        <v>0</v>
      </c>
      <c r="AT633" s="7" t="b">
        <v>0</v>
      </c>
      <c r="AU633" s="40" t="str" cm="1">
        <f t="array" ref="AU633">_xlfn.XLOOKUP(PROPERTIES[[#This Row],[VEHIDCODE]],GRAPHICS_PROPERTIES[VEHIDCODE],GRAPHICS_PROPERTIES[TEMPLATE_ID]&amp;GRAPHICS_PROPERTIES[TEMPLATE_AMENDMENT_CODE])</f>
        <v>TPL_01A</v>
      </c>
    </row>
    <row r="634" spans="1:47" x14ac:dyDescent="0.35">
      <c r="A634" s="2" t="s">
        <v>3251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0" t="str">
        <f>_xlfn.XLOOKUP(PROPERTIES[[#This Row],[VEHIDCODE]],CONTROL[VEHIDCODE],CONTROL[ENGLISH])</f>
        <v>Skoda 82E</v>
      </c>
      <c r="F634" t="s">
        <v>583</v>
      </c>
      <c r="G634" s="40" t="str">
        <f>_xlfn.XLOOKUP(PROPERTIES[[#This Row],[COUNTRY]],COUNTRIES[COUNTRY_DESCRIPTION],COUNTRIES[COUNTRY_LABEL],"")</f>
        <v>CZ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17</v>
      </c>
      <c r="J634">
        <v>0</v>
      </c>
      <c r="K634">
        <v>7</v>
      </c>
      <c r="L634">
        <v>0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3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0">
        <v>320</v>
      </c>
      <c r="AA634" s="19">
        <f>IFERROR(PROPERTIES[[#This Row],[TE_STARTING_KN]]/(PROPERTIES[[#This Row],[WEIGHT]]*9.81),0)</f>
        <v>0.18964985894791739</v>
      </c>
      <c r="AB634" s="19">
        <v>0</v>
      </c>
      <c r="AC634" s="16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6">
        <v>0</v>
      </c>
      <c r="AF634" s="6">
        <v>0</v>
      </c>
      <c r="AG634" t="s">
        <v>1948</v>
      </c>
      <c r="AH634" t="s">
        <v>229</v>
      </c>
      <c r="AI634" t="s">
        <v>229</v>
      </c>
      <c r="AJ634" s="2" t="s">
        <v>229</v>
      </c>
      <c r="AK634" s="2" t="s">
        <v>244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44" t="b">
        <v>0</v>
      </c>
      <c r="AP634" s="48" t="b">
        <v>0</v>
      </c>
      <c r="AQ634" s="48" t="b">
        <v>0</v>
      </c>
      <c r="AR634" s="48">
        <v>0</v>
      </c>
      <c r="AS634" s="48" t="b">
        <v>0</v>
      </c>
      <c r="AT634" s="7" t="b">
        <v>0</v>
      </c>
      <c r="AU634" s="40" t="str" cm="1">
        <f t="array" ref="AU634">_xlfn.XLOOKUP(PROPERTIES[[#This Row],[VEHIDCODE]],GRAPHICS_PROPERTIES[VEHIDCODE],GRAPHICS_PROPERTIES[TEMPLATE_ID]&amp;GRAPHICS_PROPERTIES[TEMPLATE_AMENDMENT_CODE])</f>
        <v>TPL_03D</v>
      </c>
    </row>
    <row r="635" spans="1:47" x14ac:dyDescent="0.35">
      <c r="A635" s="2" t="s">
        <v>3252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0" t="str">
        <f>_xlfn.XLOOKUP(PROPERTIES[[#This Row],[VEHIDCODE]],CONTROL[VEHIDCODE],CONTROL[ENGLISH])</f>
        <v>GE C-C 4400 RFFSA</v>
      </c>
      <c r="F635" t="s">
        <v>558</v>
      </c>
      <c r="G635" s="40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17</v>
      </c>
      <c r="J635">
        <v>0</v>
      </c>
      <c r="K635">
        <v>7</v>
      </c>
      <c r="L635">
        <v>0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3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0">
        <v>385</v>
      </c>
      <c r="AA635" s="19">
        <f>IFERROR(PROPERTIES[[#This Row],[TE_STARTING_KN]]/(PROPERTIES[[#This Row],[WEIGHT]]*9.81),0)</f>
        <v>0.31907046899215169</v>
      </c>
      <c r="AB635" s="19">
        <v>0</v>
      </c>
      <c r="AC635" s="16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6">
        <v>0</v>
      </c>
      <c r="AF635" s="6">
        <v>0</v>
      </c>
      <c r="AG635" t="s">
        <v>237</v>
      </c>
      <c r="AH635" t="s">
        <v>229</v>
      </c>
      <c r="AI635" t="s">
        <v>229</v>
      </c>
      <c r="AJ635" s="2" t="s">
        <v>229</v>
      </c>
      <c r="AK635" s="2" t="s">
        <v>244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44" t="b">
        <v>0</v>
      </c>
      <c r="AP635" s="48" t="b">
        <v>0</v>
      </c>
      <c r="AQ635" s="48" t="b">
        <v>0</v>
      </c>
      <c r="AR635" s="48">
        <v>0</v>
      </c>
      <c r="AS635" s="48" t="b">
        <v>0</v>
      </c>
      <c r="AT635" s="7" t="b">
        <v>0</v>
      </c>
      <c r="AU635" s="40" t="str" cm="1">
        <f t="array" ref="AU635">_xlfn.XLOOKUP(PROPERTIES[[#This Row],[VEHIDCODE]],GRAPHICS_PROPERTIES[VEHIDCODE],GRAPHICS_PROPERTIES[TEMPLATE_ID]&amp;GRAPHICS_PROPERTIES[TEMPLATE_AMENDMENT_CODE])</f>
        <v>TPL_03D</v>
      </c>
    </row>
    <row r="636" spans="1:47" x14ac:dyDescent="0.35">
      <c r="A636" s="2" t="s">
        <v>3253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0" t="str">
        <f>_xlfn.XLOOKUP(PROPERTIES[[#This Row],[VEHIDCODE]],CONTROL[VEHIDCODE],CONTROL[ENGLISH])</f>
        <v>NEVZ VL85</v>
      </c>
      <c r="F636" t="s">
        <v>716</v>
      </c>
      <c r="G636" s="40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17</v>
      </c>
      <c r="J636">
        <v>0</v>
      </c>
      <c r="K636">
        <v>8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3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0">
        <v>932</v>
      </c>
      <c r="AA636" s="19">
        <f>IFERROR(PROPERTIES[[#This Row],[TE_STARTING_KN]]/(PROPERTIES[[#This Row],[WEIGHT]]*9.81),0)</f>
        <v>0.32987880847208062</v>
      </c>
      <c r="AB636" s="19">
        <v>0</v>
      </c>
      <c r="AC636" s="16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6">
        <v>0</v>
      </c>
      <c r="AF636" s="6">
        <v>8</v>
      </c>
      <c r="AG636" t="s">
        <v>1948</v>
      </c>
      <c r="AH636" t="s">
        <v>229</v>
      </c>
      <c r="AI636" t="s">
        <v>229</v>
      </c>
      <c r="AJ636" s="2" t="s">
        <v>229</v>
      </c>
      <c r="AK636" s="2" t="s">
        <v>244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44" t="b">
        <v>0</v>
      </c>
      <c r="AP636" s="48" t="b">
        <v>0</v>
      </c>
      <c r="AQ636" s="48" t="b">
        <v>0</v>
      </c>
      <c r="AR636" s="48">
        <v>0</v>
      </c>
      <c r="AS636" s="48" t="b">
        <v>0</v>
      </c>
      <c r="AT636" s="7" t="b">
        <v>0</v>
      </c>
      <c r="AU636" s="40" t="str" cm="1">
        <f t="array" ref="AU636">_xlfn.XLOOKUP(PROPERTIES[[#This Row],[VEHIDCODE]],GRAPHICS_PROPERTIES[VEHIDCODE],GRAPHICS_PROPERTIES[TEMPLATE_ID]&amp;GRAPHICS_PROPERTIES[TEMPLATE_AMENDMENT_CODE])</f>
        <v>TPL_03D</v>
      </c>
    </row>
    <row r="637" spans="1:47" x14ac:dyDescent="0.35">
      <c r="A637" s="2" t="s">
        <v>3254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0" t="str">
        <f>_xlfn.XLOOKUP(PROPERTIES[[#This Row],[VEHIDCODE]],CONTROL[VEHIDCODE],CONTROL[ENGLISH])</f>
        <v>DEVZ VL41</v>
      </c>
      <c r="F637" t="s">
        <v>716</v>
      </c>
      <c r="G637" s="40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17</v>
      </c>
      <c r="J637">
        <v>0</v>
      </c>
      <c r="K637">
        <v>8</v>
      </c>
      <c r="L637">
        <v>0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3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0">
        <v>275</v>
      </c>
      <c r="AA637" s="19">
        <f>IFERROR(PROPERTIES[[#This Row],[TE_STARTING_KN]]/(PROPERTIES[[#This Row],[WEIGHT]]*9.81),0)</f>
        <v>0.30470238886672868</v>
      </c>
      <c r="AB637" s="19">
        <v>0</v>
      </c>
      <c r="AC637" s="16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6">
        <v>0</v>
      </c>
      <c r="AF637" s="6">
        <v>0</v>
      </c>
      <c r="AG637" t="s">
        <v>1948</v>
      </c>
      <c r="AH637" t="s">
        <v>229</v>
      </c>
      <c r="AI637" t="s">
        <v>229</v>
      </c>
      <c r="AJ637" s="2" t="s">
        <v>229</v>
      </c>
      <c r="AK637" s="2" t="s">
        <v>244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44" t="b">
        <v>0</v>
      </c>
      <c r="AP637" s="48" t="b">
        <v>0</v>
      </c>
      <c r="AQ637" s="48" t="b">
        <v>0</v>
      </c>
      <c r="AR637" s="48">
        <v>0</v>
      </c>
      <c r="AS637" s="48" t="b">
        <v>0</v>
      </c>
      <c r="AT637" s="7" t="b">
        <v>0</v>
      </c>
      <c r="AU637" s="40" t="str" cm="1">
        <f t="array" ref="AU637">_xlfn.XLOOKUP(PROPERTIES[[#This Row],[VEHIDCODE]],GRAPHICS_PROPERTIES[VEHIDCODE],GRAPHICS_PROPERTIES[TEMPLATE_ID]&amp;GRAPHICS_PROPERTIES[TEMPLATE_AMENDMENT_CODE])</f>
        <v>TPL_01A</v>
      </c>
    </row>
    <row r="638" spans="1:47" x14ac:dyDescent="0.35">
      <c r="A638" s="2" t="s">
        <v>3255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0" t="str">
        <f>_xlfn.XLOOKUP(PROPERTIES[[#This Row],[VEHIDCODE]],CONTROL[VEHIDCODE],CONTROL[ENGLISH])</f>
        <v>CLW WAP-4</v>
      </c>
      <c r="F638" t="s">
        <v>631</v>
      </c>
      <c r="G638" s="40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17</v>
      </c>
      <c r="J638">
        <v>0</v>
      </c>
      <c r="K638">
        <v>8</v>
      </c>
      <c r="L638">
        <v>0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3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0">
        <v>302</v>
      </c>
      <c r="AA638" s="19">
        <f>IFERROR(PROPERTIES[[#This Row],[TE_STARTING_KN]]/(PROPERTIES[[#This Row],[WEIGHT]]*9.81),0)</f>
        <v>0.2724328615373513</v>
      </c>
      <c r="AB638" s="19">
        <v>0</v>
      </c>
      <c r="AC638" s="16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6">
        <v>0</v>
      </c>
      <c r="AF638" s="6">
        <v>0</v>
      </c>
      <c r="AG638" t="s">
        <v>238</v>
      </c>
      <c r="AH638" t="s">
        <v>229</v>
      </c>
      <c r="AI638" t="s">
        <v>229</v>
      </c>
      <c r="AJ638" s="2" t="s">
        <v>229</v>
      </c>
      <c r="AK638" s="2" t="s">
        <v>244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44" t="b">
        <v>0</v>
      </c>
      <c r="AP638" s="48" t="b">
        <v>0</v>
      </c>
      <c r="AQ638" s="48" t="b">
        <v>0</v>
      </c>
      <c r="AR638" s="48">
        <v>0</v>
      </c>
      <c r="AS638" s="48" t="b">
        <v>0</v>
      </c>
      <c r="AT638" s="7" t="b">
        <v>0</v>
      </c>
      <c r="AU638" s="40" t="str" cm="1">
        <f t="array" ref="AU638">_xlfn.XLOOKUP(PROPERTIES[[#This Row],[VEHIDCODE]],GRAPHICS_PROPERTIES[VEHIDCODE],GRAPHICS_PROPERTIES[TEMPLATE_ID]&amp;GRAPHICS_PROPERTIES[TEMPLATE_AMENDMENT_CODE])</f>
        <v>TPL_01A</v>
      </c>
    </row>
    <row r="639" spans="1:47" x14ac:dyDescent="0.35">
      <c r="A639" s="2" t="s">
        <v>3256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0" t="str">
        <f>_xlfn.XLOOKUP(PROPERTIES[[#This Row],[VEHIDCODE]],CONTROL[VEHIDCODE],CONTROL[ENGLISH])</f>
        <v>NEVZ ES40</v>
      </c>
      <c r="F639" t="s">
        <v>597</v>
      </c>
      <c r="G639" s="40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17</v>
      </c>
      <c r="J639">
        <v>0</v>
      </c>
      <c r="K639">
        <v>8</v>
      </c>
      <c r="L639">
        <v>0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3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0">
        <v>280</v>
      </c>
      <c r="AA639" s="19">
        <f>IFERROR(PROPERTIES[[#This Row],[TE_STARTING_KN]]/(PROPERTIES[[#This Row],[WEIGHT]]*9.81),0)</f>
        <v>0.33978933061501865</v>
      </c>
      <c r="AB639" s="19">
        <v>0</v>
      </c>
      <c r="AC639" s="16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6">
        <v>0</v>
      </c>
      <c r="AF639" s="6">
        <v>0</v>
      </c>
      <c r="AG639" t="s">
        <v>234</v>
      </c>
      <c r="AH639" t="s">
        <v>229</v>
      </c>
      <c r="AI639" t="s">
        <v>229</v>
      </c>
      <c r="AJ639" s="2" t="s">
        <v>229</v>
      </c>
      <c r="AK639" s="2" t="s">
        <v>244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44" t="b">
        <v>0</v>
      </c>
      <c r="AP639" s="48" t="b">
        <v>0</v>
      </c>
      <c r="AQ639" s="48" t="b">
        <v>0</v>
      </c>
      <c r="AR639" s="48">
        <v>0</v>
      </c>
      <c r="AS639" s="48" t="b">
        <v>0</v>
      </c>
      <c r="AT639" s="7" t="b">
        <v>0</v>
      </c>
      <c r="AU639" s="40" t="str" cm="1">
        <f t="array" ref="AU639">_xlfn.XLOOKUP(PROPERTIES[[#This Row],[VEHIDCODE]],GRAPHICS_PROPERTIES[VEHIDCODE],GRAPHICS_PROPERTIES[TEMPLATE_ID]&amp;GRAPHICS_PROPERTIES[TEMPLATE_AMENDMENT_CODE])</f>
        <v>TPL_01A</v>
      </c>
    </row>
    <row r="640" spans="1:47" x14ac:dyDescent="0.35">
      <c r="A640" s="2" t="s">
        <v>3257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0" t="str">
        <f>_xlfn.XLOOKUP(PROPERTIES[[#This Row],[VEHIDCODE]],CONTROL[VEHIDCODE],CONTROL[ENGLISH])</f>
        <v>Zuzhou KZ4A</v>
      </c>
      <c r="F640" t="s">
        <v>651</v>
      </c>
      <c r="G640" s="40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17</v>
      </c>
      <c r="J640">
        <v>0</v>
      </c>
      <c r="K640">
        <v>8</v>
      </c>
      <c r="L640">
        <v>0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3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0">
        <v>264</v>
      </c>
      <c r="AA640" s="19">
        <f>IFERROR(PROPERTIES[[#This Row],[TE_STARTING_KN]]/(PROPERTIES[[#This Row],[WEIGHT]]*9.81),0)</f>
        <v>0.32818676810621317</v>
      </c>
      <c r="AB640" s="19">
        <v>0</v>
      </c>
      <c r="AC640" s="16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6">
        <v>0</v>
      </c>
      <c r="AF640" s="6">
        <v>0</v>
      </c>
      <c r="AG640" t="s">
        <v>238</v>
      </c>
      <c r="AH640" t="s">
        <v>229</v>
      </c>
      <c r="AI640" t="s">
        <v>229</v>
      </c>
      <c r="AJ640" s="2" t="s">
        <v>229</v>
      </c>
      <c r="AK640" s="2" t="s">
        <v>244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44" t="b">
        <v>0</v>
      </c>
      <c r="AP640" s="48" t="b">
        <v>0</v>
      </c>
      <c r="AQ640" s="48" t="b">
        <v>0</v>
      </c>
      <c r="AR640" s="48">
        <v>0</v>
      </c>
      <c r="AS640" s="48" t="b">
        <v>0</v>
      </c>
      <c r="AT640" s="7" t="b">
        <v>0</v>
      </c>
      <c r="AU640" s="40" t="str" cm="1">
        <f t="array" ref="AU640">_xlfn.XLOOKUP(PROPERTIES[[#This Row],[VEHIDCODE]],GRAPHICS_PROPERTIES[VEHIDCODE],GRAPHICS_PROPERTIES[TEMPLATE_ID]&amp;GRAPHICS_PROPERTIES[TEMPLATE_AMENDMENT_CODE])</f>
        <v>TPL_01A</v>
      </c>
    </row>
    <row r="641" spans="1:47" x14ac:dyDescent="0.35">
      <c r="A641" s="2" t="s">
        <v>3258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0" t="str">
        <f>_xlfn.XLOOKUP(PROPERTIES[[#This Row],[VEHIDCODE]],CONTROL[VEHIDCODE],CONTROL[ENGLISH])</f>
        <v>Alstom KZ8A</v>
      </c>
      <c r="F641" t="s">
        <v>651</v>
      </c>
      <c r="G641" s="40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17</v>
      </c>
      <c r="J641">
        <v>0</v>
      </c>
      <c r="K641">
        <v>8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3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0">
        <v>833</v>
      </c>
      <c r="AA641" s="19">
        <f>IFERROR(PROPERTIES[[#This Row],[TE_STARTING_KN]]/(PROPERTIES[[#This Row],[WEIGHT]]*9.81),0)</f>
        <v>0.42456676860346587</v>
      </c>
      <c r="AB641" s="19">
        <v>0</v>
      </c>
      <c r="AC641" s="16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6">
        <v>0</v>
      </c>
      <c r="AF641" s="6">
        <v>8</v>
      </c>
      <c r="AG641" t="s">
        <v>238</v>
      </c>
      <c r="AH641" t="s">
        <v>229</v>
      </c>
      <c r="AI641" t="s">
        <v>229</v>
      </c>
      <c r="AJ641" s="2" t="s">
        <v>229</v>
      </c>
      <c r="AK641" s="2" t="s">
        <v>244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44" t="b">
        <v>0</v>
      </c>
      <c r="AP641" s="48" t="b">
        <v>0</v>
      </c>
      <c r="AQ641" s="48" t="b">
        <v>0</v>
      </c>
      <c r="AR641" s="48">
        <v>0</v>
      </c>
      <c r="AS641" s="48" t="b">
        <v>0</v>
      </c>
      <c r="AT641" s="7" t="b">
        <v>0</v>
      </c>
      <c r="AU641" s="40" t="str" cm="1">
        <f t="array" ref="AU641">_xlfn.XLOOKUP(PROPERTIES[[#This Row],[VEHIDCODE]],GRAPHICS_PROPERTIES[VEHIDCODE],GRAPHICS_PROPERTIES[TEMPLATE_ID]&amp;GRAPHICS_PROPERTIES[TEMPLATE_AMENDMENT_CODE])</f>
        <v>TPL_03D</v>
      </c>
    </row>
    <row r="642" spans="1:47" x14ac:dyDescent="0.35">
      <c r="A642" s="2" t="s">
        <v>3259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0" t="str">
        <f>_xlfn.XLOOKUP(PROPERTIES[[#This Row],[VEHIDCODE]],CONTROL[VEHIDCODE],CONTROL[ENGLISH])</f>
        <v>TRTrans/NEVZ EP20</v>
      </c>
      <c r="F642" t="s">
        <v>716</v>
      </c>
      <c r="G642" s="40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17</v>
      </c>
      <c r="J642">
        <v>0</v>
      </c>
      <c r="K642">
        <v>8</v>
      </c>
      <c r="L642">
        <v>0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3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0">
        <v>450</v>
      </c>
      <c r="AA642" s="19">
        <f>IFERROR(PROPERTIES[[#This Row],[TE_STARTING_KN]]/(PROPERTIES[[#This Row],[WEIGHT]]*9.81),0)</f>
        <v>0.33978933061501865</v>
      </c>
      <c r="AB642" s="19">
        <v>0</v>
      </c>
      <c r="AC642" s="16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6">
        <v>0</v>
      </c>
      <c r="AF642" s="6">
        <v>0</v>
      </c>
      <c r="AG642" t="s">
        <v>1948</v>
      </c>
      <c r="AH642" t="s">
        <v>229</v>
      </c>
      <c r="AI642" t="s">
        <v>229</v>
      </c>
      <c r="AJ642" s="2" t="s">
        <v>229</v>
      </c>
      <c r="AK642" s="2" t="s">
        <v>244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44" t="b">
        <v>0</v>
      </c>
      <c r="AP642" s="48" t="b">
        <v>0</v>
      </c>
      <c r="AQ642" s="48" t="b">
        <v>0</v>
      </c>
      <c r="AR642" s="48">
        <v>0</v>
      </c>
      <c r="AS642" s="48" t="b">
        <v>0</v>
      </c>
      <c r="AT642" s="7" t="b">
        <v>0</v>
      </c>
      <c r="AU642" s="40" t="str" cm="1">
        <f t="array" ref="AU642">_xlfn.XLOOKUP(PROPERTIES[[#This Row],[VEHIDCODE]],GRAPHICS_PROPERTIES[VEHIDCODE],GRAPHICS_PROPERTIES[TEMPLATE_ID]&amp;GRAPHICS_PROPERTIES[TEMPLATE_AMENDMENT_CODE])</f>
        <v>TPL_01A</v>
      </c>
    </row>
    <row r="643" spans="1:47" x14ac:dyDescent="0.35">
      <c r="A643" s="2" t="s">
        <v>3260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0" t="str">
        <f>_xlfn.XLOOKUP(PROPERTIES[[#This Row],[VEHIDCODE]],CONTROL[VEHIDCODE],CONTROL[ENGLISH])</f>
        <v>Valmet Dm7</v>
      </c>
      <c r="F643" t="s">
        <v>597</v>
      </c>
      <c r="G643" s="40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15</v>
      </c>
      <c r="J643">
        <v>64</v>
      </c>
      <c r="K643">
        <v>7</v>
      </c>
      <c r="L643">
        <v>0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3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0">
        <v>29</v>
      </c>
      <c r="AA643" s="19">
        <f>IFERROR(PROPERTIES[[#This Row],[TE_STARTING_KN]]/(PROPERTIES[[#This Row],[WEIGHT]]*9.81),0)</f>
        <v>0.16423150979725903</v>
      </c>
      <c r="AB643" s="19">
        <v>0</v>
      </c>
      <c r="AC643" s="16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6">
        <v>0</v>
      </c>
      <c r="AF643" s="6">
        <v>0</v>
      </c>
      <c r="AG643" t="s">
        <v>234</v>
      </c>
      <c r="AH643" t="s">
        <v>229</v>
      </c>
      <c r="AI643" t="s">
        <v>229</v>
      </c>
      <c r="AJ643" s="2" t="s">
        <v>229</v>
      </c>
      <c r="AK643" s="2" t="s">
        <v>244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44" t="b">
        <v>0</v>
      </c>
      <c r="AP643" s="48" t="b">
        <v>0</v>
      </c>
      <c r="AQ643" s="48" t="b">
        <v>0</v>
      </c>
      <c r="AR643" s="48">
        <v>0</v>
      </c>
      <c r="AS643" s="48" t="b">
        <v>0</v>
      </c>
      <c r="AT643" s="7" t="b">
        <v>0</v>
      </c>
      <c r="AU643" s="40" t="str" cm="1">
        <f t="array" ref="AU643">_xlfn.XLOOKUP(PROPERTIES[[#This Row],[VEHIDCODE]],GRAPHICS_PROPERTIES[VEHIDCODE],GRAPHICS_PROPERTIES[TEMPLATE_ID]&amp;GRAPHICS_PROPERTIES[TEMPLATE_AMENDMENT_CODE])</f>
        <v>TPL_01B</v>
      </c>
    </row>
    <row r="644" spans="1:47" x14ac:dyDescent="0.35">
      <c r="A644" s="2" t="s">
        <v>3261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0" t="str">
        <f>_xlfn.XLOOKUP(PROPERTIES[[#This Row],[VEHIDCODE]],CONTROL[VEHIDCODE],CONTROL[ENGLISH])</f>
        <v xml:space="preserve">Vagonka Studenka 91M0 </v>
      </c>
      <c r="F644" t="s">
        <v>716</v>
      </c>
      <c r="G644" s="40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15</v>
      </c>
      <c r="J644">
        <v>67</v>
      </c>
      <c r="K644">
        <v>8</v>
      </c>
      <c r="L644">
        <v>0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3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0">
        <v>157</v>
      </c>
      <c r="AA644" s="19">
        <f>IFERROR(PROPERTIES[[#This Row],[TE_STARTING_KN]]/(PROPERTIES[[#This Row],[WEIGHT]]*9.81),0)</f>
        <v>0.27125555037232846</v>
      </c>
      <c r="AB644" s="19">
        <v>0</v>
      </c>
      <c r="AC644" s="16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6">
        <v>0</v>
      </c>
      <c r="AF644" s="6">
        <v>0</v>
      </c>
      <c r="AG644" t="s">
        <v>1948</v>
      </c>
      <c r="AH644" t="s">
        <v>229</v>
      </c>
      <c r="AI644" t="s">
        <v>229</v>
      </c>
      <c r="AJ644" s="2" t="s">
        <v>229</v>
      </c>
      <c r="AK644" s="2" t="s">
        <v>244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44" t="b">
        <v>0</v>
      </c>
      <c r="AP644" s="48" t="b">
        <v>0</v>
      </c>
      <c r="AQ644" s="48" t="b">
        <v>0</v>
      </c>
      <c r="AR644" s="48">
        <v>0</v>
      </c>
      <c r="AS644" s="48" t="b">
        <v>0</v>
      </c>
      <c r="AT644" s="7" t="b">
        <v>0</v>
      </c>
      <c r="AU644" s="40" t="str" cm="1">
        <f t="array" ref="AU644">_xlfn.XLOOKUP(PROPERTIES[[#This Row],[VEHIDCODE]],GRAPHICS_PROPERTIES[VEHIDCODE],GRAPHICS_PROPERTIES[TEMPLATE_ID]&amp;GRAPHICS_PROPERTIES[TEMPLATE_AMENDMENT_CODE])</f>
        <v>TPL_01B</v>
      </c>
    </row>
    <row r="645" spans="1:47" x14ac:dyDescent="0.35">
      <c r="A645" s="2" t="s">
        <v>3262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0" t="str">
        <f>_xlfn.XLOOKUP(PROPERTIES[[#This Row],[VEHIDCODE]],CONTROL[VEHIDCODE],CONTROL[ENGLISH])</f>
        <v>RVR ER200</v>
      </c>
      <c r="F645" t="s">
        <v>716</v>
      </c>
      <c r="G645" s="40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15</v>
      </c>
      <c r="J645">
        <v>64</v>
      </c>
      <c r="K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3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0">
        <v>35.6</v>
      </c>
      <c r="AA645" s="19">
        <f>IFERROR(PROPERTIES[[#This Row],[TE_STARTING_KN]]/(PROPERTIES[[#This Row],[WEIGHT]]*9.81),0)</f>
        <v>7.4060205121804071E-2</v>
      </c>
      <c r="AB645" s="19">
        <v>0</v>
      </c>
      <c r="AC645" s="16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6">
        <v>64</v>
      </c>
      <c r="AF645" s="6">
        <v>8</v>
      </c>
      <c r="AG645" t="s">
        <v>236</v>
      </c>
      <c r="AH645" t="s">
        <v>229</v>
      </c>
      <c r="AI645" t="s">
        <v>229</v>
      </c>
      <c r="AJ645" s="2" t="s">
        <v>229</v>
      </c>
      <c r="AK645" s="2" t="s">
        <v>244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44" t="b">
        <v>0</v>
      </c>
      <c r="AP645" s="48" t="b">
        <v>0</v>
      </c>
      <c r="AQ645" s="48" t="b">
        <v>0</v>
      </c>
      <c r="AR645" s="48">
        <v>0</v>
      </c>
      <c r="AS645" s="48" t="b">
        <v>0</v>
      </c>
      <c r="AT645" s="7" t="b">
        <v>0</v>
      </c>
      <c r="AU645" s="40" t="str" cm="1">
        <f t="array" ref="AU645">_xlfn.XLOOKUP(PROPERTIES[[#This Row],[VEHIDCODE]],GRAPHICS_PROPERTIES[VEHIDCODE],GRAPHICS_PROPERTIES[TEMPLATE_ID]&amp;GRAPHICS_PROPERTIES[TEMPLATE_AMENDMENT_CODE])</f>
        <v>TPL_02D</v>
      </c>
    </row>
    <row r="646" spans="1:47" x14ac:dyDescent="0.35">
      <c r="A646" s="2" t="s">
        <v>3263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0" t="str">
        <f>_xlfn.XLOOKUP(PROPERTIES[[#This Row],[VEHIDCODE]],CONTROL[VEHIDCODE],CONTROL[ENGLISH])</f>
        <v>MMZ 'S'</v>
      </c>
      <c r="F646" t="s">
        <v>716</v>
      </c>
      <c r="G646" s="40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15</v>
      </c>
      <c r="J646">
        <v>110</v>
      </c>
      <c r="K646">
        <v>7</v>
      </c>
      <c r="L646">
        <v>0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3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0">
        <v>145</v>
      </c>
      <c r="AA646" s="19">
        <f>IFERROR(PROPERTIES[[#This Row],[TE_STARTING_KN]]/(PROPERTIES[[#This Row],[WEIGHT]]*9.81),0)</f>
        <v>0.25094797761890175</v>
      </c>
      <c r="AB646" s="19">
        <v>0</v>
      </c>
      <c r="AC646" s="16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6">
        <v>110</v>
      </c>
      <c r="AF646" s="6">
        <v>7</v>
      </c>
      <c r="AG646" t="s">
        <v>1951</v>
      </c>
      <c r="AH646" t="s">
        <v>229</v>
      </c>
      <c r="AI646" t="s">
        <v>229</v>
      </c>
      <c r="AJ646" s="2" t="s">
        <v>229</v>
      </c>
      <c r="AK646" s="2" t="s">
        <v>244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44" t="b">
        <v>0</v>
      </c>
      <c r="AP646" s="48" t="b">
        <v>0</v>
      </c>
      <c r="AQ646" s="48" t="b">
        <v>0</v>
      </c>
      <c r="AR646" s="48">
        <v>0</v>
      </c>
      <c r="AS646" s="48" t="b">
        <v>0</v>
      </c>
      <c r="AT646" s="7" t="b">
        <v>0</v>
      </c>
      <c r="AU646" s="40" t="str" cm="1">
        <f t="array" ref="AU646">_xlfn.XLOOKUP(PROPERTIES[[#This Row],[VEHIDCODE]],GRAPHICS_PROPERTIES[VEHIDCODE],GRAPHICS_PROPERTIES[TEMPLATE_ID]&amp;GRAPHICS_PROPERTIES[TEMPLATE_AMENDMENT_CODE])</f>
        <v>TPL_02D</v>
      </c>
    </row>
    <row r="647" spans="1:47" x14ac:dyDescent="0.35">
      <c r="A647" s="2" t="s">
        <v>3264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0" t="str">
        <f>_xlfn.XLOOKUP(PROPERTIES[[#This Row],[VEHIDCODE]],CONTROL[VEHIDCODE],CONTROL[ENGLISH])</f>
        <v>Koncar 6112</v>
      </c>
      <c r="F647" t="s">
        <v>624</v>
      </c>
      <c r="G647" s="40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15</v>
      </c>
      <c r="J647">
        <v>60</v>
      </c>
      <c r="K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3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0">
        <v>100</v>
      </c>
      <c r="AA647" s="19">
        <f>IFERROR(PROPERTIES[[#This Row],[TE_STARTING_KN]]/(PROPERTIES[[#This Row],[WEIGHT]]*9.81),0)</f>
        <v>0.23706232368489674</v>
      </c>
      <c r="AB647" s="19">
        <v>0</v>
      </c>
      <c r="AC647" s="16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6">
        <v>60</v>
      </c>
      <c r="AF647" s="6">
        <v>8</v>
      </c>
      <c r="AG647" t="s">
        <v>236</v>
      </c>
      <c r="AH647" t="s">
        <v>229</v>
      </c>
      <c r="AI647" t="s">
        <v>229</v>
      </c>
      <c r="AJ647" s="2" t="s">
        <v>229</v>
      </c>
      <c r="AK647" s="2" t="s">
        <v>244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44" t="b">
        <v>0</v>
      </c>
      <c r="AP647" s="48" t="b">
        <v>0</v>
      </c>
      <c r="AQ647" s="48" t="b">
        <v>0</v>
      </c>
      <c r="AR647" s="48">
        <v>0</v>
      </c>
      <c r="AS647" s="48" t="b">
        <v>0</v>
      </c>
      <c r="AT647" s="7" t="b">
        <v>0</v>
      </c>
      <c r="AU647" s="40" t="str" cm="1">
        <f t="array" ref="AU647">_xlfn.XLOOKUP(PROPERTIES[[#This Row],[VEHIDCODE]],GRAPHICS_PROPERTIES[VEHIDCODE],GRAPHICS_PROPERTIES[TEMPLATE_ID]&amp;GRAPHICS_PROPERTIES[TEMPLATE_AMENDMENT_CODE])</f>
        <v>TPL_02A</v>
      </c>
    </row>
    <row r="648" spans="1:47" x14ac:dyDescent="0.35">
      <c r="A648" s="2" t="s">
        <v>3265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0" t="str">
        <f>_xlfn.XLOOKUP(PROPERTIES[[#This Row],[VEHIDCODE]],CONTROL[VEHIDCODE],CONTROL[ENGLISH])</f>
        <v>Siemens Desiro ES1 'Lastochka'</v>
      </c>
      <c r="F648" t="s">
        <v>716</v>
      </c>
      <c r="G648" s="40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15</v>
      </c>
      <c r="J648">
        <v>67</v>
      </c>
      <c r="K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3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0">
        <v>90</v>
      </c>
      <c r="AA648" s="19">
        <f>IFERROR(PROPERTIES[[#This Row],[TE_STARTING_KN]]/(PROPERTIES[[#This Row],[WEIGHT]]*9.81),0)</f>
        <v>0.163826998689384</v>
      </c>
      <c r="AB648" s="19">
        <v>0</v>
      </c>
      <c r="AC648" s="16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6">
        <v>88</v>
      </c>
      <c r="AF648" s="6">
        <v>8</v>
      </c>
      <c r="AG648" t="s">
        <v>238</v>
      </c>
      <c r="AH648" t="s">
        <v>229</v>
      </c>
      <c r="AI648" t="s">
        <v>229</v>
      </c>
      <c r="AJ648" s="2" t="s">
        <v>229</v>
      </c>
      <c r="AK648" s="2" t="s">
        <v>244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44" t="b">
        <v>0</v>
      </c>
      <c r="AP648" s="48" t="b">
        <v>0</v>
      </c>
      <c r="AQ648" s="48" t="b">
        <v>0</v>
      </c>
      <c r="AR648" s="48">
        <v>0</v>
      </c>
      <c r="AS648" s="48" t="b">
        <v>0</v>
      </c>
      <c r="AT648" s="7" t="b">
        <v>0</v>
      </c>
      <c r="AU648" s="40" t="str" cm="1">
        <f t="array" ref="AU648">_xlfn.XLOOKUP(PROPERTIES[[#This Row],[VEHIDCODE]],GRAPHICS_PROPERTIES[VEHIDCODE],GRAPHICS_PROPERTIES[TEMPLATE_ID]&amp;GRAPHICS_PROPERTIES[TEMPLATE_AMENDMENT_CODE])</f>
        <v>TPL_02D</v>
      </c>
    </row>
    <row r="649" spans="1:47" x14ac:dyDescent="0.35">
      <c r="A649" s="2" t="s">
        <v>74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0" t="str">
        <f>_xlfn.XLOOKUP(PROPERTIES[[#This Row],[VEHIDCODE]],CONTROL[VEHIDCODE],CONTROL[ENGLISH])</f>
        <v>Metro Unit Wagon</v>
      </c>
      <c r="G649" s="40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15</v>
      </c>
      <c r="J649">
        <v>1</v>
      </c>
      <c r="K649">
        <v>8</v>
      </c>
      <c r="L649">
        <v>0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3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0">
        <v>0</v>
      </c>
      <c r="AA649" s="19">
        <f>IFERROR(PROPERTIES[[#This Row],[TE_STARTING_KN]]/(PROPERTIES[[#This Row],[WEIGHT]]*9.81),0)</f>
        <v>0</v>
      </c>
      <c r="AB649" s="19">
        <v>0.3</v>
      </c>
      <c r="AC649" s="16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6">
        <v>0</v>
      </c>
      <c r="AF649" s="6">
        <v>0</v>
      </c>
      <c r="AG649" t="s">
        <v>241</v>
      </c>
      <c r="AH649" t="s">
        <v>229</v>
      </c>
      <c r="AI649" t="s">
        <v>229</v>
      </c>
      <c r="AJ649" s="2" t="s">
        <v>229</v>
      </c>
      <c r="AK649" s="2" t="s">
        <v>244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44" t="b">
        <v>0</v>
      </c>
      <c r="AP649" s="48" t="b">
        <v>0</v>
      </c>
      <c r="AQ649" s="48" t="b">
        <v>0</v>
      </c>
      <c r="AR649" s="48">
        <v>0</v>
      </c>
      <c r="AS649" s="48" t="b">
        <v>0</v>
      </c>
      <c r="AT649" s="7" t="b">
        <v>0</v>
      </c>
      <c r="AU649" s="40" t="str" cm="1">
        <f t="array" ref="AU649">_xlfn.XLOOKUP(PROPERTIES[[#This Row],[VEHIDCODE]],GRAPHICS_PROPERTIES[VEHIDCODE],GRAPHICS_PROPERTIES[TEMPLATE_ID]&amp;GRAPHICS_PROPERTIES[TEMPLATE_AMENDMENT_CODE])</f>
        <v>TPL_01F</v>
      </c>
    </row>
    <row r="650" spans="1:47" x14ac:dyDescent="0.35">
      <c r="A650" s="2" t="s">
        <v>73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0" t="str">
        <f>_xlfn.XLOOKUP(PROPERTIES[[#This Row],[VEHIDCODE]],CONTROL[VEHIDCODE],CONTROL[ENGLISH])</f>
        <v>Metro Unit Wagon</v>
      </c>
      <c r="G650" s="40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15</v>
      </c>
      <c r="J650">
        <v>1</v>
      </c>
      <c r="K650">
        <v>8</v>
      </c>
      <c r="L650">
        <v>0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3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0">
        <v>0</v>
      </c>
      <c r="AA650" s="19">
        <f>IFERROR(PROPERTIES[[#This Row],[TE_STARTING_KN]]/(PROPERTIES[[#This Row],[WEIGHT]]*9.81),0)</f>
        <v>0</v>
      </c>
      <c r="AB650" s="19">
        <v>0.3</v>
      </c>
      <c r="AC650" s="16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6">
        <v>0</v>
      </c>
      <c r="AF650" s="6">
        <v>0</v>
      </c>
      <c r="AG650" t="s">
        <v>241</v>
      </c>
      <c r="AH650" t="s">
        <v>229</v>
      </c>
      <c r="AI650" t="s">
        <v>229</v>
      </c>
      <c r="AJ650" s="2" t="s">
        <v>229</v>
      </c>
      <c r="AK650" s="2" t="s">
        <v>244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44" t="b">
        <v>0</v>
      </c>
      <c r="AP650" s="48" t="b">
        <v>0</v>
      </c>
      <c r="AQ650" s="48" t="b">
        <v>0</v>
      </c>
      <c r="AR650" s="48">
        <v>0</v>
      </c>
      <c r="AS650" s="48" t="b">
        <v>0</v>
      </c>
      <c r="AT650" s="7" t="b">
        <v>0</v>
      </c>
      <c r="AU650" s="40" t="str" cm="1">
        <f t="array" ref="AU650">_xlfn.XLOOKUP(PROPERTIES[[#This Row],[VEHIDCODE]],GRAPHICS_PROPERTIES[VEHIDCODE],GRAPHICS_PROPERTIES[TEMPLATE_ID]&amp;GRAPHICS_PROPERTIES[TEMPLATE_AMENDMENT_CODE])</f>
        <v>TPL_01F</v>
      </c>
    </row>
    <row r="651" spans="1:47" x14ac:dyDescent="0.35">
      <c r="A651" s="2" t="s">
        <v>75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0" t="str">
        <f>_xlfn.XLOOKUP(PROPERTIES[[#This Row],[VEHIDCODE]],CONTROL[VEHIDCODE],CONTROL[ENGLISH])</f>
        <v>Multiple Unit Cargo Wagon</v>
      </c>
      <c r="G651" s="40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24</v>
      </c>
      <c r="J651">
        <v>1</v>
      </c>
      <c r="K651">
        <v>8</v>
      </c>
      <c r="L651">
        <v>0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3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0">
        <v>0</v>
      </c>
      <c r="AA651" s="19">
        <f>IFERROR(PROPERTIES[[#This Row],[TE_STARTING_KN]]/(PROPERTIES[[#This Row],[WEIGHT]]*9.81),0)</f>
        <v>0</v>
      </c>
      <c r="AB651" s="19">
        <v>0.3</v>
      </c>
      <c r="AC651" s="16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6">
        <v>0</v>
      </c>
      <c r="AF651" s="6">
        <v>0</v>
      </c>
      <c r="AG651" t="s">
        <v>241</v>
      </c>
      <c r="AH651" t="s">
        <v>229</v>
      </c>
      <c r="AI651" t="s">
        <v>229</v>
      </c>
      <c r="AJ651" s="2" t="s">
        <v>229</v>
      </c>
      <c r="AK651" s="2" t="s">
        <v>244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44" t="b">
        <v>0</v>
      </c>
      <c r="AP651" s="48" t="b">
        <v>0</v>
      </c>
      <c r="AQ651" s="48" t="b">
        <v>0</v>
      </c>
      <c r="AR651" s="48">
        <v>0</v>
      </c>
      <c r="AS651" s="48" t="b">
        <v>0</v>
      </c>
      <c r="AT651" s="7" t="b">
        <v>0</v>
      </c>
      <c r="AU651" s="40" t="str" cm="1">
        <f t="array" ref="AU651">_xlfn.XLOOKUP(PROPERTIES[[#This Row],[VEHIDCODE]],GRAPHICS_PROPERTIES[VEHIDCODE],GRAPHICS_PROPERTIES[TEMPLATE_ID]&amp;GRAPHICS_PROPERTIES[TEMPLATE_AMENDMENT_CODE])</f>
        <v>TPL_01F</v>
      </c>
    </row>
    <row r="652" spans="1:47" x14ac:dyDescent="0.35">
      <c r="A652" s="2" t="s">
        <v>76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0" t="str">
        <f>_xlfn.XLOOKUP(PROPERTIES[[#This Row],[VEHIDCODE]],CONTROL[VEHIDCODE],CONTROL[ENGLISH])</f>
        <v>Multiple Unit Cargo Wagon</v>
      </c>
      <c r="G652" s="40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24</v>
      </c>
      <c r="J652">
        <v>1</v>
      </c>
      <c r="K652">
        <v>8</v>
      </c>
      <c r="L652">
        <v>0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3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0">
        <v>0</v>
      </c>
      <c r="AA652" s="19">
        <f>IFERROR(PROPERTIES[[#This Row],[TE_STARTING_KN]]/(PROPERTIES[[#This Row],[WEIGHT]]*9.81),0)</f>
        <v>0</v>
      </c>
      <c r="AB652" s="19">
        <v>0.3</v>
      </c>
      <c r="AC652" s="16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6">
        <v>0</v>
      </c>
      <c r="AF652" s="6">
        <v>0</v>
      </c>
      <c r="AG652" t="s">
        <v>241</v>
      </c>
      <c r="AH652" t="s">
        <v>229</v>
      </c>
      <c r="AI652" t="s">
        <v>229</v>
      </c>
      <c r="AJ652" s="2" t="s">
        <v>229</v>
      </c>
      <c r="AK652" s="2" t="s">
        <v>244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44" t="b">
        <v>0</v>
      </c>
      <c r="AP652" s="48" t="b">
        <v>0</v>
      </c>
      <c r="AQ652" s="48" t="b">
        <v>0</v>
      </c>
      <c r="AR652" s="48">
        <v>0</v>
      </c>
      <c r="AS652" s="48" t="b">
        <v>0</v>
      </c>
      <c r="AT652" s="7" t="b">
        <v>0</v>
      </c>
      <c r="AU652" s="40" t="str" cm="1">
        <f t="array" ref="AU652">_xlfn.XLOOKUP(PROPERTIES[[#This Row],[VEHIDCODE]],GRAPHICS_PROPERTIES[VEHIDCODE],GRAPHICS_PROPERTIES[TEMPLATE_ID]&amp;GRAPHICS_PROPERTIES[TEMPLATE_AMENDMENT_CODE])</f>
        <v>TPL_01F</v>
      </c>
    </row>
    <row r="653" spans="1:47" x14ac:dyDescent="0.35">
      <c r="A653" s="2" t="s">
        <v>77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0" t="str">
        <f>_xlfn.XLOOKUP(PROPERTIES[[#This Row],[VEHIDCODE]],CONTROL[VEHIDCODE],CONTROL[ENGLISH])</f>
        <v>Multiple Unit Wagon</v>
      </c>
      <c r="G653" s="40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15</v>
      </c>
      <c r="J653">
        <v>1</v>
      </c>
      <c r="K653">
        <v>8</v>
      </c>
      <c r="L653">
        <v>0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0">
        <v>0</v>
      </c>
      <c r="AA653" s="19">
        <f>IFERROR(PROPERTIES[[#This Row],[TE_STARTING_KN]]/(PROPERTIES[[#This Row],[WEIGHT]]*9.81),0)</f>
        <v>0</v>
      </c>
      <c r="AB653" s="19">
        <v>0.3</v>
      </c>
      <c r="AC653" s="16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6">
        <v>0</v>
      </c>
      <c r="AF653" s="6">
        <v>0</v>
      </c>
      <c r="AG653" t="s">
        <v>241</v>
      </c>
      <c r="AH653" t="s">
        <v>229</v>
      </c>
      <c r="AI653" t="s">
        <v>229</v>
      </c>
      <c r="AJ653" s="2" t="s">
        <v>229</v>
      </c>
      <c r="AK653" s="2" t="s">
        <v>244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44" t="b">
        <v>0</v>
      </c>
      <c r="AP653" s="48" t="b">
        <v>0</v>
      </c>
      <c r="AQ653" s="48" t="b">
        <v>0</v>
      </c>
      <c r="AR653" s="48">
        <v>0</v>
      </c>
      <c r="AS653" s="48" t="b">
        <v>0</v>
      </c>
      <c r="AT653" s="7" t="b">
        <v>0</v>
      </c>
      <c r="AU653" s="40" t="str" cm="1">
        <f t="array" ref="AU653">_xlfn.XLOOKUP(PROPERTIES[[#This Row],[VEHIDCODE]],GRAPHICS_PROPERTIES[VEHIDCODE],GRAPHICS_PROPERTIES[TEMPLATE_ID]&amp;GRAPHICS_PROPERTIES[TEMPLATE_AMENDMENT_CODE])</f>
        <v>TPL_01F</v>
      </c>
    </row>
    <row r="654" spans="1:47" x14ac:dyDescent="0.35">
      <c r="A654" s="2" t="s">
        <v>78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0" t="str">
        <f>_xlfn.XLOOKUP(PROPERTIES[[#This Row],[VEHIDCODE]],CONTROL[VEHIDCODE],CONTROL[ENGLISH])</f>
        <v>Multiple Unit Wagon</v>
      </c>
      <c r="G654" s="40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15</v>
      </c>
      <c r="J654">
        <v>1</v>
      </c>
      <c r="K654">
        <v>8</v>
      </c>
      <c r="L654">
        <v>0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3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0">
        <v>0</v>
      </c>
      <c r="AA654" s="19">
        <f>IFERROR(PROPERTIES[[#This Row],[TE_STARTING_KN]]/(PROPERTIES[[#This Row],[WEIGHT]]*9.81),0)</f>
        <v>0</v>
      </c>
      <c r="AB654" s="19">
        <v>0.3</v>
      </c>
      <c r="AC654" s="16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6">
        <v>0</v>
      </c>
      <c r="AF654" s="6">
        <v>0</v>
      </c>
      <c r="AG654" t="s">
        <v>241</v>
      </c>
      <c r="AH654" t="s">
        <v>229</v>
      </c>
      <c r="AI654" t="s">
        <v>229</v>
      </c>
      <c r="AJ654" s="2" t="s">
        <v>229</v>
      </c>
      <c r="AK654" s="2" t="s">
        <v>244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44" t="b">
        <v>0</v>
      </c>
      <c r="AP654" s="48" t="b">
        <v>0</v>
      </c>
      <c r="AQ654" s="48" t="b">
        <v>0</v>
      </c>
      <c r="AR654" s="48">
        <v>0</v>
      </c>
      <c r="AS654" s="48" t="b">
        <v>0</v>
      </c>
      <c r="AT654" s="7" t="b">
        <v>0</v>
      </c>
      <c r="AU654" s="40" t="str" cm="1">
        <f t="array" ref="AU654">_xlfn.XLOOKUP(PROPERTIES[[#This Row],[VEHIDCODE]],GRAPHICS_PROPERTIES[VEHIDCODE],GRAPHICS_PROPERTIES[TEMPLATE_ID]&amp;GRAPHICS_PROPERTIES[TEMPLATE_AMENDMENT_CODE])</f>
        <v>TPL_01F</v>
      </c>
    </row>
    <row r="655" spans="1:47" x14ac:dyDescent="0.35">
      <c r="A655" s="2" t="s">
        <v>79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0" t="str">
        <f>_xlfn.XLOOKUP(PROPERTIES[[#This Row],[VEHIDCODE]],CONTROL[VEHIDCODE],CONTROL[ENGLISH])</f>
        <v>1st Gen Flat Wagon</v>
      </c>
      <c r="G655" s="40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29</v>
      </c>
      <c r="J655">
        <v>20</v>
      </c>
      <c r="K655">
        <v>4</v>
      </c>
      <c r="L655">
        <v>0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3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0">
        <v>0</v>
      </c>
      <c r="AA655" s="19">
        <f>IFERROR(PROPERTIES[[#This Row],[TE_STARTING_KN]]/(PROPERTIES[[#This Row],[WEIGHT]]*9.81),0)</f>
        <v>0</v>
      </c>
      <c r="AB655" s="19">
        <v>0.3</v>
      </c>
      <c r="AC655" s="16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6">
        <v>0</v>
      </c>
      <c r="AF655" s="6">
        <v>0</v>
      </c>
      <c r="AG655" t="s">
        <v>241</v>
      </c>
      <c r="AH655" t="s">
        <v>229</v>
      </c>
      <c r="AI655" t="s">
        <v>229</v>
      </c>
      <c r="AJ655" s="2" t="s">
        <v>229</v>
      </c>
      <c r="AK655" s="2" t="s">
        <v>244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44" t="b">
        <v>0</v>
      </c>
      <c r="AP655" s="48" t="b">
        <v>0</v>
      </c>
      <c r="AQ655" s="48" t="b">
        <v>0</v>
      </c>
      <c r="AR655" s="48">
        <v>2</v>
      </c>
      <c r="AS655" s="48" t="b">
        <v>0</v>
      </c>
      <c r="AT655" s="7" t="b">
        <v>0</v>
      </c>
      <c r="AU655" s="40" t="str" cm="1">
        <f t="array" ref="AU655">_xlfn.XLOOKUP(PROPERTIES[[#This Row],[VEHIDCODE]],GRAPHICS_PROPERTIES[VEHIDCODE],GRAPHICS_PROPERTIES[TEMPLATE_ID]&amp;GRAPHICS_PROPERTIES[TEMPLATE_AMENDMENT_CODE])</f>
        <v>TPL_04B</v>
      </c>
    </row>
    <row r="656" spans="1:47" x14ac:dyDescent="0.35">
      <c r="A656" s="2" t="s">
        <v>80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0" t="str">
        <f>_xlfn.XLOOKUP(PROPERTIES[[#This Row],[VEHIDCODE]],CONTROL[VEHIDCODE],CONTROL[ENGLISH])</f>
        <v>1st Gen Wooden Box Van</v>
      </c>
      <c r="G656" s="40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25</v>
      </c>
      <c r="J656">
        <v>20</v>
      </c>
      <c r="K656">
        <v>4</v>
      </c>
      <c r="L656">
        <v>0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3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0">
        <v>0</v>
      </c>
      <c r="AA656" s="19">
        <f>IFERROR(PROPERTIES[[#This Row],[TE_STARTING_KN]]/(PROPERTIES[[#This Row],[WEIGHT]]*9.81),0)</f>
        <v>0</v>
      </c>
      <c r="AB656" s="19">
        <v>0.3</v>
      </c>
      <c r="AC656" s="16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6">
        <v>0</v>
      </c>
      <c r="AF656" s="6">
        <v>0</v>
      </c>
      <c r="AG656" t="s">
        <v>241</v>
      </c>
      <c r="AH656" t="s">
        <v>229</v>
      </c>
      <c r="AI656" t="s">
        <v>229</v>
      </c>
      <c r="AJ656" s="2" t="s">
        <v>229</v>
      </c>
      <c r="AK656" s="2" t="s">
        <v>244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44" t="b">
        <v>0</v>
      </c>
      <c r="AP656" s="48" t="b">
        <v>0</v>
      </c>
      <c r="AQ656" s="48" t="b">
        <v>0</v>
      </c>
      <c r="AR656" s="48">
        <v>2</v>
      </c>
      <c r="AS656" s="48" t="b">
        <v>0</v>
      </c>
      <c r="AT656" s="7" t="b">
        <v>0</v>
      </c>
      <c r="AU656" s="40" t="str" cm="1">
        <f t="array" ref="AU656">_xlfn.XLOOKUP(PROPERTIES[[#This Row],[VEHIDCODE]],GRAPHICS_PROPERTIES[VEHIDCODE],GRAPHICS_PROPERTIES[TEMPLATE_ID]&amp;GRAPHICS_PROPERTIES[TEMPLATE_AMENDMENT_CODE])</f>
        <v>TPL_04B</v>
      </c>
    </row>
    <row r="657" spans="1:47" x14ac:dyDescent="0.35">
      <c r="A657" s="2" t="s">
        <v>81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0" t="str">
        <f>_xlfn.XLOOKUP(PROPERTIES[[#This Row],[VEHIDCODE]],CONTROL[VEHIDCODE],CONTROL[ENGLISH])</f>
        <v>1st Gen Tanker</v>
      </c>
      <c r="G657" s="40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35</v>
      </c>
      <c r="J657">
        <v>10</v>
      </c>
      <c r="K657">
        <v>4</v>
      </c>
      <c r="L657">
        <v>0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3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0">
        <v>0</v>
      </c>
      <c r="AA657" s="19">
        <f>IFERROR(PROPERTIES[[#This Row],[TE_STARTING_KN]]/(PROPERTIES[[#This Row],[WEIGHT]]*9.81),0)</f>
        <v>0</v>
      </c>
      <c r="AB657" s="19">
        <v>0.3</v>
      </c>
      <c r="AC657" s="16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6">
        <v>0</v>
      </c>
      <c r="AF657" s="6">
        <v>0</v>
      </c>
      <c r="AG657" t="s">
        <v>241</v>
      </c>
      <c r="AH657" t="s">
        <v>229</v>
      </c>
      <c r="AI657" t="s">
        <v>229</v>
      </c>
      <c r="AJ657" s="2" t="s">
        <v>229</v>
      </c>
      <c r="AK657" s="2" t="s">
        <v>244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44" t="b">
        <v>0</v>
      </c>
      <c r="AP657" s="48" t="b">
        <v>0</v>
      </c>
      <c r="AQ657" s="48" t="b">
        <v>0</v>
      </c>
      <c r="AR657" s="48">
        <v>2</v>
      </c>
      <c r="AS657" s="48" t="b">
        <v>0</v>
      </c>
      <c r="AT657" s="7" t="b">
        <v>0</v>
      </c>
      <c r="AU657" s="40" t="str" cm="1">
        <f t="array" ref="AU657">_xlfn.XLOOKUP(PROPERTIES[[#This Row],[VEHIDCODE]],GRAPHICS_PROPERTIES[VEHIDCODE],GRAPHICS_PROPERTIES[TEMPLATE_ID]&amp;GRAPHICS_PROPERTIES[TEMPLATE_AMENDMENT_CODE])</f>
        <v>TPL_04B</v>
      </c>
    </row>
    <row r="658" spans="1:47" x14ac:dyDescent="0.35">
      <c r="A658" s="2" t="s">
        <v>82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0" t="str">
        <f>_xlfn.XLOOKUP(PROPERTIES[[#This Row],[VEHIDCODE]],CONTROL[VEHIDCODE],CONTROL[ENGLISH])</f>
        <v>1st Gen Wooden Open Wagon</v>
      </c>
      <c r="G658" s="40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3665</v>
      </c>
      <c r="J658">
        <v>18</v>
      </c>
      <c r="K658">
        <v>4</v>
      </c>
      <c r="L658">
        <v>0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3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0">
        <v>0</v>
      </c>
      <c r="AA658" s="19">
        <f>IFERROR(PROPERTIES[[#This Row],[TE_STARTING_KN]]/(PROPERTIES[[#This Row],[WEIGHT]]*9.81),0)</f>
        <v>0</v>
      </c>
      <c r="AB658" s="19">
        <v>0.3</v>
      </c>
      <c r="AC658" s="16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6">
        <v>0</v>
      </c>
      <c r="AF658" s="6">
        <v>0</v>
      </c>
      <c r="AG658" t="s">
        <v>241</v>
      </c>
      <c r="AH658" t="s">
        <v>229</v>
      </c>
      <c r="AI658" t="s">
        <v>229</v>
      </c>
      <c r="AJ658" s="2" t="s">
        <v>229</v>
      </c>
      <c r="AK658" s="2" t="s">
        <v>244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44" t="b">
        <v>0</v>
      </c>
      <c r="AP658" s="48" t="b">
        <v>0</v>
      </c>
      <c r="AQ658" s="48" t="b">
        <v>0</v>
      </c>
      <c r="AR658" s="48">
        <v>2</v>
      </c>
      <c r="AS658" s="48" t="b">
        <v>1</v>
      </c>
      <c r="AT658" s="7" t="b">
        <v>0</v>
      </c>
      <c r="AU658" s="40" t="str" cm="1">
        <f t="array" ref="AU658">_xlfn.XLOOKUP(PROPERTIES[[#This Row],[VEHIDCODE]],GRAPHICS_PROPERTIES[VEHIDCODE],GRAPHICS_PROPERTIES[TEMPLATE_ID]&amp;GRAPHICS_PROPERTIES[TEMPLATE_AMENDMENT_CODE])</f>
        <v>TPL_04B</v>
      </c>
    </row>
    <row r="659" spans="1:47" x14ac:dyDescent="0.35">
      <c r="A659" s="2" t="s">
        <v>153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0" t="str">
        <f>_xlfn.XLOOKUP(PROPERTIES[[#This Row],[VEHIDCODE]],CONTROL[VEHIDCODE],CONTROL[ENGLISH])</f>
        <v>2nd Gen Flat Wagon</v>
      </c>
      <c r="G659" s="40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29</v>
      </c>
      <c r="J659">
        <v>30</v>
      </c>
      <c r="K659">
        <v>5</v>
      </c>
      <c r="L659">
        <v>0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3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0">
        <v>0</v>
      </c>
      <c r="AA659" s="19">
        <f>IFERROR(PROPERTIES[[#This Row],[TE_STARTING_KN]]/(PROPERTIES[[#This Row],[WEIGHT]]*9.81),0)</f>
        <v>0</v>
      </c>
      <c r="AB659" s="19">
        <v>0.3</v>
      </c>
      <c r="AC659" s="16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6">
        <v>0</v>
      </c>
      <c r="AF659" s="6">
        <v>0</v>
      </c>
      <c r="AG659" t="s">
        <v>241</v>
      </c>
      <c r="AH659" t="s">
        <v>229</v>
      </c>
      <c r="AI659" t="s">
        <v>229</v>
      </c>
      <c r="AJ659" s="2" t="s">
        <v>229</v>
      </c>
      <c r="AK659" s="2" t="s">
        <v>244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44" t="b">
        <v>0</v>
      </c>
      <c r="AP659" s="48" t="b">
        <v>0</v>
      </c>
      <c r="AQ659" s="48" t="b">
        <v>0</v>
      </c>
      <c r="AR659" s="48">
        <v>2</v>
      </c>
      <c r="AS659" s="48" t="b">
        <v>0</v>
      </c>
      <c r="AT659" s="7" t="b">
        <v>0</v>
      </c>
      <c r="AU659" s="40" t="str" cm="1">
        <f t="array" ref="AU659">_xlfn.XLOOKUP(PROPERTIES[[#This Row],[VEHIDCODE]],GRAPHICS_PROPERTIES[VEHIDCODE],GRAPHICS_PROPERTIES[TEMPLATE_ID]&amp;GRAPHICS_PROPERTIES[TEMPLATE_AMENDMENT_CODE])</f>
        <v>TPL_04B</v>
      </c>
    </row>
    <row r="660" spans="1:47" x14ac:dyDescent="0.35">
      <c r="A660" s="2" t="s">
        <v>154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0" t="str">
        <f>_xlfn.XLOOKUP(PROPERTIES[[#This Row],[VEHIDCODE]],CONTROL[VEHIDCODE],CONTROL[ENGLISH])</f>
        <v>2nd Gen Wooden Box Van [Food]</v>
      </c>
      <c r="G660" s="40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3672</v>
      </c>
      <c r="J660">
        <v>25</v>
      </c>
      <c r="K660">
        <v>5</v>
      </c>
      <c r="L660">
        <v>0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3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0">
        <v>0</v>
      </c>
      <c r="AA660" s="19">
        <f>IFERROR(PROPERTIES[[#This Row],[TE_STARTING_KN]]/(PROPERTIES[[#This Row],[WEIGHT]]*9.81),0)</f>
        <v>0</v>
      </c>
      <c r="AB660" s="19">
        <v>0.3</v>
      </c>
      <c r="AC660" s="16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6">
        <v>0</v>
      </c>
      <c r="AF660" s="6">
        <v>0</v>
      </c>
      <c r="AG660" t="s">
        <v>241</v>
      </c>
      <c r="AH660" t="s">
        <v>229</v>
      </c>
      <c r="AI660" t="s">
        <v>229</v>
      </c>
      <c r="AJ660" s="2" t="s">
        <v>229</v>
      </c>
      <c r="AK660" s="2" t="s">
        <v>244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44" t="b">
        <v>0</v>
      </c>
      <c r="AP660" s="48" t="b">
        <v>0</v>
      </c>
      <c r="AQ660" s="48" t="b">
        <v>0</v>
      </c>
      <c r="AR660" s="48">
        <v>2</v>
      </c>
      <c r="AS660" s="48" t="b">
        <v>0</v>
      </c>
      <c r="AT660" s="7" t="b">
        <v>0</v>
      </c>
      <c r="AU660" s="40" t="str" cm="1">
        <f t="array" ref="AU660">_xlfn.XLOOKUP(PROPERTIES[[#This Row],[VEHIDCODE]],GRAPHICS_PROPERTIES[VEHIDCODE],GRAPHICS_PROPERTIES[TEMPLATE_ID]&amp;GRAPHICS_PROPERTIES[TEMPLATE_AMENDMENT_CODE])</f>
        <v>TPL_04B</v>
      </c>
    </row>
    <row r="661" spans="1:47" x14ac:dyDescent="0.35">
      <c r="A661" s="2" t="s">
        <v>155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0" t="str">
        <f>_xlfn.XLOOKUP(PROPERTIES[[#This Row],[VEHIDCODE]],CONTROL[VEHIDCODE],CONTROL[ENGLISH])</f>
        <v>2nd Gen Wooden Box Van [Non-Food]</v>
      </c>
      <c r="G661" s="40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3671</v>
      </c>
      <c r="J661">
        <v>25</v>
      </c>
      <c r="K661">
        <v>5</v>
      </c>
      <c r="L661">
        <v>0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3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0">
        <v>0</v>
      </c>
      <c r="AA661" s="19">
        <f>IFERROR(PROPERTIES[[#This Row],[TE_STARTING_KN]]/(PROPERTIES[[#This Row],[WEIGHT]]*9.81),0)</f>
        <v>0</v>
      </c>
      <c r="AB661" s="19">
        <v>0.3</v>
      </c>
      <c r="AC661" s="16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6">
        <v>0</v>
      </c>
      <c r="AF661" s="6">
        <v>0</v>
      </c>
      <c r="AG661" t="s">
        <v>241</v>
      </c>
      <c r="AH661" t="s">
        <v>229</v>
      </c>
      <c r="AI661" t="s">
        <v>229</v>
      </c>
      <c r="AJ661" s="2" t="s">
        <v>229</v>
      </c>
      <c r="AK661" s="2" t="s">
        <v>244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44" t="b">
        <v>0</v>
      </c>
      <c r="AP661" s="48" t="b">
        <v>0</v>
      </c>
      <c r="AQ661" s="48" t="b">
        <v>0</v>
      </c>
      <c r="AR661" s="48">
        <v>2</v>
      </c>
      <c r="AS661" s="48" t="b">
        <v>0</v>
      </c>
      <c r="AT661" s="7" t="b">
        <v>0</v>
      </c>
      <c r="AU661" s="40" t="str" cm="1">
        <f t="array" ref="AU661">_xlfn.XLOOKUP(PROPERTIES[[#This Row],[VEHIDCODE]],GRAPHICS_PROPERTIES[VEHIDCODE],GRAPHICS_PROPERTIES[TEMPLATE_ID]&amp;GRAPHICS_PROPERTIES[TEMPLATE_AMENDMENT_CODE])</f>
        <v>TPL_04B</v>
      </c>
    </row>
    <row r="662" spans="1:47" x14ac:dyDescent="0.35">
      <c r="A662" s="2" t="s">
        <v>156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0" t="str">
        <f>_xlfn.XLOOKUP(PROPERTIES[[#This Row],[VEHIDCODE]],CONTROL[VEHIDCODE],CONTROL[ENGLISH])</f>
        <v>2nd Gen Tanker</v>
      </c>
      <c r="G662" s="40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35</v>
      </c>
      <c r="J662">
        <v>20</v>
      </c>
      <c r="K662">
        <v>5</v>
      </c>
      <c r="L662">
        <v>0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3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0">
        <v>0</v>
      </c>
      <c r="AA662" s="19">
        <f>IFERROR(PROPERTIES[[#This Row],[TE_STARTING_KN]]/(PROPERTIES[[#This Row],[WEIGHT]]*9.81),0)</f>
        <v>0</v>
      </c>
      <c r="AB662" s="19">
        <v>0.3</v>
      </c>
      <c r="AC662" s="16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6">
        <v>0</v>
      </c>
      <c r="AF662" s="6">
        <v>0</v>
      </c>
      <c r="AG662" t="s">
        <v>241</v>
      </c>
      <c r="AH662" t="s">
        <v>229</v>
      </c>
      <c r="AI662" t="s">
        <v>229</v>
      </c>
      <c r="AJ662" s="2" t="s">
        <v>229</v>
      </c>
      <c r="AK662" s="2" t="s">
        <v>244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44" t="b">
        <v>0</v>
      </c>
      <c r="AP662" s="48" t="b">
        <v>0</v>
      </c>
      <c r="AQ662" s="48" t="b">
        <v>0</v>
      </c>
      <c r="AR662" s="48">
        <v>2</v>
      </c>
      <c r="AS662" s="48" t="b">
        <v>0</v>
      </c>
      <c r="AT662" s="7" t="b">
        <v>0</v>
      </c>
      <c r="AU662" s="40" t="str" cm="1">
        <f t="array" ref="AU662">_xlfn.XLOOKUP(PROPERTIES[[#This Row],[VEHIDCODE]],GRAPHICS_PROPERTIES[VEHIDCODE],GRAPHICS_PROPERTIES[TEMPLATE_ID]&amp;GRAPHICS_PROPERTIES[TEMPLATE_AMENDMENT_CODE])</f>
        <v>TPL_04B</v>
      </c>
    </row>
    <row r="663" spans="1:47" x14ac:dyDescent="0.35">
      <c r="A663" s="2" t="s">
        <v>157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0" t="str">
        <f>_xlfn.XLOOKUP(PROPERTIES[[#This Row],[VEHIDCODE]],CONTROL[VEHIDCODE],CONTROL[ENGLISH])</f>
        <v>2nd Gen Wooden Open Wagon</v>
      </c>
      <c r="G663" s="40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3666</v>
      </c>
      <c r="J663">
        <v>26</v>
      </c>
      <c r="K663">
        <v>5</v>
      </c>
      <c r="L663">
        <v>0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3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0">
        <v>0</v>
      </c>
      <c r="AA663" s="19">
        <f>IFERROR(PROPERTIES[[#This Row],[TE_STARTING_KN]]/(PROPERTIES[[#This Row],[WEIGHT]]*9.81),0)</f>
        <v>0</v>
      </c>
      <c r="AB663" s="19">
        <v>0.3</v>
      </c>
      <c r="AC663" s="16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6">
        <v>0</v>
      </c>
      <c r="AF663" s="6">
        <v>0</v>
      </c>
      <c r="AG663" t="s">
        <v>241</v>
      </c>
      <c r="AH663" t="s">
        <v>229</v>
      </c>
      <c r="AI663" t="s">
        <v>229</v>
      </c>
      <c r="AJ663" s="2" t="s">
        <v>229</v>
      </c>
      <c r="AK663" s="2" t="s">
        <v>244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44" t="b">
        <v>0</v>
      </c>
      <c r="AP663" s="48" t="b">
        <v>0</v>
      </c>
      <c r="AQ663" s="48" t="b">
        <v>0</v>
      </c>
      <c r="AR663" s="48">
        <v>2</v>
      </c>
      <c r="AS663" s="48" t="b">
        <v>1</v>
      </c>
      <c r="AT663" s="7" t="b">
        <v>0</v>
      </c>
      <c r="AU663" s="40" t="str" cm="1">
        <f t="array" ref="AU663">_xlfn.XLOOKUP(PROPERTIES[[#This Row],[VEHIDCODE]],GRAPHICS_PROPERTIES[VEHIDCODE],GRAPHICS_PROPERTIES[TEMPLATE_ID]&amp;GRAPHICS_PROPERTIES[TEMPLATE_AMENDMENT_CODE])</f>
        <v>TPL_04B</v>
      </c>
    </row>
    <row r="664" spans="1:47" x14ac:dyDescent="0.35">
      <c r="A664" s="2" t="s">
        <v>158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0" t="str">
        <f>_xlfn.XLOOKUP(PROPERTIES[[#This Row],[VEHIDCODE]],CONTROL[VEHIDCODE],CONTROL[ENGLISH])</f>
        <v>2nd Gen Silo</v>
      </c>
      <c r="G664" s="40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33</v>
      </c>
      <c r="J664">
        <v>25</v>
      </c>
      <c r="K664">
        <v>5</v>
      </c>
      <c r="L664">
        <v>0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3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0">
        <v>0</v>
      </c>
      <c r="AA664" s="19">
        <f>IFERROR(PROPERTIES[[#This Row],[TE_STARTING_KN]]/(PROPERTIES[[#This Row],[WEIGHT]]*9.81),0)</f>
        <v>0</v>
      </c>
      <c r="AB664" s="19">
        <v>0.3</v>
      </c>
      <c r="AC664" s="16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6">
        <v>0</v>
      </c>
      <c r="AF664" s="6">
        <v>0</v>
      </c>
      <c r="AG664" t="s">
        <v>241</v>
      </c>
      <c r="AH664" t="s">
        <v>229</v>
      </c>
      <c r="AI664" t="s">
        <v>229</v>
      </c>
      <c r="AJ664" s="2" t="s">
        <v>229</v>
      </c>
      <c r="AK664" s="2" t="s">
        <v>244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44" t="b">
        <v>0</v>
      </c>
      <c r="AP664" s="48" t="b">
        <v>0</v>
      </c>
      <c r="AQ664" s="48" t="b">
        <v>0</v>
      </c>
      <c r="AR664" s="48">
        <v>2</v>
      </c>
      <c r="AS664" s="48" t="b">
        <v>0</v>
      </c>
      <c r="AT664" s="7" t="b">
        <v>0</v>
      </c>
      <c r="AU664" s="40" t="str" cm="1">
        <f t="array" ref="AU664">_xlfn.XLOOKUP(PROPERTIES[[#This Row],[VEHIDCODE]],GRAPHICS_PROPERTIES[VEHIDCODE],GRAPHICS_PROPERTIES[TEMPLATE_ID]&amp;GRAPHICS_PROPERTIES[TEMPLATE_AMENDMENT_CODE])</f>
        <v>TPL_04B</v>
      </c>
    </row>
    <row r="665" spans="1:47" x14ac:dyDescent="0.35">
      <c r="A665" s="2" t="s">
        <v>159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0" t="str">
        <f>_xlfn.XLOOKUP(PROPERTIES[[#This Row],[VEHIDCODE]],CONTROL[VEHIDCODE],CONTROL[ENGLISH])</f>
        <v>2nd Gen Wooden Hopper</v>
      </c>
      <c r="G665" s="40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32</v>
      </c>
      <c r="J665">
        <v>30</v>
      </c>
      <c r="K665">
        <v>5</v>
      </c>
      <c r="L665">
        <v>0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3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0">
        <v>0</v>
      </c>
      <c r="AA665" s="19">
        <f>IFERROR(PROPERTIES[[#This Row],[TE_STARTING_KN]]/(PROPERTIES[[#This Row],[WEIGHT]]*9.81),0)</f>
        <v>0</v>
      </c>
      <c r="AB665" s="19">
        <v>0.3</v>
      </c>
      <c r="AC665" s="16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6">
        <v>0</v>
      </c>
      <c r="AF665" s="6">
        <v>0</v>
      </c>
      <c r="AG665" t="s">
        <v>241</v>
      </c>
      <c r="AH665" t="s">
        <v>229</v>
      </c>
      <c r="AI665" t="s">
        <v>229</v>
      </c>
      <c r="AJ665" s="2" t="s">
        <v>229</v>
      </c>
      <c r="AK665" s="2" t="s">
        <v>244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44" t="b">
        <v>0</v>
      </c>
      <c r="AP665" s="48" t="b">
        <v>0</v>
      </c>
      <c r="AQ665" s="48" t="b">
        <v>0</v>
      </c>
      <c r="AR665" s="48">
        <v>2</v>
      </c>
      <c r="AS665" s="48" t="b">
        <v>0</v>
      </c>
      <c r="AT665" s="7" t="b">
        <v>0</v>
      </c>
      <c r="AU665" s="40" t="str" cm="1">
        <f t="array" ref="AU665">_xlfn.XLOOKUP(PROPERTIES[[#This Row],[VEHIDCODE]],GRAPHICS_PROPERTIES[VEHIDCODE],GRAPHICS_PROPERTIES[TEMPLATE_ID]&amp;GRAPHICS_PROPERTIES[TEMPLATE_AMENDMENT_CODE])</f>
        <v>TPL_04B</v>
      </c>
    </row>
    <row r="666" spans="1:47" x14ac:dyDescent="0.35">
      <c r="A666" s="2" t="s">
        <v>160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0" t="str">
        <f>_xlfn.XLOOKUP(PROPERTIES[[#This Row],[VEHIDCODE]],CONTROL[VEHIDCODE],CONTROL[ENGLISH])</f>
        <v>3rd Gen Flat Wagon</v>
      </c>
      <c r="G666" s="40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29</v>
      </c>
      <c r="J666">
        <v>40</v>
      </c>
      <c r="K666">
        <v>6</v>
      </c>
      <c r="L666">
        <v>0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3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0">
        <v>0</v>
      </c>
      <c r="AA666" s="19">
        <f>IFERROR(PROPERTIES[[#This Row],[TE_STARTING_KN]]/(PROPERTIES[[#This Row],[WEIGHT]]*9.81),0)</f>
        <v>0</v>
      </c>
      <c r="AB666" s="19">
        <v>0.3</v>
      </c>
      <c r="AC666" s="16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6">
        <v>0</v>
      </c>
      <c r="AF666" s="6">
        <v>0</v>
      </c>
      <c r="AG666" t="s">
        <v>241</v>
      </c>
      <c r="AH666" t="s">
        <v>229</v>
      </c>
      <c r="AI666" t="s">
        <v>229</v>
      </c>
      <c r="AJ666" s="2" t="s">
        <v>229</v>
      </c>
      <c r="AK666" s="2" t="s">
        <v>244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44" t="b">
        <v>0</v>
      </c>
      <c r="AP666" s="48" t="b">
        <v>0</v>
      </c>
      <c r="AQ666" s="48" t="b">
        <v>0</v>
      </c>
      <c r="AR666" s="48">
        <v>2</v>
      </c>
      <c r="AS666" s="48" t="b">
        <v>0</v>
      </c>
      <c r="AT666" s="7" t="b">
        <v>0</v>
      </c>
      <c r="AU666" s="40" t="str" cm="1">
        <f t="array" ref="AU666">_xlfn.XLOOKUP(PROPERTIES[[#This Row],[VEHIDCODE]],GRAPHICS_PROPERTIES[VEHIDCODE],GRAPHICS_PROPERTIES[TEMPLATE_ID]&amp;GRAPHICS_PROPERTIES[TEMPLATE_AMENDMENT_CODE])</f>
        <v>TPL_04B</v>
      </c>
    </row>
    <row r="667" spans="1:47" x14ac:dyDescent="0.35">
      <c r="A667" s="2" t="s">
        <v>161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0" t="str">
        <f>_xlfn.XLOOKUP(PROPERTIES[[#This Row],[VEHIDCODE]],CONTROL[VEHIDCODE],CONTROL[ENGLISH])</f>
        <v>3rd Gen Wooden Boxcar [Food]</v>
      </c>
      <c r="G667" s="40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3672</v>
      </c>
      <c r="J667">
        <v>40</v>
      </c>
      <c r="K667">
        <v>6</v>
      </c>
      <c r="L667">
        <v>0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3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0">
        <v>0</v>
      </c>
      <c r="AA667" s="19">
        <f>IFERROR(PROPERTIES[[#This Row],[TE_STARTING_KN]]/(PROPERTIES[[#This Row],[WEIGHT]]*9.81),0)</f>
        <v>0</v>
      </c>
      <c r="AB667" s="19">
        <v>0.3</v>
      </c>
      <c r="AC667" s="16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6">
        <v>0</v>
      </c>
      <c r="AF667" s="6">
        <v>0</v>
      </c>
      <c r="AG667" t="s">
        <v>241</v>
      </c>
      <c r="AH667" t="s">
        <v>229</v>
      </c>
      <c r="AI667" t="s">
        <v>229</v>
      </c>
      <c r="AJ667" s="2" t="s">
        <v>229</v>
      </c>
      <c r="AK667" s="2" t="s">
        <v>244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44" t="b">
        <v>0</v>
      </c>
      <c r="AP667" s="48" t="b">
        <v>0</v>
      </c>
      <c r="AQ667" s="48" t="b">
        <v>0</v>
      </c>
      <c r="AR667" s="48">
        <v>2</v>
      </c>
      <c r="AS667" s="48" t="b">
        <v>0</v>
      </c>
      <c r="AT667" s="7" t="b">
        <v>0</v>
      </c>
      <c r="AU667" s="40" t="str" cm="1">
        <f t="array" ref="AU667">_xlfn.XLOOKUP(PROPERTIES[[#This Row],[VEHIDCODE]],GRAPHICS_PROPERTIES[VEHIDCODE],GRAPHICS_PROPERTIES[TEMPLATE_ID]&amp;GRAPHICS_PROPERTIES[TEMPLATE_AMENDMENT_CODE])</f>
        <v>TPL_04B</v>
      </c>
    </row>
    <row r="668" spans="1:47" x14ac:dyDescent="0.35">
      <c r="A668" s="2" t="s">
        <v>162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0" t="str">
        <f>_xlfn.XLOOKUP(PROPERTIES[[#This Row],[VEHIDCODE]],CONTROL[VEHIDCODE],CONTROL[ENGLISH])</f>
        <v>3rd Gen Wooden Boxcar [Non-Food]</v>
      </c>
      <c r="G668" s="40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3671</v>
      </c>
      <c r="J668">
        <v>40</v>
      </c>
      <c r="K668">
        <v>6</v>
      </c>
      <c r="L668">
        <v>0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3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0">
        <v>0</v>
      </c>
      <c r="AA668" s="19">
        <f>IFERROR(PROPERTIES[[#This Row],[TE_STARTING_KN]]/(PROPERTIES[[#This Row],[WEIGHT]]*9.81),0)</f>
        <v>0</v>
      </c>
      <c r="AB668" s="19">
        <v>0.3</v>
      </c>
      <c r="AC668" s="16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6">
        <v>0</v>
      </c>
      <c r="AF668" s="6">
        <v>0</v>
      </c>
      <c r="AG668" t="s">
        <v>241</v>
      </c>
      <c r="AH668" t="s">
        <v>229</v>
      </c>
      <c r="AI668" t="s">
        <v>229</v>
      </c>
      <c r="AJ668" s="2" t="s">
        <v>229</v>
      </c>
      <c r="AK668" s="2" t="s">
        <v>244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44" t="b">
        <v>0</v>
      </c>
      <c r="AP668" s="48" t="b">
        <v>0</v>
      </c>
      <c r="AQ668" s="48" t="b">
        <v>0</v>
      </c>
      <c r="AR668" s="48">
        <v>2</v>
      </c>
      <c r="AS668" s="48" t="b">
        <v>0</v>
      </c>
      <c r="AT668" s="7" t="b">
        <v>0</v>
      </c>
      <c r="AU668" s="40" t="str" cm="1">
        <f t="array" ref="AU668">_xlfn.XLOOKUP(PROPERTIES[[#This Row],[VEHIDCODE]],GRAPHICS_PROPERTIES[VEHIDCODE],GRAPHICS_PROPERTIES[TEMPLATE_ID]&amp;GRAPHICS_PROPERTIES[TEMPLATE_AMENDMENT_CODE])</f>
        <v>TPL_04B</v>
      </c>
    </row>
    <row r="669" spans="1:47" x14ac:dyDescent="0.35">
      <c r="A669" s="2" t="s">
        <v>163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0" t="str">
        <f>_xlfn.XLOOKUP(PROPERTIES[[#This Row],[VEHIDCODE]],CONTROL[VEHIDCODE],CONTROL[ENGLISH])</f>
        <v>3rd Gen Tanker</v>
      </c>
      <c r="G669" s="40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35</v>
      </c>
      <c r="J669">
        <v>35</v>
      </c>
      <c r="K669">
        <v>6</v>
      </c>
      <c r="L669">
        <v>0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3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0">
        <v>0</v>
      </c>
      <c r="AA669" s="19">
        <f>IFERROR(PROPERTIES[[#This Row],[TE_STARTING_KN]]/(PROPERTIES[[#This Row],[WEIGHT]]*9.81),0)</f>
        <v>0</v>
      </c>
      <c r="AB669" s="19">
        <v>0.3</v>
      </c>
      <c r="AC669" s="16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6">
        <v>0</v>
      </c>
      <c r="AF669" s="6">
        <v>0</v>
      </c>
      <c r="AG669" t="s">
        <v>241</v>
      </c>
      <c r="AH669" t="s">
        <v>229</v>
      </c>
      <c r="AI669" t="s">
        <v>229</v>
      </c>
      <c r="AJ669" s="2" t="s">
        <v>229</v>
      </c>
      <c r="AK669" s="2" t="s">
        <v>244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44" t="b">
        <v>0</v>
      </c>
      <c r="AP669" s="48" t="b">
        <v>0</v>
      </c>
      <c r="AQ669" s="48" t="b">
        <v>0</v>
      </c>
      <c r="AR669" s="48">
        <v>2</v>
      </c>
      <c r="AS669" s="48" t="b">
        <v>0</v>
      </c>
      <c r="AT669" s="7" t="b">
        <v>0</v>
      </c>
      <c r="AU669" s="40" t="str" cm="1">
        <f t="array" ref="AU669">_xlfn.XLOOKUP(PROPERTIES[[#This Row],[VEHIDCODE]],GRAPHICS_PROPERTIES[VEHIDCODE],GRAPHICS_PROPERTIES[TEMPLATE_ID]&amp;GRAPHICS_PROPERTIES[TEMPLATE_AMENDMENT_CODE])</f>
        <v>TPL_04B</v>
      </c>
    </row>
    <row r="670" spans="1:47" x14ac:dyDescent="0.35">
      <c r="A670" s="2" t="s">
        <v>164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0" t="str">
        <f>_xlfn.XLOOKUP(PROPERTIES[[#This Row],[VEHIDCODE]],CONTROL[VEHIDCODE],CONTROL[ENGLISH])</f>
        <v>3rd Gen Open Wagon</v>
      </c>
      <c r="G670" s="40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3666</v>
      </c>
      <c r="J670">
        <v>35</v>
      </c>
      <c r="K670">
        <v>6</v>
      </c>
      <c r="L670">
        <v>0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3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0">
        <v>0</v>
      </c>
      <c r="AA670" s="19">
        <f>IFERROR(PROPERTIES[[#This Row],[TE_STARTING_KN]]/(PROPERTIES[[#This Row],[WEIGHT]]*9.81),0)</f>
        <v>0</v>
      </c>
      <c r="AB670" s="19">
        <v>0.3</v>
      </c>
      <c r="AC670" s="16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6">
        <v>0</v>
      </c>
      <c r="AF670" s="6">
        <v>0</v>
      </c>
      <c r="AG670" t="s">
        <v>241</v>
      </c>
      <c r="AH670" t="s">
        <v>229</v>
      </c>
      <c r="AI670" t="s">
        <v>229</v>
      </c>
      <c r="AJ670" s="2" t="s">
        <v>229</v>
      </c>
      <c r="AK670" s="2" t="s">
        <v>244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44" t="b">
        <v>0</v>
      </c>
      <c r="AP670" s="48" t="b">
        <v>0</v>
      </c>
      <c r="AQ670" s="48" t="b">
        <v>0</v>
      </c>
      <c r="AR670" s="48">
        <v>2</v>
      </c>
      <c r="AS670" s="48" t="b">
        <v>1</v>
      </c>
      <c r="AT670" s="7" t="b">
        <v>0</v>
      </c>
      <c r="AU670" s="40" t="str" cm="1">
        <f t="array" ref="AU670">_xlfn.XLOOKUP(PROPERTIES[[#This Row],[VEHIDCODE]],GRAPHICS_PROPERTIES[VEHIDCODE],GRAPHICS_PROPERTIES[TEMPLATE_ID]&amp;GRAPHICS_PROPERTIES[TEMPLATE_AMENDMENT_CODE])</f>
        <v>TPL_04B</v>
      </c>
    </row>
    <row r="671" spans="1:47" x14ac:dyDescent="0.35">
      <c r="A671" s="2" t="s">
        <v>165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0" t="str">
        <f>_xlfn.XLOOKUP(PROPERTIES[[#This Row],[VEHIDCODE]],CONTROL[VEHIDCODE],CONTROL[ENGLISH])</f>
        <v>3rd Gen Silo [Food]</v>
      </c>
      <c r="G671" s="40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3669</v>
      </c>
      <c r="J671">
        <v>40</v>
      </c>
      <c r="K671">
        <v>6</v>
      </c>
      <c r="L671">
        <v>0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3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0">
        <v>0</v>
      </c>
      <c r="AA671" s="19">
        <f>IFERROR(PROPERTIES[[#This Row],[TE_STARTING_KN]]/(PROPERTIES[[#This Row],[WEIGHT]]*9.81),0)</f>
        <v>0</v>
      </c>
      <c r="AB671" s="19">
        <v>0.3</v>
      </c>
      <c r="AC671" s="16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6">
        <v>0</v>
      </c>
      <c r="AF671" s="6">
        <v>0</v>
      </c>
      <c r="AG671" t="s">
        <v>241</v>
      </c>
      <c r="AH671" t="s">
        <v>229</v>
      </c>
      <c r="AI671" t="s">
        <v>229</v>
      </c>
      <c r="AJ671" s="2" t="s">
        <v>229</v>
      </c>
      <c r="AK671" s="2" t="s">
        <v>244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44" t="b">
        <v>0</v>
      </c>
      <c r="AP671" s="48" t="b">
        <v>0</v>
      </c>
      <c r="AQ671" s="48" t="b">
        <v>0</v>
      </c>
      <c r="AR671" s="48">
        <v>2</v>
      </c>
      <c r="AS671" s="48" t="b">
        <v>0</v>
      </c>
      <c r="AT671" s="7" t="b">
        <v>0</v>
      </c>
      <c r="AU671" s="40" t="str" cm="1">
        <f t="array" ref="AU671">_xlfn.XLOOKUP(PROPERTIES[[#This Row],[VEHIDCODE]],GRAPHICS_PROPERTIES[VEHIDCODE],GRAPHICS_PROPERTIES[TEMPLATE_ID]&amp;GRAPHICS_PROPERTIES[TEMPLATE_AMENDMENT_CODE])</f>
        <v>TPL_04B</v>
      </c>
    </row>
    <row r="672" spans="1:47" x14ac:dyDescent="0.35">
      <c r="A672" s="2" t="s">
        <v>166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0" t="str">
        <f>_xlfn.XLOOKUP(PROPERTIES[[#This Row],[VEHIDCODE]],CONTROL[VEHIDCODE],CONTROL[ENGLISH])</f>
        <v>3rd Gen Silo [Non-Food]</v>
      </c>
      <c r="G672" s="40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3670</v>
      </c>
      <c r="J672">
        <v>40</v>
      </c>
      <c r="K672">
        <v>6</v>
      </c>
      <c r="L672">
        <v>0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3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0">
        <v>0</v>
      </c>
      <c r="AA672" s="19">
        <f>IFERROR(PROPERTIES[[#This Row],[TE_STARTING_KN]]/(PROPERTIES[[#This Row],[WEIGHT]]*9.81),0)</f>
        <v>0</v>
      </c>
      <c r="AB672" s="19">
        <v>0.3</v>
      </c>
      <c r="AC672" s="16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6">
        <v>0</v>
      </c>
      <c r="AF672" s="6">
        <v>0</v>
      </c>
      <c r="AG672" t="s">
        <v>241</v>
      </c>
      <c r="AH672" t="s">
        <v>229</v>
      </c>
      <c r="AI672" t="s">
        <v>229</v>
      </c>
      <c r="AJ672" s="2" t="s">
        <v>229</v>
      </c>
      <c r="AK672" s="2" t="s">
        <v>244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44" t="b">
        <v>0</v>
      </c>
      <c r="AP672" s="48" t="b">
        <v>0</v>
      </c>
      <c r="AQ672" s="48" t="b">
        <v>0</v>
      </c>
      <c r="AR672" s="48">
        <v>2</v>
      </c>
      <c r="AS672" s="48" t="b">
        <v>0</v>
      </c>
      <c r="AT672" s="7" t="b">
        <v>0</v>
      </c>
      <c r="AU672" s="40" t="str" cm="1">
        <f t="array" ref="AU672">_xlfn.XLOOKUP(PROPERTIES[[#This Row],[VEHIDCODE]],GRAPHICS_PROPERTIES[VEHIDCODE],GRAPHICS_PROPERTIES[TEMPLATE_ID]&amp;GRAPHICS_PROPERTIES[TEMPLATE_AMENDMENT_CODE])</f>
        <v>TPL_04B</v>
      </c>
    </row>
    <row r="673" spans="1:47" x14ac:dyDescent="0.35">
      <c r="A673" s="2" t="s">
        <v>167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0" t="str">
        <f>_xlfn.XLOOKUP(PROPERTIES[[#This Row],[VEHIDCODE]],CONTROL[VEHIDCODE],CONTROL[ENGLISH])</f>
        <v>3rd Gen Hopper</v>
      </c>
      <c r="G673" s="40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32</v>
      </c>
      <c r="J673">
        <v>40</v>
      </c>
      <c r="K673">
        <v>6</v>
      </c>
      <c r="L673">
        <v>0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3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0">
        <v>0</v>
      </c>
      <c r="AA673" s="19">
        <f>IFERROR(PROPERTIES[[#This Row],[TE_STARTING_KN]]/(PROPERTIES[[#This Row],[WEIGHT]]*9.81),0)</f>
        <v>0</v>
      </c>
      <c r="AB673" s="19">
        <v>0.3</v>
      </c>
      <c r="AC673" s="16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6">
        <v>0</v>
      </c>
      <c r="AF673" s="6">
        <v>0</v>
      </c>
      <c r="AG673" t="s">
        <v>241</v>
      </c>
      <c r="AH673" t="s">
        <v>229</v>
      </c>
      <c r="AI673" t="s">
        <v>229</v>
      </c>
      <c r="AJ673" s="2" t="s">
        <v>229</v>
      </c>
      <c r="AK673" s="2" t="s">
        <v>244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44" t="b">
        <v>0</v>
      </c>
      <c r="AP673" s="48" t="b">
        <v>0</v>
      </c>
      <c r="AQ673" s="48" t="b">
        <v>0</v>
      </c>
      <c r="AR673" s="48">
        <v>2</v>
      </c>
      <c r="AS673" s="48" t="b">
        <v>0</v>
      </c>
      <c r="AT673" s="7" t="b">
        <v>0</v>
      </c>
      <c r="AU673" s="40" t="str" cm="1">
        <f t="array" ref="AU673">_xlfn.XLOOKUP(PROPERTIES[[#This Row],[VEHIDCODE]],GRAPHICS_PROPERTIES[VEHIDCODE],GRAPHICS_PROPERTIES[TEMPLATE_ID]&amp;GRAPHICS_PROPERTIES[TEMPLATE_AMENDMENT_CODE])</f>
        <v>TPL_04B</v>
      </c>
    </row>
    <row r="674" spans="1:47" x14ac:dyDescent="0.35">
      <c r="A674" s="2" t="s">
        <v>168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0" t="str">
        <f>_xlfn.XLOOKUP(PROPERTIES[[#This Row],[VEHIDCODE]],CONTROL[VEHIDCODE],CONTROL[ENGLISH])</f>
        <v>4th Gen Flatcar</v>
      </c>
      <c r="G674" s="40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29</v>
      </c>
      <c r="J674">
        <v>50</v>
      </c>
      <c r="K674">
        <v>7</v>
      </c>
      <c r="L674">
        <v>0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3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0">
        <v>0</v>
      </c>
      <c r="AA674" s="19">
        <f>IFERROR(PROPERTIES[[#This Row],[TE_STARTING_KN]]/(PROPERTIES[[#This Row],[WEIGHT]]*9.81),0)</f>
        <v>0</v>
      </c>
      <c r="AB674" s="19">
        <v>0.3</v>
      </c>
      <c r="AC674" s="16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6">
        <v>0</v>
      </c>
      <c r="AF674" s="6">
        <v>0</v>
      </c>
      <c r="AG674" t="s">
        <v>241</v>
      </c>
      <c r="AH674" t="s">
        <v>229</v>
      </c>
      <c r="AI674" t="s">
        <v>229</v>
      </c>
      <c r="AJ674" s="2" t="s">
        <v>229</v>
      </c>
      <c r="AK674" s="2" t="s">
        <v>244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44" t="b">
        <v>0</v>
      </c>
      <c r="AP674" s="48" t="b">
        <v>0</v>
      </c>
      <c r="AQ674" s="48" t="b">
        <v>0</v>
      </c>
      <c r="AR674" s="48">
        <v>2</v>
      </c>
      <c r="AS674" s="48" t="b">
        <v>0</v>
      </c>
      <c r="AT674" s="7" t="b">
        <v>0</v>
      </c>
      <c r="AU674" s="40" t="str" cm="1">
        <f t="array" ref="AU674">_xlfn.XLOOKUP(PROPERTIES[[#This Row],[VEHIDCODE]],GRAPHICS_PROPERTIES[VEHIDCODE],GRAPHICS_PROPERTIES[TEMPLATE_ID]&amp;GRAPHICS_PROPERTIES[TEMPLATE_AMENDMENT_CODE])</f>
        <v>TPL_04B</v>
      </c>
    </row>
    <row r="675" spans="1:47" x14ac:dyDescent="0.35">
      <c r="A675" s="2" t="s">
        <v>169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0" t="str">
        <f>_xlfn.XLOOKUP(PROPERTIES[[#This Row],[VEHIDCODE]],CONTROL[VEHIDCODE],CONTROL[ENGLISH])</f>
        <v>4th Gen Heavy Flatcar</v>
      </c>
      <c r="G675" s="40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31</v>
      </c>
      <c r="J675">
        <v>70</v>
      </c>
      <c r="K675">
        <v>7</v>
      </c>
      <c r="L675">
        <v>0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3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0">
        <v>0</v>
      </c>
      <c r="AA675" s="19">
        <f>IFERROR(PROPERTIES[[#This Row],[TE_STARTING_KN]]/(PROPERTIES[[#This Row],[WEIGHT]]*9.81),0)</f>
        <v>0</v>
      </c>
      <c r="AB675" s="19">
        <v>0.3</v>
      </c>
      <c r="AC675" s="16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6">
        <v>0</v>
      </c>
      <c r="AF675" s="6">
        <v>0</v>
      </c>
      <c r="AG675" t="s">
        <v>241</v>
      </c>
      <c r="AH675" t="s">
        <v>229</v>
      </c>
      <c r="AI675" t="s">
        <v>229</v>
      </c>
      <c r="AJ675" s="2" t="s">
        <v>229</v>
      </c>
      <c r="AK675" s="2" t="s">
        <v>244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44" t="b">
        <v>0</v>
      </c>
      <c r="AP675" s="48" t="b">
        <v>0</v>
      </c>
      <c r="AQ675" s="48" t="b">
        <v>0</v>
      </c>
      <c r="AR675" s="48">
        <v>2</v>
      </c>
      <c r="AS675" s="48" t="b">
        <v>0</v>
      </c>
      <c r="AT675" s="7" t="b">
        <v>0</v>
      </c>
      <c r="AU675" s="40" t="str" cm="1">
        <f t="array" ref="AU675">_xlfn.XLOOKUP(PROPERTIES[[#This Row],[VEHIDCODE]],GRAPHICS_PROPERTIES[VEHIDCODE],GRAPHICS_PROPERTIES[TEMPLATE_ID]&amp;GRAPHICS_PROPERTIES[TEMPLATE_AMENDMENT_CODE])</f>
        <v>TPL_04B</v>
      </c>
    </row>
    <row r="676" spans="1:47" x14ac:dyDescent="0.35">
      <c r="A676" s="2" t="s">
        <v>170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0" t="str">
        <f>_xlfn.XLOOKUP(PROPERTIES[[#This Row],[VEHIDCODE]],CONTROL[VEHIDCODE],CONTROL[ENGLISH])</f>
        <v>4th Gen Boxcar [Food]</v>
      </c>
      <c r="G676" s="40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3672</v>
      </c>
      <c r="J676">
        <v>42</v>
      </c>
      <c r="K676">
        <v>7</v>
      </c>
      <c r="L676">
        <v>0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3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0">
        <v>0</v>
      </c>
      <c r="AA676" s="19">
        <f>IFERROR(PROPERTIES[[#This Row],[TE_STARTING_KN]]/(PROPERTIES[[#This Row],[WEIGHT]]*9.81),0)</f>
        <v>0</v>
      </c>
      <c r="AB676" s="19">
        <v>0.3</v>
      </c>
      <c r="AC676" s="16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6">
        <v>0</v>
      </c>
      <c r="AF676" s="6">
        <v>0</v>
      </c>
      <c r="AG676" t="s">
        <v>241</v>
      </c>
      <c r="AH676" t="s">
        <v>229</v>
      </c>
      <c r="AI676" t="s">
        <v>229</v>
      </c>
      <c r="AJ676" s="2" t="s">
        <v>229</v>
      </c>
      <c r="AK676" s="2" t="s">
        <v>244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44" t="b">
        <v>0</v>
      </c>
      <c r="AP676" s="48" t="b">
        <v>0</v>
      </c>
      <c r="AQ676" s="48" t="b">
        <v>0</v>
      </c>
      <c r="AR676" s="48">
        <v>2</v>
      </c>
      <c r="AS676" s="48" t="b">
        <v>0</v>
      </c>
      <c r="AT676" s="7" t="b">
        <v>0</v>
      </c>
      <c r="AU676" s="40" t="str" cm="1">
        <f t="array" ref="AU676">_xlfn.XLOOKUP(PROPERTIES[[#This Row],[VEHIDCODE]],GRAPHICS_PROPERTIES[VEHIDCODE],GRAPHICS_PROPERTIES[TEMPLATE_ID]&amp;GRAPHICS_PROPERTIES[TEMPLATE_AMENDMENT_CODE])</f>
        <v>TPL_04B</v>
      </c>
    </row>
    <row r="677" spans="1:47" x14ac:dyDescent="0.35">
      <c r="A677" s="2" t="s">
        <v>171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0" t="str">
        <f>_xlfn.XLOOKUP(PROPERTIES[[#This Row],[VEHIDCODE]],CONTROL[VEHIDCODE],CONTROL[ENGLISH])</f>
        <v>4th Gen Boxcar [Non-Food]</v>
      </c>
      <c r="G677" s="40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3671</v>
      </c>
      <c r="J677">
        <v>42</v>
      </c>
      <c r="K677">
        <v>7</v>
      </c>
      <c r="L677">
        <v>0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3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0">
        <v>0</v>
      </c>
      <c r="AA677" s="19">
        <f>IFERROR(PROPERTIES[[#This Row],[TE_STARTING_KN]]/(PROPERTIES[[#This Row],[WEIGHT]]*9.81),0)</f>
        <v>0</v>
      </c>
      <c r="AB677" s="19">
        <v>0.3</v>
      </c>
      <c r="AC677" s="16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6">
        <v>0</v>
      </c>
      <c r="AF677" s="6">
        <v>0</v>
      </c>
      <c r="AG677" t="s">
        <v>241</v>
      </c>
      <c r="AH677" t="s">
        <v>229</v>
      </c>
      <c r="AI677" t="s">
        <v>229</v>
      </c>
      <c r="AJ677" s="2" t="s">
        <v>229</v>
      </c>
      <c r="AK677" s="2" t="s">
        <v>244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44" t="b">
        <v>0</v>
      </c>
      <c r="AP677" s="48" t="b">
        <v>0</v>
      </c>
      <c r="AQ677" s="48" t="b">
        <v>0</v>
      </c>
      <c r="AR677" s="48">
        <v>2</v>
      </c>
      <c r="AS677" s="48" t="b">
        <v>0</v>
      </c>
      <c r="AT677" s="7" t="b">
        <v>0</v>
      </c>
      <c r="AU677" s="40" t="str" cm="1">
        <f t="array" ref="AU677">_xlfn.XLOOKUP(PROPERTIES[[#This Row],[VEHIDCODE]],GRAPHICS_PROPERTIES[VEHIDCODE],GRAPHICS_PROPERTIES[TEMPLATE_ID]&amp;GRAPHICS_PROPERTIES[TEMPLATE_AMENDMENT_CODE])</f>
        <v>TPL_04B</v>
      </c>
    </row>
    <row r="678" spans="1:47" x14ac:dyDescent="0.35">
      <c r="A678" s="2" t="s">
        <v>172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0" t="str">
        <f>_xlfn.XLOOKUP(PROPERTIES[[#This Row],[VEHIDCODE]],CONTROL[VEHIDCODE],CONTROL[ENGLISH])</f>
        <v>4th Gen Tanker</v>
      </c>
      <c r="G678" s="40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35</v>
      </c>
      <c r="J678">
        <v>80</v>
      </c>
      <c r="K678">
        <v>7</v>
      </c>
      <c r="L678">
        <v>0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3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0">
        <v>0</v>
      </c>
      <c r="AA678" s="19">
        <f>IFERROR(PROPERTIES[[#This Row],[TE_STARTING_KN]]/(PROPERTIES[[#This Row],[WEIGHT]]*9.81),0)</f>
        <v>0</v>
      </c>
      <c r="AB678" s="19">
        <v>0.3</v>
      </c>
      <c r="AC678" s="16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6">
        <v>0</v>
      </c>
      <c r="AF678" s="6">
        <v>0</v>
      </c>
      <c r="AG678" t="s">
        <v>241</v>
      </c>
      <c r="AH678" t="s">
        <v>229</v>
      </c>
      <c r="AI678" t="s">
        <v>229</v>
      </c>
      <c r="AJ678" s="2" t="s">
        <v>229</v>
      </c>
      <c r="AK678" s="2" t="s">
        <v>244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44" t="b">
        <v>0</v>
      </c>
      <c r="AP678" s="48" t="b">
        <v>0</v>
      </c>
      <c r="AQ678" s="48" t="b">
        <v>0</v>
      </c>
      <c r="AR678" s="48">
        <v>2</v>
      </c>
      <c r="AS678" s="48" t="b">
        <v>0</v>
      </c>
      <c r="AT678" s="7" t="b">
        <v>0</v>
      </c>
      <c r="AU678" s="40" t="str" cm="1">
        <f t="array" ref="AU678">_xlfn.XLOOKUP(PROPERTIES[[#This Row],[VEHIDCODE]],GRAPHICS_PROPERTIES[VEHIDCODE],GRAPHICS_PROPERTIES[TEMPLATE_ID]&amp;GRAPHICS_PROPERTIES[TEMPLATE_AMENDMENT_CODE])</f>
        <v>TPL_04B</v>
      </c>
    </row>
    <row r="679" spans="1:47" x14ac:dyDescent="0.35">
      <c r="A679" s="2" t="s">
        <v>173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0" t="str">
        <f>_xlfn.XLOOKUP(PROPERTIES[[#This Row],[VEHIDCODE]],CONTROL[VEHIDCODE],CONTROL[ENGLISH])</f>
        <v>4th Gen Gondola</v>
      </c>
      <c r="G679" s="40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30</v>
      </c>
      <c r="J679">
        <v>55</v>
      </c>
      <c r="K679">
        <v>7</v>
      </c>
      <c r="L679">
        <v>0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3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0">
        <v>0</v>
      </c>
      <c r="AA679" s="19">
        <f>IFERROR(PROPERTIES[[#This Row],[TE_STARTING_KN]]/(PROPERTIES[[#This Row],[WEIGHT]]*9.81),0)</f>
        <v>0</v>
      </c>
      <c r="AB679" s="19">
        <v>0.3</v>
      </c>
      <c r="AC679" s="16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6">
        <v>0</v>
      </c>
      <c r="AF679" s="6">
        <v>0</v>
      </c>
      <c r="AG679" t="s">
        <v>241</v>
      </c>
      <c r="AH679" t="s">
        <v>229</v>
      </c>
      <c r="AI679" t="s">
        <v>229</v>
      </c>
      <c r="AJ679" s="2" t="s">
        <v>229</v>
      </c>
      <c r="AK679" s="2" t="s">
        <v>244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44" t="b">
        <v>0</v>
      </c>
      <c r="AP679" s="48" t="b">
        <v>0</v>
      </c>
      <c r="AQ679" s="48" t="b">
        <v>0</v>
      </c>
      <c r="AR679" s="48">
        <v>2</v>
      </c>
      <c r="AS679" s="48" t="b">
        <v>1</v>
      </c>
      <c r="AT679" s="7" t="b">
        <v>0</v>
      </c>
      <c r="AU679" s="40" t="str" cm="1">
        <f t="array" ref="AU679">_xlfn.XLOOKUP(PROPERTIES[[#This Row],[VEHIDCODE]],GRAPHICS_PROPERTIES[VEHIDCODE],GRAPHICS_PROPERTIES[TEMPLATE_ID]&amp;GRAPHICS_PROPERTIES[TEMPLATE_AMENDMENT_CODE])</f>
        <v>TPL_04B</v>
      </c>
    </row>
    <row r="680" spans="1:47" x14ac:dyDescent="0.35">
      <c r="A680" s="2" t="s">
        <v>174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0" t="str">
        <f>_xlfn.XLOOKUP(PROPERTIES[[#This Row],[VEHIDCODE]],CONTROL[VEHIDCODE],CONTROL[ENGLISH])</f>
        <v>4th Gen Silo [Food]</v>
      </c>
      <c r="G680" s="40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3669</v>
      </c>
      <c r="J680">
        <v>55</v>
      </c>
      <c r="K680">
        <v>7</v>
      </c>
      <c r="L680">
        <v>0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3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0">
        <v>0</v>
      </c>
      <c r="AA680" s="19">
        <f>IFERROR(PROPERTIES[[#This Row],[TE_STARTING_KN]]/(PROPERTIES[[#This Row],[WEIGHT]]*9.81),0)</f>
        <v>0</v>
      </c>
      <c r="AB680" s="19">
        <v>0.3</v>
      </c>
      <c r="AC680" s="16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6">
        <v>0</v>
      </c>
      <c r="AF680" s="6">
        <v>0</v>
      </c>
      <c r="AG680" t="s">
        <v>241</v>
      </c>
      <c r="AH680" t="s">
        <v>229</v>
      </c>
      <c r="AI680" t="s">
        <v>229</v>
      </c>
      <c r="AJ680" s="2" t="s">
        <v>229</v>
      </c>
      <c r="AK680" s="2" t="s">
        <v>244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44" t="b">
        <v>0</v>
      </c>
      <c r="AP680" s="48" t="b">
        <v>0</v>
      </c>
      <c r="AQ680" s="48" t="b">
        <v>0</v>
      </c>
      <c r="AR680" s="48">
        <v>2</v>
      </c>
      <c r="AS680" s="48" t="b">
        <v>0</v>
      </c>
      <c r="AT680" s="7" t="b">
        <v>0</v>
      </c>
      <c r="AU680" s="40" t="str" cm="1">
        <f t="array" ref="AU680">_xlfn.XLOOKUP(PROPERTIES[[#This Row],[VEHIDCODE]],GRAPHICS_PROPERTIES[VEHIDCODE],GRAPHICS_PROPERTIES[TEMPLATE_ID]&amp;GRAPHICS_PROPERTIES[TEMPLATE_AMENDMENT_CODE])</f>
        <v>TPL_04B</v>
      </c>
    </row>
    <row r="681" spans="1:47" x14ac:dyDescent="0.35">
      <c r="A681" s="2" t="s">
        <v>175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0" t="str">
        <f>_xlfn.XLOOKUP(PROPERTIES[[#This Row],[VEHIDCODE]],CONTROL[VEHIDCODE],CONTROL[ENGLISH])</f>
        <v>4th Gen Silo [Non-Food]</v>
      </c>
      <c r="G681" s="40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3670</v>
      </c>
      <c r="J681">
        <v>55</v>
      </c>
      <c r="K681">
        <v>7</v>
      </c>
      <c r="L681">
        <v>0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3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0">
        <v>0</v>
      </c>
      <c r="AA681" s="19">
        <f>IFERROR(PROPERTIES[[#This Row],[TE_STARTING_KN]]/(PROPERTIES[[#This Row],[WEIGHT]]*9.81),0)</f>
        <v>0</v>
      </c>
      <c r="AB681" s="19">
        <v>0.3</v>
      </c>
      <c r="AC681" s="16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6">
        <v>0</v>
      </c>
      <c r="AF681" s="6">
        <v>0</v>
      </c>
      <c r="AG681" t="s">
        <v>241</v>
      </c>
      <c r="AH681" t="s">
        <v>229</v>
      </c>
      <c r="AI681" t="s">
        <v>229</v>
      </c>
      <c r="AJ681" s="2" t="s">
        <v>229</v>
      </c>
      <c r="AK681" s="2" t="s">
        <v>244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44" t="b">
        <v>0</v>
      </c>
      <c r="AP681" s="48" t="b">
        <v>0</v>
      </c>
      <c r="AQ681" s="48" t="b">
        <v>0</v>
      </c>
      <c r="AR681" s="48">
        <v>2</v>
      </c>
      <c r="AS681" s="48" t="b">
        <v>0</v>
      </c>
      <c r="AT681" s="7" t="b">
        <v>0</v>
      </c>
      <c r="AU681" s="40" t="str" cm="1">
        <f t="array" ref="AU681">_xlfn.XLOOKUP(PROPERTIES[[#This Row],[VEHIDCODE]],GRAPHICS_PROPERTIES[VEHIDCODE],GRAPHICS_PROPERTIES[TEMPLATE_ID]&amp;GRAPHICS_PROPERTIES[TEMPLATE_AMENDMENT_CODE])</f>
        <v>TPL_04B</v>
      </c>
    </row>
    <row r="682" spans="1:47" x14ac:dyDescent="0.35">
      <c r="A682" s="2" t="s">
        <v>176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0" t="str">
        <f>_xlfn.XLOOKUP(PROPERTIES[[#This Row],[VEHIDCODE]],CONTROL[VEHIDCODE],CONTROL[ENGLISH])</f>
        <v>4th Gen Self-discharging Hopper [Food]</v>
      </c>
      <c r="G682" s="40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3667</v>
      </c>
      <c r="J682">
        <v>55</v>
      </c>
      <c r="K682">
        <v>7</v>
      </c>
      <c r="L682">
        <v>0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3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0">
        <v>0</v>
      </c>
      <c r="AA682" s="19">
        <f>IFERROR(PROPERTIES[[#This Row],[TE_STARTING_KN]]/(PROPERTIES[[#This Row],[WEIGHT]]*9.81),0)</f>
        <v>0</v>
      </c>
      <c r="AB682" s="19">
        <v>0.3</v>
      </c>
      <c r="AC682" s="16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6">
        <v>0</v>
      </c>
      <c r="AF682" s="6">
        <v>0</v>
      </c>
      <c r="AG682" t="s">
        <v>241</v>
      </c>
      <c r="AH682" t="s">
        <v>229</v>
      </c>
      <c r="AI682" t="s">
        <v>229</v>
      </c>
      <c r="AJ682" s="2" t="s">
        <v>229</v>
      </c>
      <c r="AK682" s="2" t="s">
        <v>244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44" t="b">
        <v>0</v>
      </c>
      <c r="AP682" s="48" t="b">
        <v>0</v>
      </c>
      <c r="AQ682" s="48" t="b">
        <v>0</v>
      </c>
      <c r="AR682" s="48">
        <v>2</v>
      </c>
      <c r="AS682" s="48" t="b">
        <v>1</v>
      </c>
      <c r="AT682" s="7" t="b">
        <v>0</v>
      </c>
      <c r="AU682" s="40" t="str" cm="1">
        <f t="array" ref="AU682">_xlfn.XLOOKUP(PROPERTIES[[#This Row],[VEHIDCODE]],GRAPHICS_PROPERTIES[VEHIDCODE],GRAPHICS_PROPERTIES[TEMPLATE_ID]&amp;GRAPHICS_PROPERTIES[TEMPLATE_AMENDMENT_CODE])</f>
        <v>TPL_04B</v>
      </c>
    </row>
    <row r="683" spans="1:47" x14ac:dyDescent="0.35">
      <c r="A683" s="2" t="s">
        <v>177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0" t="str">
        <f>_xlfn.XLOOKUP(PROPERTIES[[#This Row],[VEHIDCODE]],CONTROL[VEHIDCODE],CONTROL[ENGLISH])</f>
        <v>4th Gen Self-discharging Hopper [Non-Food]</v>
      </c>
      <c r="G683" s="40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3668</v>
      </c>
      <c r="J683">
        <v>55</v>
      </c>
      <c r="K683">
        <v>7</v>
      </c>
      <c r="L683">
        <v>0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3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0">
        <v>0</v>
      </c>
      <c r="AA683" s="19">
        <f>IFERROR(PROPERTIES[[#This Row],[TE_STARTING_KN]]/(PROPERTIES[[#This Row],[WEIGHT]]*9.81),0)</f>
        <v>0</v>
      </c>
      <c r="AB683" s="19">
        <v>0.3</v>
      </c>
      <c r="AC683" s="16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6">
        <v>0</v>
      </c>
      <c r="AF683" s="6">
        <v>0</v>
      </c>
      <c r="AG683" t="s">
        <v>241</v>
      </c>
      <c r="AH683" t="s">
        <v>229</v>
      </c>
      <c r="AI683" t="s">
        <v>229</v>
      </c>
      <c r="AJ683" s="2" t="s">
        <v>229</v>
      </c>
      <c r="AK683" s="2" t="s">
        <v>244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44" t="b">
        <v>0</v>
      </c>
      <c r="AP683" s="48" t="b">
        <v>0</v>
      </c>
      <c r="AQ683" s="48" t="b">
        <v>0</v>
      </c>
      <c r="AR683" s="48">
        <v>2</v>
      </c>
      <c r="AS683" s="48" t="b">
        <v>0</v>
      </c>
      <c r="AT683" s="7" t="b">
        <v>0</v>
      </c>
      <c r="AU683" s="40" t="str" cm="1">
        <f t="array" ref="AU683">_xlfn.XLOOKUP(PROPERTIES[[#This Row],[VEHIDCODE]],GRAPHICS_PROPERTIES[VEHIDCODE],GRAPHICS_PROPERTIES[TEMPLATE_ID]&amp;GRAPHICS_PROPERTIES[TEMPLATE_AMENDMENT_CODE])</f>
        <v>TPL_04B</v>
      </c>
    </row>
    <row r="684" spans="1:47" x14ac:dyDescent="0.35">
      <c r="A684" s="2" t="s">
        <v>178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0" t="str">
        <f>_xlfn.XLOOKUP(PROPERTIES[[#This Row],[VEHIDCODE]],CONTROL[VEHIDCODE],CONTROL[ENGLISH])</f>
        <v>4th Gen Car Transporter</v>
      </c>
      <c r="G684" s="40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26</v>
      </c>
      <c r="J684">
        <v>16</v>
      </c>
      <c r="K684">
        <v>7</v>
      </c>
      <c r="L684">
        <v>0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3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0">
        <v>0</v>
      </c>
      <c r="AA684" s="19">
        <f>IFERROR(PROPERTIES[[#This Row],[TE_STARTING_KN]]/(PROPERTIES[[#This Row],[WEIGHT]]*9.81),0)</f>
        <v>0</v>
      </c>
      <c r="AB684" s="19">
        <v>0.3</v>
      </c>
      <c r="AC684" s="16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6">
        <v>0</v>
      </c>
      <c r="AF684" s="6">
        <v>0</v>
      </c>
      <c r="AG684" t="s">
        <v>241</v>
      </c>
      <c r="AH684" t="s">
        <v>229</v>
      </c>
      <c r="AI684" t="s">
        <v>229</v>
      </c>
      <c r="AJ684" s="2" t="s">
        <v>229</v>
      </c>
      <c r="AK684" s="2" t="s">
        <v>244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44" t="b">
        <v>0</v>
      </c>
      <c r="AP684" s="48" t="b">
        <v>0</v>
      </c>
      <c r="AQ684" s="48" t="b">
        <v>0</v>
      </c>
      <c r="AR684" s="48">
        <v>2</v>
      </c>
      <c r="AS684" s="48" t="b">
        <v>0</v>
      </c>
      <c r="AT684" s="7" t="b">
        <v>0</v>
      </c>
      <c r="AU684" s="40" t="str" cm="1">
        <f t="array" ref="AU684">_xlfn.XLOOKUP(PROPERTIES[[#This Row],[VEHIDCODE]],GRAPHICS_PROPERTIES[VEHIDCODE],GRAPHICS_PROPERTIES[TEMPLATE_ID]&amp;GRAPHICS_PROPERTIES[TEMPLATE_AMENDMENT_CODE])</f>
        <v>TPL_04B</v>
      </c>
    </row>
    <row r="685" spans="1:47" x14ac:dyDescent="0.35">
      <c r="A685" s="2" t="s">
        <v>179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0" t="str">
        <f>_xlfn.XLOOKUP(PROPERTIES[[#This Row],[VEHIDCODE]],CONTROL[VEHIDCODE],CONTROL[ENGLISH])</f>
        <v>4th Gen Container Carrier</v>
      </c>
      <c r="G685" s="40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24</v>
      </c>
      <c r="J685">
        <v>37</v>
      </c>
      <c r="K685">
        <v>7</v>
      </c>
      <c r="L685">
        <v>0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3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0">
        <v>0</v>
      </c>
      <c r="AA685" s="19">
        <f>IFERROR(PROPERTIES[[#This Row],[TE_STARTING_KN]]/(PROPERTIES[[#This Row],[WEIGHT]]*9.81),0)</f>
        <v>0</v>
      </c>
      <c r="AB685" s="19">
        <v>0.3</v>
      </c>
      <c r="AC685" s="16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6">
        <v>0</v>
      </c>
      <c r="AF685" s="6">
        <v>0</v>
      </c>
      <c r="AG685" t="s">
        <v>241</v>
      </c>
      <c r="AH685" t="s">
        <v>229</v>
      </c>
      <c r="AI685" t="s">
        <v>229</v>
      </c>
      <c r="AJ685" s="2" t="s">
        <v>229</v>
      </c>
      <c r="AK685" s="2" t="s">
        <v>244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44" t="b">
        <v>0</v>
      </c>
      <c r="AP685" s="48" t="b">
        <v>0</v>
      </c>
      <c r="AQ685" s="48" t="b">
        <v>0</v>
      </c>
      <c r="AR685" s="48">
        <v>2</v>
      </c>
      <c r="AS685" s="48" t="b">
        <v>0</v>
      </c>
      <c r="AT685" s="7" t="b">
        <v>0</v>
      </c>
      <c r="AU685" s="40" t="str" cm="1">
        <f t="array" ref="AU685">_xlfn.XLOOKUP(PROPERTIES[[#This Row],[VEHIDCODE]],GRAPHICS_PROPERTIES[VEHIDCODE],GRAPHICS_PROPERTIES[TEMPLATE_ID]&amp;GRAPHICS_PROPERTIES[TEMPLATE_AMENDMENT_CODE])</f>
        <v>TPL_04B</v>
      </c>
    </row>
    <row r="686" spans="1:47" x14ac:dyDescent="0.35">
      <c r="A686" s="2" t="s">
        <v>180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0" t="str">
        <f>_xlfn.XLOOKUP(PROPERTIES[[#This Row],[VEHIDCODE]],CONTROL[VEHIDCODE],CONTROL[ENGLISH])</f>
        <v>4th Gen Centerbeam Flatcar</v>
      </c>
      <c r="G686" s="40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27</v>
      </c>
      <c r="J686">
        <v>45</v>
      </c>
      <c r="K686">
        <v>7</v>
      </c>
      <c r="L686">
        <v>0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3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0">
        <v>0</v>
      </c>
      <c r="AA686" s="19">
        <f>IFERROR(PROPERTIES[[#This Row],[TE_STARTING_KN]]/(PROPERTIES[[#This Row],[WEIGHT]]*9.81),0)</f>
        <v>0</v>
      </c>
      <c r="AB686" s="19">
        <v>0.3</v>
      </c>
      <c r="AC686" s="16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6">
        <v>0</v>
      </c>
      <c r="AF686" s="6">
        <v>0</v>
      </c>
      <c r="AG686" t="s">
        <v>241</v>
      </c>
      <c r="AH686" t="s">
        <v>229</v>
      </c>
      <c r="AI686" t="s">
        <v>229</v>
      </c>
      <c r="AJ686" s="2" t="s">
        <v>229</v>
      </c>
      <c r="AK686" s="2" t="s">
        <v>244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44" t="b">
        <v>0</v>
      </c>
      <c r="AP686" s="48" t="b">
        <v>0</v>
      </c>
      <c r="AQ686" s="48" t="b">
        <v>0</v>
      </c>
      <c r="AR686" s="48">
        <v>2</v>
      </c>
      <c r="AS686" s="48" t="b">
        <v>0</v>
      </c>
      <c r="AT686" s="7" t="b">
        <v>0</v>
      </c>
      <c r="AU686" s="40" t="str" cm="1">
        <f t="array" ref="AU686">_xlfn.XLOOKUP(PROPERTIES[[#This Row],[VEHIDCODE]],GRAPHICS_PROPERTIES[VEHIDCODE],GRAPHICS_PROPERTIES[TEMPLATE_ID]&amp;GRAPHICS_PROPERTIES[TEMPLATE_AMENDMENT_CODE])</f>
        <v>TPL_04B</v>
      </c>
    </row>
    <row r="687" spans="1:47" x14ac:dyDescent="0.35">
      <c r="A687" s="2" t="s">
        <v>181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0" t="str">
        <f>_xlfn.XLOOKUP(PROPERTIES[[#This Row],[VEHIDCODE]],CONTROL[VEHIDCODE],CONTROL[ENGLISH])</f>
        <v>5th Gen Flatcar</v>
      </c>
      <c r="G687" s="40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29</v>
      </c>
      <c r="J687">
        <v>60</v>
      </c>
      <c r="K687">
        <v>8</v>
      </c>
      <c r="L687">
        <v>0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3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0">
        <v>0</v>
      </c>
      <c r="AA687" s="19">
        <f>IFERROR(PROPERTIES[[#This Row],[TE_STARTING_KN]]/(PROPERTIES[[#This Row],[WEIGHT]]*9.81),0)</f>
        <v>0</v>
      </c>
      <c r="AB687" s="19">
        <v>0.3</v>
      </c>
      <c r="AC687" s="16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6">
        <v>0</v>
      </c>
      <c r="AF687" s="6">
        <v>0</v>
      </c>
      <c r="AG687" t="s">
        <v>241</v>
      </c>
      <c r="AH687" t="s">
        <v>229</v>
      </c>
      <c r="AI687" t="s">
        <v>229</v>
      </c>
      <c r="AJ687" s="2" t="s">
        <v>229</v>
      </c>
      <c r="AK687" s="2" t="s">
        <v>244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44" t="b">
        <v>0</v>
      </c>
      <c r="AP687" s="48" t="b">
        <v>0</v>
      </c>
      <c r="AQ687" s="48" t="b">
        <v>0</v>
      </c>
      <c r="AR687" s="48">
        <v>2</v>
      </c>
      <c r="AS687" s="48" t="b">
        <v>0</v>
      </c>
      <c r="AT687" s="7" t="b">
        <v>0</v>
      </c>
      <c r="AU687" s="40" t="str" cm="1">
        <f t="array" ref="AU687">_xlfn.XLOOKUP(PROPERTIES[[#This Row],[VEHIDCODE]],GRAPHICS_PROPERTIES[VEHIDCODE],GRAPHICS_PROPERTIES[TEMPLATE_ID]&amp;GRAPHICS_PROPERTIES[TEMPLATE_AMENDMENT_CODE])</f>
        <v>TPL_04B</v>
      </c>
    </row>
    <row r="688" spans="1:47" x14ac:dyDescent="0.35">
      <c r="A688" s="2" t="s">
        <v>182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0" t="str">
        <f>_xlfn.XLOOKUP(PROPERTIES[[#This Row],[VEHIDCODE]],CONTROL[VEHIDCODE],CONTROL[ENGLISH])</f>
        <v>5th Gen Heavy Flatcar</v>
      </c>
      <c r="G688" s="40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31</v>
      </c>
      <c r="J688">
        <v>84</v>
      </c>
      <c r="K688">
        <v>8</v>
      </c>
      <c r="L688">
        <v>0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3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0">
        <v>0</v>
      </c>
      <c r="AA688" s="19">
        <f>IFERROR(PROPERTIES[[#This Row],[TE_STARTING_KN]]/(PROPERTIES[[#This Row],[WEIGHT]]*9.81),0)</f>
        <v>0</v>
      </c>
      <c r="AB688" s="19">
        <v>0.3</v>
      </c>
      <c r="AC688" s="16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6">
        <v>0</v>
      </c>
      <c r="AF688" s="6">
        <v>0</v>
      </c>
      <c r="AG688" t="s">
        <v>241</v>
      </c>
      <c r="AH688" t="s">
        <v>229</v>
      </c>
      <c r="AI688" t="s">
        <v>229</v>
      </c>
      <c r="AJ688" s="2" t="s">
        <v>229</v>
      </c>
      <c r="AK688" s="2" t="s">
        <v>244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44" t="b">
        <v>0</v>
      </c>
      <c r="AP688" s="48" t="b">
        <v>0</v>
      </c>
      <c r="AQ688" s="48" t="b">
        <v>0</v>
      </c>
      <c r="AR688" s="48">
        <v>2</v>
      </c>
      <c r="AS688" s="48" t="b">
        <v>0</v>
      </c>
      <c r="AT688" s="7" t="b">
        <v>0</v>
      </c>
      <c r="AU688" s="40" t="str" cm="1">
        <f t="array" ref="AU688">_xlfn.XLOOKUP(PROPERTIES[[#This Row],[VEHIDCODE]],GRAPHICS_PROPERTIES[VEHIDCODE],GRAPHICS_PROPERTIES[TEMPLATE_ID]&amp;GRAPHICS_PROPERTIES[TEMPLATE_AMENDMENT_CODE])</f>
        <v>TPL_04B</v>
      </c>
    </row>
    <row r="689" spans="1:47" x14ac:dyDescent="0.35">
      <c r="A689" s="2" t="s">
        <v>183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0" t="str">
        <f>_xlfn.XLOOKUP(PROPERTIES[[#This Row],[VEHIDCODE]],CONTROL[VEHIDCODE],CONTROL[ENGLISH])</f>
        <v>5th Gen Boxcar [Food]</v>
      </c>
      <c r="G689" s="40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3672</v>
      </c>
      <c r="J689">
        <v>63</v>
      </c>
      <c r="K689">
        <v>8</v>
      </c>
      <c r="L689">
        <v>0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3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0">
        <v>0</v>
      </c>
      <c r="AA689" s="19">
        <f>IFERROR(PROPERTIES[[#This Row],[TE_STARTING_KN]]/(PROPERTIES[[#This Row],[WEIGHT]]*9.81),0)</f>
        <v>0</v>
      </c>
      <c r="AB689" s="19">
        <v>0.3</v>
      </c>
      <c r="AC689" s="16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6">
        <v>0</v>
      </c>
      <c r="AF689" s="6">
        <v>0</v>
      </c>
      <c r="AG689" t="s">
        <v>241</v>
      </c>
      <c r="AH689" t="s">
        <v>229</v>
      </c>
      <c r="AI689" t="s">
        <v>229</v>
      </c>
      <c r="AJ689" s="2" t="s">
        <v>229</v>
      </c>
      <c r="AK689" s="2" t="s">
        <v>244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44" t="b">
        <v>0</v>
      </c>
      <c r="AP689" s="48" t="b">
        <v>0</v>
      </c>
      <c r="AQ689" s="48" t="b">
        <v>0</v>
      </c>
      <c r="AR689" s="48">
        <v>2</v>
      </c>
      <c r="AS689" s="48" t="b">
        <v>0</v>
      </c>
      <c r="AT689" s="7" t="b">
        <v>0</v>
      </c>
      <c r="AU689" s="40" t="str" cm="1">
        <f t="array" ref="AU689">_xlfn.XLOOKUP(PROPERTIES[[#This Row],[VEHIDCODE]],GRAPHICS_PROPERTIES[VEHIDCODE],GRAPHICS_PROPERTIES[TEMPLATE_ID]&amp;GRAPHICS_PROPERTIES[TEMPLATE_AMENDMENT_CODE])</f>
        <v>TPL_04B</v>
      </c>
    </row>
    <row r="690" spans="1:47" x14ac:dyDescent="0.35">
      <c r="A690" s="2" t="s">
        <v>184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0" t="str">
        <f>_xlfn.XLOOKUP(PROPERTIES[[#This Row],[VEHIDCODE]],CONTROL[VEHIDCODE],CONTROL[ENGLISH])</f>
        <v>5th Gen Boxcar [Non-Food]</v>
      </c>
      <c r="G690" s="40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3671</v>
      </c>
      <c r="J690">
        <v>63</v>
      </c>
      <c r="K690">
        <v>8</v>
      </c>
      <c r="L690">
        <v>0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3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0">
        <v>0</v>
      </c>
      <c r="AA690" s="19">
        <f>IFERROR(PROPERTIES[[#This Row],[TE_STARTING_KN]]/(PROPERTIES[[#This Row],[WEIGHT]]*9.81),0)</f>
        <v>0</v>
      </c>
      <c r="AB690" s="19">
        <v>0.3</v>
      </c>
      <c r="AC690" s="16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6">
        <v>0</v>
      </c>
      <c r="AF690" s="6">
        <v>0</v>
      </c>
      <c r="AG690" t="s">
        <v>241</v>
      </c>
      <c r="AH690" t="s">
        <v>229</v>
      </c>
      <c r="AI690" t="s">
        <v>229</v>
      </c>
      <c r="AJ690" s="2" t="s">
        <v>229</v>
      </c>
      <c r="AK690" s="2" t="s">
        <v>244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44" t="b">
        <v>0</v>
      </c>
      <c r="AP690" s="48" t="b">
        <v>0</v>
      </c>
      <c r="AQ690" s="48" t="b">
        <v>0</v>
      </c>
      <c r="AR690" s="48">
        <v>2</v>
      </c>
      <c r="AS690" s="48" t="b">
        <v>0</v>
      </c>
      <c r="AT690" s="7" t="b">
        <v>0</v>
      </c>
      <c r="AU690" s="40" t="str" cm="1">
        <f t="array" ref="AU690">_xlfn.XLOOKUP(PROPERTIES[[#This Row],[VEHIDCODE]],GRAPHICS_PROPERTIES[VEHIDCODE],GRAPHICS_PROPERTIES[TEMPLATE_ID]&amp;GRAPHICS_PROPERTIES[TEMPLATE_AMENDMENT_CODE])</f>
        <v>TPL_04B</v>
      </c>
    </row>
    <row r="691" spans="1:47" x14ac:dyDescent="0.35">
      <c r="A691" s="2" t="s">
        <v>185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0" t="str">
        <f>_xlfn.XLOOKUP(PROPERTIES[[#This Row],[VEHIDCODE]],CONTROL[VEHIDCODE],CONTROL[ENGLISH])</f>
        <v>5th Gen Tanker</v>
      </c>
      <c r="G691" s="40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35</v>
      </c>
      <c r="J691">
        <v>95</v>
      </c>
      <c r="K691">
        <v>8</v>
      </c>
      <c r="L691">
        <v>0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3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0">
        <v>0</v>
      </c>
      <c r="AA691" s="19">
        <f>IFERROR(PROPERTIES[[#This Row],[TE_STARTING_KN]]/(PROPERTIES[[#This Row],[WEIGHT]]*9.81),0)</f>
        <v>0</v>
      </c>
      <c r="AB691" s="19">
        <v>0.3</v>
      </c>
      <c r="AC691" s="16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6">
        <v>0</v>
      </c>
      <c r="AF691" s="6">
        <v>0</v>
      </c>
      <c r="AG691" t="s">
        <v>241</v>
      </c>
      <c r="AH691" t="s">
        <v>229</v>
      </c>
      <c r="AI691" t="s">
        <v>229</v>
      </c>
      <c r="AJ691" s="2" t="s">
        <v>229</v>
      </c>
      <c r="AK691" s="2" t="s">
        <v>244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44" t="b">
        <v>0</v>
      </c>
      <c r="AP691" s="48" t="b">
        <v>0</v>
      </c>
      <c r="AQ691" s="48" t="b">
        <v>0</v>
      </c>
      <c r="AR691" s="48">
        <v>2</v>
      </c>
      <c r="AS691" s="48" t="b">
        <v>0</v>
      </c>
      <c r="AT691" s="7" t="b">
        <v>0</v>
      </c>
      <c r="AU691" s="40" t="str" cm="1">
        <f t="array" ref="AU691">_xlfn.XLOOKUP(PROPERTIES[[#This Row],[VEHIDCODE]],GRAPHICS_PROPERTIES[VEHIDCODE],GRAPHICS_PROPERTIES[TEMPLATE_ID]&amp;GRAPHICS_PROPERTIES[TEMPLATE_AMENDMENT_CODE])</f>
        <v>TPL_04B</v>
      </c>
    </row>
    <row r="692" spans="1:47" x14ac:dyDescent="0.35">
      <c r="A692" s="2" t="s">
        <v>186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0" t="str">
        <f>_xlfn.XLOOKUP(PROPERTIES[[#This Row],[VEHIDCODE]],CONTROL[VEHIDCODE],CONTROL[ENGLISH])</f>
        <v>5th Gen Gondola</v>
      </c>
      <c r="G692" s="40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30</v>
      </c>
      <c r="J692">
        <v>65</v>
      </c>
      <c r="K692">
        <v>8</v>
      </c>
      <c r="L692">
        <v>0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3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0">
        <v>0</v>
      </c>
      <c r="AA692" s="19">
        <f>IFERROR(PROPERTIES[[#This Row],[TE_STARTING_KN]]/(PROPERTIES[[#This Row],[WEIGHT]]*9.81),0)</f>
        <v>0</v>
      </c>
      <c r="AB692" s="19">
        <v>0.3</v>
      </c>
      <c r="AC692" s="16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6">
        <v>0</v>
      </c>
      <c r="AF692" s="6">
        <v>0</v>
      </c>
      <c r="AG692" t="s">
        <v>241</v>
      </c>
      <c r="AH692" t="s">
        <v>229</v>
      </c>
      <c r="AI692" t="s">
        <v>229</v>
      </c>
      <c r="AJ692" s="2" t="s">
        <v>229</v>
      </c>
      <c r="AK692" s="2" t="s">
        <v>244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44" t="b">
        <v>0</v>
      </c>
      <c r="AP692" s="48" t="b">
        <v>0</v>
      </c>
      <c r="AQ692" s="48" t="b">
        <v>0</v>
      </c>
      <c r="AR692" s="48">
        <v>2</v>
      </c>
      <c r="AS692" s="48" t="b">
        <v>1</v>
      </c>
      <c r="AT692" s="7" t="b">
        <v>0</v>
      </c>
      <c r="AU692" s="40" t="str" cm="1">
        <f t="array" ref="AU692">_xlfn.XLOOKUP(PROPERTIES[[#This Row],[VEHIDCODE]],GRAPHICS_PROPERTIES[VEHIDCODE],GRAPHICS_PROPERTIES[TEMPLATE_ID]&amp;GRAPHICS_PROPERTIES[TEMPLATE_AMENDMENT_CODE])</f>
        <v>TPL_04B</v>
      </c>
    </row>
    <row r="693" spans="1:47" x14ac:dyDescent="0.35">
      <c r="A693" s="2" t="s">
        <v>187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0" t="str">
        <f>_xlfn.XLOOKUP(PROPERTIES[[#This Row],[VEHIDCODE]],CONTROL[VEHIDCODE],CONTROL[ENGLISH])</f>
        <v>5th Gen Silo [Food]</v>
      </c>
      <c r="G693" s="40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3669</v>
      </c>
      <c r="J693">
        <v>65</v>
      </c>
      <c r="K693">
        <v>8</v>
      </c>
      <c r="L693">
        <v>0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3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0">
        <v>0</v>
      </c>
      <c r="AA693" s="19">
        <f>IFERROR(PROPERTIES[[#This Row],[TE_STARTING_KN]]/(PROPERTIES[[#This Row],[WEIGHT]]*9.81),0)</f>
        <v>0</v>
      </c>
      <c r="AB693" s="19">
        <v>0.3</v>
      </c>
      <c r="AC693" s="16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6">
        <v>0</v>
      </c>
      <c r="AF693" s="6">
        <v>0</v>
      </c>
      <c r="AG693" t="s">
        <v>241</v>
      </c>
      <c r="AH693" t="s">
        <v>229</v>
      </c>
      <c r="AI693" t="s">
        <v>229</v>
      </c>
      <c r="AJ693" s="2" t="s">
        <v>229</v>
      </c>
      <c r="AK693" s="2" t="s">
        <v>244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44" t="b">
        <v>0</v>
      </c>
      <c r="AP693" s="48" t="b">
        <v>0</v>
      </c>
      <c r="AQ693" s="48" t="b">
        <v>0</v>
      </c>
      <c r="AR693" s="48">
        <v>2</v>
      </c>
      <c r="AS693" s="48" t="b">
        <v>0</v>
      </c>
      <c r="AT693" s="7" t="b">
        <v>0</v>
      </c>
      <c r="AU693" s="40" t="str" cm="1">
        <f t="array" ref="AU693">_xlfn.XLOOKUP(PROPERTIES[[#This Row],[VEHIDCODE]],GRAPHICS_PROPERTIES[VEHIDCODE],GRAPHICS_PROPERTIES[TEMPLATE_ID]&amp;GRAPHICS_PROPERTIES[TEMPLATE_AMENDMENT_CODE])</f>
        <v>TPL_04B</v>
      </c>
    </row>
    <row r="694" spans="1:47" x14ac:dyDescent="0.35">
      <c r="A694" s="2" t="s">
        <v>188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0" t="str">
        <f>_xlfn.XLOOKUP(PROPERTIES[[#This Row],[VEHIDCODE]],CONTROL[VEHIDCODE],CONTROL[ENGLISH])</f>
        <v>5th Gen Silo [Non-Food]</v>
      </c>
      <c r="G694" s="40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3670</v>
      </c>
      <c r="J694">
        <v>65</v>
      </c>
      <c r="K694">
        <v>8</v>
      </c>
      <c r="L694">
        <v>0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3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0">
        <v>0</v>
      </c>
      <c r="AA694" s="19">
        <f>IFERROR(PROPERTIES[[#This Row],[TE_STARTING_KN]]/(PROPERTIES[[#This Row],[WEIGHT]]*9.81),0)</f>
        <v>0</v>
      </c>
      <c r="AB694" s="19">
        <v>0.3</v>
      </c>
      <c r="AC694" s="16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6">
        <v>0</v>
      </c>
      <c r="AF694" s="6">
        <v>0</v>
      </c>
      <c r="AG694" t="s">
        <v>241</v>
      </c>
      <c r="AH694" t="s">
        <v>229</v>
      </c>
      <c r="AI694" t="s">
        <v>229</v>
      </c>
      <c r="AJ694" s="2" t="s">
        <v>229</v>
      </c>
      <c r="AK694" s="2" t="s">
        <v>244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44" t="b">
        <v>0</v>
      </c>
      <c r="AP694" s="48" t="b">
        <v>0</v>
      </c>
      <c r="AQ694" s="48" t="b">
        <v>0</v>
      </c>
      <c r="AR694" s="48">
        <v>2</v>
      </c>
      <c r="AS694" s="48" t="b">
        <v>0</v>
      </c>
      <c r="AT694" s="7" t="b">
        <v>0</v>
      </c>
      <c r="AU694" s="40" t="str" cm="1">
        <f t="array" ref="AU694">_xlfn.XLOOKUP(PROPERTIES[[#This Row],[VEHIDCODE]],GRAPHICS_PROPERTIES[VEHIDCODE],GRAPHICS_PROPERTIES[TEMPLATE_ID]&amp;GRAPHICS_PROPERTIES[TEMPLATE_AMENDMENT_CODE])</f>
        <v>TPL_04B</v>
      </c>
    </row>
    <row r="695" spans="1:47" x14ac:dyDescent="0.35">
      <c r="A695" s="2" t="s">
        <v>189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0" t="str">
        <f>_xlfn.XLOOKUP(PROPERTIES[[#This Row],[VEHIDCODE]],CONTROL[VEHIDCODE],CONTROL[ENGLISH])</f>
        <v>5th Gen Self-discharging Hopper [Food]</v>
      </c>
      <c r="G695" s="40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3667</v>
      </c>
      <c r="J695">
        <v>65</v>
      </c>
      <c r="K695">
        <v>8</v>
      </c>
      <c r="L695">
        <v>0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3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0">
        <v>0</v>
      </c>
      <c r="AA695" s="19">
        <f>IFERROR(PROPERTIES[[#This Row],[TE_STARTING_KN]]/(PROPERTIES[[#This Row],[WEIGHT]]*9.81),0)</f>
        <v>0</v>
      </c>
      <c r="AB695" s="19">
        <v>0.3</v>
      </c>
      <c r="AC695" s="16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6">
        <v>0</v>
      </c>
      <c r="AF695" s="6">
        <v>0</v>
      </c>
      <c r="AG695" t="s">
        <v>241</v>
      </c>
      <c r="AH695" t="s">
        <v>229</v>
      </c>
      <c r="AI695" t="s">
        <v>229</v>
      </c>
      <c r="AJ695" s="2" t="s">
        <v>229</v>
      </c>
      <c r="AK695" s="2" t="s">
        <v>244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44" t="b">
        <v>0</v>
      </c>
      <c r="AP695" s="48" t="b">
        <v>0</v>
      </c>
      <c r="AQ695" s="48" t="b">
        <v>0</v>
      </c>
      <c r="AR695" s="48">
        <v>2</v>
      </c>
      <c r="AS695" s="48" t="b">
        <v>1</v>
      </c>
      <c r="AT695" s="7" t="b">
        <v>0</v>
      </c>
      <c r="AU695" s="40" t="str" cm="1">
        <f t="array" ref="AU695">_xlfn.XLOOKUP(PROPERTIES[[#This Row],[VEHIDCODE]],GRAPHICS_PROPERTIES[VEHIDCODE],GRAPHICS_PROPERTIES[TEMPLATE_ID]&amp;GRAPHICS_PROPERTIES[TEMPLATE_AMENDMENT_CODE])</f>
        <v>TPL_04B</v>
      </c>
    </row>
    <row r="696" spans="1:47" x14ac:dyDescent="0.35">
      <c r="A696" s="2" t="s">
        <v>190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0" t="str">
        <f>_xlfn.XLOOKUP(PROPERTIES[[#This Row],[VEHIDCODE]],CONTROL[VEHIDCODE],CONTROL[ENGLISH])</f>
        <v>5th Gen Self-discharging Hopper [Non-Food]</v>
      </c>
      <c r="G696" s="40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3668</v>
      </c>
      <c r="J696">
        <v>65</v>
      </c>
      <c r="K696">
        <v>8</v>
      </c>
      <c r="L696">
        <v>0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3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0">
        <v>0</v>
      </c>
      <c r="AA696" s="19">
        <f>IFERROR(PROPERTIES[[#This Row],[TE_STARTING_KN]]/(PROPERTIES[[#This Row],[WEIGHT]]*9.81),0)</f>
        <v>0</v>
      </c>
      <c r="AB696" s="19">
        <v>0.3</v>
      </c>
      <c r="AC696" s="16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6">
        <v>0</v>
      </c>
      <c r="AF696" s="6">
        <v>0</v>
      </c>
      <c r="AG696" t="s">
        <v>241</v>
      </c>
      <c r="AH696" t="s">
        <v>229</v>
      </c>
      <c r="AI696" t="s">
        <v>229</v>
      </c>
      <c r="AJ696" s="2" t="s">
        <v>229</v>
      </c>
      <c r="AK696" s="2" t="s">
        <v>244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44" t="b">
        <v>0</v>
      </c>
      <c r="AP696" s="48" t="b">
        <v>0</v>
      </c>
      <c r="AQ696" s="48" t="b">
        <v>0</v>
      </c>
      <c r="AR696" s="48">
        <v>2</v>
      </c>
      <c r="AS696" s="48" t="b">
        <v>0</v>
      </c>
      <c r="AT696" s="7" t="b">
        <v>0</v>
      </c>
      <c r="AU696" s="40" t="str" cm="1">
        <f t="array" ref="AU696">_xlfn.XLOOKUP(PROPERTIES[[#This Row],[VEHIDCODE]],GRAPHICS_PROPERTIES[VEHIDCODE],GRAPHICS_PROPERTIES[TEMPLATE_ID]&amp;GRAPHICS_PROPERTIES[TEMPLATE_AMENDMENT_CODE])</f>
        <v>TPL_04B</v>
      </c>
    </row>
    <row r="697" spans="1:47" x14ac:dyDescent="0.35">
      <c r="A697" s="2" t="s">
        <v>191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0" t="str">
        <f>_xlfn.XLOOKUP(PROPERTIES[[#This Row],[VEHIDCODE]],CONTROL[VEHIDCODE],CONTROL[ENGLISH])</f>
        <v>5th Gen Car Transporter</v>
      </c>
      <c r="G697" s="40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26</v>
      </c>
      <c r="J697">
        <v>16</v>
      </c>
      <c r="K697">
        <v>8</v>
      </c>
      <c r="L697">
        <v>0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3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0">
        <v>0</v>
      </c>
      <c r="AA697" s="19">
        <f>IFERROR(PROPERTIES[[#This Row],[TE_STARTING_KN]]/(PROPERTIES[[#This Row],[WEIGHT]]*9.81),0)</f>
        <v>0</v>
      </c>
      <c r="AB697" s="19">
        <v>0.3</v>
      </c>
      <c r="AC697" s="16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6">
        <v>0</v>
      </c>
      <c r="AF697" s="6">
        <v>0</v>
      </c>
      <c r="AG697" t="s">
        <v>241</v>
      </c>
      <c r="AH697" t="s">
        <v>229</v>
      </c>
      <c r="AI697" t="s">
        <v>229</v>
      </c>
      <c r="AJ697" s="2" t="s">
        <v>229</v>
      </c>
      <c r="AK697" s="2" t="s">
        <v>244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44" t="b">
        <v>0</v>
      </c>
      <c r="AP697" s="48" t="b">
        <v>0</v>
      </c>
      <c r="AQ697" s="48" t="b">
        <v>0</v>
      </c>
      <c r="AR697" s="48">
        <v>2</v>
      </c>
      <c r="AS697" s="48" t="b">
        <v>0</v>
      </c>
      <c r="AT697" s="7" t="b">
        <v>0</v>
      </c>
      <c r="AU697" s="40" t="str" cm="1">
        <f t="array" ref="AU697">_xlfn.XLOOKUP(PROPERTIES[[#This Row],[VEHIDCODE]],GRAPHICS_PROPERTIES[VEHIDCODE],GRAPHICS_PROPERTIES[TEMPLATE_ID]&amp;GRAPHICS_PROPERTIES[TEMPLATE_AMENDMENT_CODE])</f>
        <v>TPL_04B</v>
      </c>
    </row>
    <row r="698" spans="1:47" x14ac:dyDescent="0.35">
      <c r="A698" s="2" t="s">
        <v>192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0" t="str">
        <f>_xlfn.XLOOKUP(PROPERTIES[[#This Row],[VEHIDCODE]],CONTROL[VEHIDCODE],CONTROL[ENGLISH])</f>
        <v>5th Gen Container Carrier</v>
      </c>
      <c r="G698" s="40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24</v>
      </c>
      <c r="J698">
        <v>50</v>
      </c>
      <c r="K698">
        <v>8</v>
      </c>
      <c r="L698">
        <v>0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3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0">
        <v>0</v>
      </c>
      <c r="AA698" s="19">
        <f>IFERROR(PROPERTIES[[#This Row],[TE_STARTING_KN]]/(PROPERTIES[[#This Row],[WEIGHT]]*9.81),0)</f>
        <v>0</v>
      </c>
      <c r="AB698" s="19">
        <v>0.3</v>
      </c>
      <c r="AC698" s="16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6">
        <v>0</v>
      </c>
      <c r="AF698" s="6">
        <v>0</v>
      </c>
      <c r="AG698" t="s">
        <v>241</v>
      </c>
      <c r="AH698" t="s">
        <v>229</v>
      </c>
      <c r="AI698" t="s">
        <v>229</v>
      </c>
      <c r="AJ698" s="2" t="s">
        <v>229</v>
      </c>
      <c r="AK698" s="2" t="s">
        <v>244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44" t="b">
        <v>0</v>
      </c>
      <c r="AP698" s="48" t="b">
        <v>0</v>
      </c>
      <c r="AQ698" s="48" t="b">
        <v>0</v>
      </c>
      <c r="AR698" s="48">
        <v>2</v>
      </c>
      <c r="AS698" s="48" t="b">
        <v>0</v>
      </c>
      <c r="AT698" s="7" t="b">
        <v>0</v>
      </c>
      <c r="AU698" s="40" t="str" cm="1">
        <f t="array" ref="AU698">_xlfn.XLOOKUP(PROPERTIES[[#This Row],[VEHIDCODE]],GRAPHICS_PROPERTIES[VEHIDCODE],GRAPHICS_PROPERTIES[TEMPLATE_ID]&amp;GRAPHICS_PROPERTIES[TEMPLATE_AMENDMENT_CODE])</f>
        <v>TPL_04B</v>
      </c>
    </row>
    <row r="699" spans="1:47" x14ac:dyDescent="0.35">
      <c r="A699" s="2" t="s">
        <v>193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0" t="str">
        <f>_xlfn.XLOOKUP(PROPERTIES[[#This Row],[VEHIDCODE]],CONTROL[VEHIDCODE],CONTROL[ENGLISH])</f>
        <v>5th Gen Centerbeam Flatcar</v>
      </c>
      <c r="G699" s="40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27</v>
      </c>
      <c r="J699">
        <v>55</v>
      </c>
      <c r="K699">
        <v>8</v>
      </c>
      <c r="L699">
        <v>0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3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0">
        <v>0</v>
      </c>
      <c r="AA699" s="19">
        <f>IFERROR(PROPERTIES[[#This Row],[TE_STARTING_KN]]/(PROPERTIES[[#This Row],[WEIGHT]]*9.81),0)</f>
        <v>0</v>
      </c>
      <c r="AB699" s="19">
        <v>0.3</v>
      </c>
      <c r="AC699" s="16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6">
        <v>0</v>
      </c>
      <c r="AF699" s="6">
        <v>0</v>
      </c>
      <c r="AG699" t="s">
        <v>241</v>
      </c>
      <c r="AH699" t="s">
        <v>229</v>
      </c>
      <c r="AI699" t="s">
        <v>229</v>
      </c>
      <c r="AJ699" s="2" t="s">
        <v>229</v>
      </c>
      <c r="AK699" s="2" t="s">
        <v>244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44" t="b">
        <v>0</v>
      </c>
      <c r="AP699" s="48" t="b">
        <v>0</v>
      </c>
      <c r="AQ699" s="48" t="b">
        <v>0</v>
      </c>
      <c r="AR699" s="48">
        <v>2</v>
      </c>
      <c r="AS699" s="48" t="b">
        <v>0</v>
      </c>
      <c r="AT699" s="7" t="b">
        <v>0</v>
      </c>
      <c r="AU699" s="40" t="str" cm="1">
        <f t="array" ref="AU699">_xlfn.XLOOKUP(PROPERTIES[[#This Row],[VEHIDCODE]],GRAPHICS_PROPERTIES[VEHIDCODE],GRAPHICS_PROPERTIES[TEMPLATE_ID]&amp;GRAPHICS_PROPERTIES[TEMPLATE_AMENDMENT_CODE])</f>
        <v>TPL_04B</v>
      </c>
    </row>
    <row r="700" spans="1:47" x14ac:dyDescent="0.35">
      <c r="A700" s="2" t="s">
        <v>194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0" t="str">
        <f>_xlfn.XLOOKUP(PROPERTIES[[#This Row],[VEHIDCODE]],CONTROL[VEHIDCODE],CONTROL[ENGLISH])</f>
        <v>5th Gen Container Doublestack</v>
      </c>
      <c r="G700" s="40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28</v>
      </c>
      <c r="J700">
        <v>65</v>
      </c>
      <c r="K700">
        <v>8</v>
      </c>
      <c r="L700">
        <v>0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3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0">
        <v>0</v>
      </c>
      <c r="AA700" s="19">
        <f>IFERROR(PROPERTIES[[#This Row],[TE_STARTING_KN]]/(PROPERTIES[[#This Row],[WEIGHT]]*9.81),0)</f>
        <v>0</v>
      </c>
      <c r="AB700" s="19">
        <v>0.3</v>
      </c>
      <c r="AC700" s="16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6">
        <v>0</v>
      </c>
      <c r="AF700" s="6">
        <v>0</v>
      </c>
      <c r="AG700" t="s">
        <v>241</v>
      </c>
      <c r="AH700" t="s">
        <v>229</v>
      </c>
      <c r="AI700" t="s">
        <v>229</v>
      </c>
      <c r="AJ700" s="2" t="s">
        <v>229</v>
      </c>
      <c r="AK700" s="2" t="s">
        <v>244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44" t="b">
        <v>0</v>
      </c>
      <c r="AP700" s="48" t="b">
        <v>0</v>
      </c>
      <c r="AQ700" s="48" t="b">
        <v>0</v>
      </c>
      <c r="AR700" s="48">
        <v>2</v>
      </c>
      <c r="AS700" s="48" t="b">
        <v>0</v>
      </c>
      <c r="AT700" s="7" t="b">
        <v>0</v>
      </c>
      <c r="AU700" s="40" t="str" cm="1">
        <f t="array" ref="AU700">_xlfn.XLOOKUP(PROPERTIES[[#This Row],[VEHIDCODE]],GRAPHICS_PROPERTIES[VEHIDCODE],GRAPHICS_PROPERTIES[TEMPLATE_ID]&amp;GRAPHICS_PROPERTIES[TEMPLATE_AMENDMENT_CODE])</f>
        <v>TPL_04B</v>
      </c>
    </row>
    <row r="701" spans="1:47" x14ac:dyDescent="0.35">
      <c r="A701" s="2" t="s">
        <v>195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0" t="str">
        <f>_xlfn.XLOOKUP(PROPERTIES[[#This Row],[VEHIDCODE]],CONTROL[VEHIDCODE],CONTROL[ENGLISH])</f>
        <v>5th Gen Superheavy Flatcar</v>
      </c>
      <c r="G701" s="40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34</v>
      </c>
      <c r="J701">
        <v>150</v>
      </c>
      <c r="K701">
        <v>4</v>
      </c>
      <c r="L701">
        <v>0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3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0">
        <v>0</v>
      </c>
      <c r="AA701" s="19">
        <f>IFERROR(PROPERTIES[[#This Row],[TE_STARTING_KN]]/(PROPERTIES[[#This Row],[WEIGHT]]*9.81),0)</f>
        <v>0</v>
      </c>
      <c r="AB701" s="19">
        <v>0.3</v>
      </c>
      <c r="AC701" s="16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6">
        <v>0</v>
      </c>
      <c r="AF701" s="6">
        <v>0</v>
      </c>
      <c r="AG701" t="s">
        <v>241</v>
      </c>
      <c r="AH701" t="s">
        <v>229</v>
      </c>
      <c r="AI701" t="s">
        <v>229</v>
      </c>
      <c r="AJ701" s="2" t="s">
        <v>229</v>
      </c>
      <c r="AK701" s="2" t="s">
        <v>244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44" t="b">
        <v>0</v>
      </c>
      <c r="AP701" s="48" t="b">
        <v>0</v>
      </c>
      <c r="AQ701" s="48" t="b">
        <v>0</v>
      </c>
      <c r="AR701" s="48">
        <v>0</v>
      </c>
      <c r="AS701" s="48" t="b">
        <v>0</v>
      </c>
      <c r="AT701" s="7" t="b">
        <v>0</v>
      </c>
      <c r="AU701" s="40" t="str" cm="1">
        <f t="array" ref="AU701">_xlfn.XLOOKUP(PROPERTIES[[#This Row],[VEHIDCODE]],GRAPHICS_PROPERTIES[VEHIDCODE],GRAPHICS_PROPERTIES[TEMPLATE_ID]&amp;GRAPHICS_PROPERTIES[TEMPLATE_AMENDMENT_CODE])</f>
        <v>TPL_25A</v>
      </c>
    </row>
    <row r="702" spans="1:47" x14ac:dyDescent="0.35">
      <c r="A702" s="2" t="s">
        <v>196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0" t="str">
        <f>_xlfn.XLOOKUP(PROPERTIES[[#This Row],[VEHIDCODE]],CONTROL[VEHIDCODE],CONTROL[ENGLISH])</f>
        <v>6th Gen Flatcar</v>
      </c>
      <c r="G702" s="40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29</v>
      </c>
      <c r="J702">
        <v>72</v>
      </c>
      <c r="K702">
        <v>8</v>
      </c>
      <c r="L702">
        <v>0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3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0">
        <v>0</v>
      </c>
      <c r="AA702" s="19">
        <f>IFERROR(PROPERTIES[[#This Row],[TE_STARTING_KN]]/(PROPERTIES[[#This Row],[WEIGHT]]*9.81),0)</f>
        <v>0</v>
      </c>
      <c r="AB702" s="19">
        <v>0.3</v>
      </c>
      <c r="AC702" s="16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6">
        <v>0</v>
      </c>
      <c r="AF702" s="6">
        <v>0</v>
      </c>
      <c r="AG702" t="s">
        <v>241</v>
      </c>
      <c r="AH702" t="s">
        <v>229</v>
      </c>
      <c r="AI702" t="s">
        <v>229</v>
      </c>
      <c r="AJ702" s="2" t="s">
        <v>229</v>
      </c>
      <c r="AK702" s="2" t="s">
        <v>244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44" t="b">
        <v>0</v>
      </c>
      <c r="AP702" s="48" t="b">
        <v>0</v>
      </c>
      <c r="AQ702" s="48" t="b">
        <v>0</v>
      </c>
      <c r="AR702" s="48">
        <v>2</v>
      </c>
      <c r="AS702" s="48" t="b">
        <v>0</v>
      </c>
      <c r="AT702" s="7" t="b">
        <v>0</v>
      </c>
      <c r="AU702" s="40" t="str" cm="1">
        <f t="array" ref="AU702">_xlfn.XLOOKUP(PROPERTIES[[#This Row],[VEHIDCODE]],GRAPHICS_PROPERTIES[VEHIDCODE],GRAPHICS_PROPERTIES[TEMPLATE_ID]&amp;GRAPHICS_PROPERTIES[TEMPLATE_AMENDMENT_CODE])</f>
        <v>TPL_04B</v>
      </c>
    </row>
    <row r="703" spans="1:47" x14ac:dyDescent="0.35">
      <c r="A703" s="2" t="s">
        <v>197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0" t="str">
        <f>_xlfn.XLOOKUP(PROPERTIES[[#This Row],[VEHIDCODE]],CONTROL[VEHIDCODE],CONTROL[ENGLISH])</f>
        <v>6th Gen Heavy Flatcar</v>
      </c>
      <c r="G703" s="40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31</v>
      </c>
      <c r="J703">
        <v>96</v>
      </c>
      <c r="K703">
        <v>8</v>
      </c>
      <c r="L703">
        <v>0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3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0">
        <v>0</v>
      </c>
      <c r="AA703" s="19">
        <f>IFERROR(PROPERTIES[[#This Row],[TE_STARTING_KN]]/(PROPERTIES[[#This Row],[WEIGHT]]*9.81),0)</f>
        <v>0</v>
      </c>
      <c r="AB703" s="19">
        <v>0.3</v>
      </c>
      <c r="AC703" s="16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6">
        <v>0</v>
      </c>
      <c r="AF703" s="6">
        <v>0</v>
      </c>
      <c r="AG703" t="s">
        <v>241</v>
      </c>
      <c r="AH703" t="s">
        <v>229</v>
      </c>
      <c r="AI703" t="s">
        <v>229</v>
      </c>
      <c r="AJ703" s="2" t="s">
        <v>229</v>
      </c>
      <c r="AK703" s="2" t="s">
        <v>244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44" t="b">
        <v>0</v>
      </c>
      <c r="AP703" s="48" t="b">
        <v>0</v>
      </c>
      <c r="AQ703" s="48" t="b">
        <v>0</v>
      </c>
      <c r="AR703" s="48">
        <v>2</v>
      </c>
      <c r="AS703" s="48" t="b">
        <v>0</v>
      </c>
      <c r="AT703" s="7" t="b">
        <v>0</v>
      </c>
      <c r="AU703" s="40" t="str" cm="1">
        <f t="array" ref="AU703">_xlfn.XLOOKUP(PROPERTIES[[#This Row],[VEHIDCODE]],GRAPHICS_PROPERTIES[VEHIDCODE],GRAPHICS_PROPERTIES[TEMPLATE_ID]&amp;GRAPHICS_PROPERTIES[TEMPLATE_AMENDMENT_CODE])</f>
        <v>TPL_04B</v>
      </c>
    </row>
    <row r="704" spans="1:47" x14ac:dyDescent="0.35">
      <c r="A704" s="2" t="s">
        <v>198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0" t="str">
        <f>_xlfn.XLOOKUP(PROPERTIES[[#This Row],[VEHIDCODE]],CONTROL[VEHIDCODE],CONTROL[ENGLISH])</f>
        <v>6th Gen Boxcar [Food]</v>
      </c>
      <c r="G704" s="40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3672</v>
      </c>
      <c r="J704">
        <v>74</v>
      </c>
      <c r="K704">
        <v>8</v>
      </c>
      <c r="L704">
        <v>0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3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0">
        <v>0</v>
      </c>
      <c r="AA704" s="19">
        <f>IFERROR(PROPERTIES[[#This Row],[TE_STARTING_KN]]/(PROPERTIES[[#This Row],[WEIGHT]]*9.81),0)</f>
        <v>0</v>
      </c>
      <c r="AB704" s="19">
        <v>0.3</v>
      </c>
      <c r="AC704" s="16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6">
        <v>0</v>
      </c>
      <c r="AF704" s="6">
        <v>0</v>
      </c>
      <c r="AG704" t="s">
        <v>241</v>
      </c>
      <c r="AH704" t="s">
        <v>229</v>
      </c>
      <c r="AI704" t="s">
        <v>229</v>
      </c>
      <c r="AJ704" s="2" t="s">
        <v>229</v>
      </c>
      <c r="AK704" s="2" t="s">
        <v>244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44" t="b">
        <v>0</v>
      </c>
      <c r="AP704" s="48" t="b">
        <v>0</v>
      </c>
      <c r="AQ704" s="48" t="b">
        <v>0</v>
      </c>
      <c r="AR704" s="48">
        <v>2</v>
      </c>
      <c r="AS704" s="48" t="b">
        <v>0</v>
      </c>
      <c r="AT704" s="7" t="b">
        <v>0</v>
      </c>
      <c r="AU704" s="40" t="str" cm="1">
        <f t="array" ref="AU704">_xlfn.XLOOKUP(PROPERTIES[[#This Row],[VEHIDCODE]],GRAPHICS_PROPERTIES[VEHIDCODE],GRAPHICS_PROPERTIES[TEMPLATE_ID]&amp;GRAPHICS_PROPERTIES[TEMPLATE_AMENDMENT_CODE])</f>
        <v>TPL_04B</v>
      </c>
    </row>
    <row r="705" spans="1:47" x14ac:dyDescent="0.35">
      <c r="A705" s="2" t="s">
        <v>199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0" t="str">
        <f>_xlfn.XLOOKUP(PROPERTIES[[#This Row],[VEHIDCODE]],CONTROL[VEHIDCODE],CONTROL[ENGLISH])</f>
        <v>6th Gen Boxcar [Non-Food]</v>
      </c>
      <c r="G705" s="40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3671</v>
      </c>
      <c r="J705">
        <v>74</v>
      </c>
      <c r="K705">
        <v>8</v>
      </c>
      <c r="L705">
        <v>0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3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0">
        <v>0</v>
      </c>
      <c r="AA705" s="19">
        <f>IFERROR(PROPERTIES[[#This Row],[TE_STARTING_KN]]/(PROPERTIES[[#This Row],[WEIGHT]]*9.81),0)</f>
        <v>0</v>
      </c>
      <c r="AB705" s="19">
        <v>0.3</v>
      </c>
      <c r="AC705" s="16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6">
        <v>0</v>
      </c>
      <c r="AF705" s="6">
        <v>0</v>
      </c>
      <c r="AG705" t="s">
        <v>241</v>
      </c>
      <c r="AH705" t="s">
        <v>229</v>
      </c>
      <c r="AI705" t="s">
        <v>229</v>
      </c>
      <c r="AJ705" s="2" t="s">
        <v>229</v>
      </c>
      <c r="AK705" s="2" t="s">
        <v>244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44" t="b">
        <v>0</v>
      </c>
      <c r="AP705" s="48" t="b">
        <v>0</v>
      </c>
      <c r="AQ705" s="48" t="b">
        <v>0</v>
      </c>
      <c r="AR705" s="48">
        <v>2</v>
      </c>
      <c r="AS705" s="48" t="b">
        <v>0</v>
      </c>
      <c r="AT705" s="7" t="b">
        <v>0</v>
      </c>
      <c r="AU705" s="40" t="str" cm="1">
        <f t="array" ref="AU705">_xlfn.XLOOKUP(PROPERTIES[[#This Row],[VEHIDCODE]],GRAPHICS_PROPERTIES[VEHIDCODE],GRAPHICS_PROPERTIES[TEMPLATE_ID]&amp;GRAPHICS_PROPERTIES[TEMPLATE_AMENDMENT_CODE])</f>
        <v>TPL_04B</v>
      </c>
    </row>
    <row r="706" spans="1:47" x14ac:dyDescent="0.35">
      <c r="A706" s="2" t="s">
        <v>200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0" t="str">
        <f>_xlfn.XLOOKUP(PROPERTIES[[#This Row],[VEHIDCODE]],CONTROL[VEHIDCODE],CONTROL[ENGLISH])</f>
        <v>6th Gen Tanker</v>
      </c>
      <c r="G706" s="40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35</v>
      </c>
      <c r="J706">
        <v>105</v>
      </c>
      <c r="K706">
        <v>8</v>
      </c>
      <c r="L706">
        <v>0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3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0">
        <v>0</v>
      </c>
      <c r="AA706" s="19">
        <f>IFERROR(PROPERTIES[[#This Row],[TE_STARTING_KN]]/(PROPERTIES[[#This Row],[WEIGHT]]*9.81),0)</f>
        <v>0</v>
      </c>
      <c r="AB706" s="19">
        <v>0.3</v>
      </c>
      <c r="AC706" s="16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6">
        <v>0</v>
      </c>
      <c r="AF706" s="6">
        <v>0</v>
      </c>
      <c r="AG706" t="s">
        <v>241</v>
      </c>
      <c r="AH706" t="s">
        <v>229</v>
      </c>
      <c r="AI706" t="s">
        <v>229</v>
      </c>
      <c r="AJ706" s="2" t="s">
        <v>229</v>
      </c>
      <c r="AK706" s="2" t="s">
        <v>244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44" t="b">
        <v>0</v>
      </c>
      <c r="AP706" s="48" t="b">
        <v>0</v>
      </c>
      <c r="AQ706" s="48" t="b">
        <v>0</v>
      </c>
      <c r="AR706" s="48">
        <v>2</v>
      </c>
      <c r="AS706" s="48" t="b">
        <v>0</v>
      </c>
      <c r="AT706" s="7" t="b">
        <v>0</v>
      </c>
      <c r="AU706" s="40" t="str" cm="1">
        <f t="array" ref="AU706">_xlfn.XLOOKUP(PROPERTIES[[#This Row],[VEHIDCODE]],GRAPHICS_PROPERTIES[VEHIDCODE],GRAPHICS_PROPERTIES[TEMPLATE_ID]&amp;GRAPHICS_PROPERTIES[TEMPLATE_AMENDMENT_CODE])</f>
        <v>TPL_04B</v>
      </c>
    </row>
    <row r="707" spans="1:47" x14ac:dyDescent="0.35">
      <c r="A707" s="2" t="s">
        <v>201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0" t="str">
        <f>_xlfn.XLOOKUP(PROPERTIES[[#This Row],[VEHIDCODE]],CONTROL[VEHIDCODE],CONTROL[ENGLISH])</f>
        <v>6th Gen Gondola</v>
      </c>
      <c r="G707" s="40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30</v>
      </c>
      <c r="J707">
        <v>75</v>
      </c>
      <c r="K707">
        <v>8</v>
      </c>
      <c r="L707">
        <v>0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3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0">
        <v>0</v>
      </c>
      <c r="AA707" s="19">
        <f>IFERROR(PROPERTIES[[#This Row],[TE_STARTING_KN]]/(PROPERTIES[[#This Row],[WEIGHT]]*9.81),0)</f>
        <v>0</v>
      </c>
      <c r="AB707" s="19">
        <v>0.3</v>
      </c>
      <c r="AC707" s="16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6">
        <v>0</v>
      </c>
      <c r="AF707" s="6">
        <v>0</v>
      </c>
      <c r="AG707" t="s">
        <v>241</v>
      </c>
      <c r="AH707" t="s">
        <v>229</v>
      </c>
      <c r="AI707" t="s">
        <v>229</v>
      </c>
      <c r="AJ707" s="2" t="s">
        <v>229</v>
      </c>
      <c r="AK707" s="2" t="s">
        <v>244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44" t="b">
        <v>0</v>
      </c>
      <c r="AP707" s="48" t="b">
        <v>0</v>
      </c>
      <c r="AQ707" s="48" t="b">
        <v>0</v>
      </c>
      <c r="AR707" s="48">
        <v>2</v>
      </c>
      <c r="AS707" s="48" t="b">
        <v>1</v>
      </c>
      <c r="AT707" s="7" t="b">
        <v>0</v>
      </c>
      <c r="AU707" s="40" t="str" cm="1">
        <f t="array" ref="AU707">_xlfn.XLOOKUP(PROPERTIES[[#This Row],[VEHIDCODE]],GRAPHICS_PROPERTIES[VEHIDCODE],GRAPHICS_PROPERTIES[TEMPLATE_ID]&amp;GRAPHICS_PROPERTIES[TEMPLATE_AMENDMENT_CODE])</f>
        <v>TPL_04B</v>
      </c>
    </row>
    <row r="708" spans="1:47" x14ac:dyDescent="0.35">
      <c r="A708" s="2" t="s">
        <v>202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0" t="str">
        <f>_xlfn.XLOOKUP(PROPERTIES[[#This Row],[VEHIDCODE]],CONTROL[VEHIDCODE],CONTROL[ENGLISH])</f>
        <v>6th Gen Silo [Food]</v>
      </c>
      <c r="G708" s="40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3669</v>
      </c>
      <c r="J708">
        <v>75</v>
      </c>
      <c r="K708">
        <v>8</v>
      </c>
      <c r="L708">
        <v>0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3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0">
        <v>0</v>
      </c>
      <c r="AA708" s="19">
        <f>IFERROR(PROPERTIES[[#This Row],[TE_STARTING_KN]]/(PROPERTIES[[#This Row],[WEIGHT]]*9.81),0)</f>
        <v>0</v>
      </c>
      <c r="AB708" s="19">
        <v>0.3</v>
      </c>
      <c r="AC708" s="16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6">
        <v>0</v>
      </c>
      <c r="AF708" s="6">
        <v>0</v>
      </c>
      <c r="AG708" t="s">
        <v>241</v>
      </c>
      <c r="AH708" t="s">
        <v>229</v>
      </c>
      <c r="AI708" t="s">
        <v>229</v>
      </c>
      <c r="AJ708" s="2" t="s">
        <v>229</v>
      </c>
      <c r="AK708" s="2" t="s">
        <v>244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44" t="b">
        <v>0</v>
      </c>
      <c r="AP708" s="48" t="b">
        <v>0</v>
      </c>
      <c r="AQ708" s="48" t="b">
        <v>0</v>
      </c>
      <c r="AR708" s="48">
        <v>2</v>
      </c>
      <c r="AS708" s="48" t="b">
        <v>0</v>
      </c>
      <c r="AT708" s="7" t="b">
        <v>0</v>
      </c>
      <c r="AU708" s="40" t="str" cm="1">
        <f t="array" ref="AU708">_xlfn.XLOOKUP(PROPERTIES[[#This Row],[VEHIDCODE]],GRAPHICS_PROPERTIES[VEHIDCODE],GRAPHICS_PROPERTIES[TEMPLATE_ID]&amp;GRAPHICS_PROPERTIES[TEMPLATE_AMENDMENT_CODE])</f>
        <v>TPL_04B</v>
      </c>
    </row>
    <row r="709" spans="1:47" x14ac:dyDescent="0.35">
      <c r="A709" s="2" t="s">
        <v>203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0" t="str">
        <f>_xlfn.XLOOKUP(PROPERTIES[[#This Row],[VEHIDCODE]],CONTROL[VEHIDCODE],CONTROL[ENGLISH])</f>
        <v>6th Gen Silo [Non-Food]</v>
      </c>
      <c r="G709" s="40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3670</v>
      </c>
      <c r="J709">
        <v>75</v>
      </c>
      <c r="K709">
        <v>8</v>
      </c>
      <c r="L709">
        <v>0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3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0">
        <v>0</v>
      </c>
      <c r="AA709" s="19">
        <f>IFERROR(PROPERTIES[[#This Row],[TE_STARTING_KN]]/(PROPERTIES[[#This Row],[WEIGHT]]*9.81),0)</f>
        <v>0</v>
      </c>
      <c r="AB709" s="19">
        <v>0.3</v>
      </c>
      <c r="AC709" s="16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6">
        <v>0</v>
      </c>
      <c r="AF709" s="6">
        <v>0</v>
      </c>
      <c r="AG709" t="s">
        <v>241</v>
      </c>
      <c r="AH709" t="s">
        <v>229</v>
      </c>
      <c r="AI709" t="s">
        <v>229</v>
      </c>
      <c r="AJ709" s="2" t="s">
        <v>229</v>
      </c>
      <c r="AK709" s="2" t="s">
        <v>244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44" t="b">
        <v>0</v>
      </c>
      <c r="AP709" s="48" t="b">
        <v>0</v>
      </c>
      <c r="AQ709" s="48" t="b">
        <v>0</v>
      </c>
      <c r="AR709" s="48">
        <v>2</v>
      </c>
      <c r="AS709" s="48" t="b">
        <v>0</v>
      </c>
      <c r="AT709" s="7" t="b">
        <v>0</v>
      </c>
      <c r="AU709" s="40" t="str" cm="1">
        <f t="array" ref="AU709">_xlfn.XLOOKUP(PROPERTIES[[#This Row],[VEHIDCODE]],GRAPHICS_PROPERTIES[VEHIDCODE],GRAPHICS_PROPERTIES[TEMPLATE_ID]&amp;GRAPHICS_PROPERTIES[TEMPLATE_AMENDMENT_CODE])</f>
        <v>TPL_04B</v>
      </c>
    </row>
    <row r="710" spans="1:47" x14ac:dyDescent="0.35">
      <c r="A710" s="2" t="s">
        <v>204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0" t="str">
        <f>_xlfn.XLOOKUP(PROPERTIES[[#This Row],[VEHIDCODE]],CONTROL[VEHIDCODE],CONTROL[ENGLISH])</f>
        <v>6th Gen Self-discharging Hopper [Food]</v>
      </c>
      <c r="G710" s="40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3667</v>
      </c>
      <c r="J710">
        <v>75</v>
      </c>
      <c r="K710">
        <v>8</v>
      </c>
      <c r="L710">
        <v>0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3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0">
        <v>0</v>
      </c>
      <c r="AA710" s="19">
        <f>IFERROR(PROPERTIES[[#This Row],[TE_STARTING_KN]]/(PROPERTIES[[#This Row],[WEIGHT]]*9.81),0)</f>
        <v>0</v>
      </c>
      <c r="AB710" s="19">
        <v>0.3</v>
      </c>
      <c r="AC710" s="16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6">
        <v>0</v>
      </c>
      <c r="AF710" s="6">
        <v>0</v>
      </c>
      <c r="AG710" t="s">
        <v>241</v>
      </c>
      <c r="AH710" t="s">
        <v>229</v>
      </c>
      <c r="AI710" t="s">
        <v>229</v>
      </c>
      <c r="AJ710" s="2" t="s">
        <v>229</v>
      </c>
      <c r="AK710" s="2" t="s">
        <v>244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44" t="b">
        <v>0</v>
      </c>
      <c r="AP710" s="48" t="b">
        <v>0</v>
      </c>
      <c r="AQ710" s="48" t="b">
        <v>0</v>
      </c>
      <c r="AR710" s="48">
        <v>2</v>
      </c>
      <c r="AS710" s="48" t="b">
        <v>1</v>
      </c>
      <c r="AT710" s="7" t="b">
        <v>0</v>
      </c>
      <c r="AU710" s="40" t="str" cm="1">
        <f t="array" ref="AU710">_xlfn.XLOOKUP(PROPERTIES[[#This Row],[VEHIDCODE]],GRAPHICS_PROPERTIES[VEHIDCODE],GRAPHICS_PROPERTIES[TEMPLATE_ID]&amp;GRAPHICS_PROPERTIES[TEMPLATE_AMENDMENT_CODE])</f>
        <v>TPL_04B</v>
      </c>
    </row>
    <row r="711" spans="1:47" x14ac:dyDescent="0.35">
      <c r="A711" s="2" t="s">
        <v>205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0" t="str">
        <f>_xlfn.XLOOKUP(PROPERTIES[[#This Row],[VEHIDCODE]],CONTROL[VEHIDCODE],CONTROL[ENGLISH])</f>
        <v>6th Gen Self-discharging Hopper [Non-Food]</v>
      </c>
      <c r="G711" s="40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3668</v>
      </c>
      <c r="J711">
        <v>75</v>
      </c>
      <c r="K711">
        <v>8</v>
      </c>
      <c r="L711">
        <v>0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3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0">
        <v>0</v>
      </c>
      <c r="AA711" s="19">
        <f>IFERROR(PROPERTIES[[#This Row],[TE_STARTING_KN]]/(PROPERTIES[[#This Row],[WEIGHT]]*9.81),0)</f>
        <v>0</v>
      </c>
      <c r="AB711" s="19">
        <v>0.3</v>
      </c>
      <c r="AC711" s="16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6">
        <v>0</v>
      </c>
      <c r="AF711" s="6">
        <v>0</v>
      </c>
      <c r="AG711" t="s">
        <v>241</v>
      </c>
      <c r="AH711" t="s">
        <v>229</v>
      </c>
      <c r="AI711" t="s">
        <v>229</v>
      </c>
      <c r="AJ711" s="2" t="s">
        <v>229</v>
      </c>
      <c r="AK711" s="2" t="s">
        <v>244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44" t="b">
        <v>0</v>
      </c>
      <c r="AP711" s="48" t="b">
        <v>0</v>
      </c>
      <c r="AQ711" s="48" t="b">
        <v>0</v>
      </c>
      <c r="AR711" s="48">
        <v>2</v>
      </c>
      <c r="AS711" s="48" t="b">
        <v>0</v>
      </c>
      <c r="AT711" s="7" t="b">
        <v>0</v>
      </c>
      <c r="AU711" s="40" t="str" cm="1">
        <f t="array" ref="AU711">_xlfn.XLOOKUP(PROPERTIES[[#This Row],[VEHIDCODE]],GRAPHICS_PROPERTIES[VEHIDCODE],GRAPHICS_PROPERTIES[TEMPLATE_ID]&amp;GRAPHICS_PROPERTIES[TEMPLATE_AMENDMENT_CODE])</f>
        <v>TPL_04B</v>
      </c>
    </row>
    <row r="712" spans="1:47" x14ac:dyDescent="0.35">
      <c r="A712" s="2" t="s">
        <v>206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0" t="str">
        <f>_xlfn.XLOOKUP(PROPERTIES[[#This Row],[VEHIDCODE]],CONTROL[VEHIDCODE],CONTROL[ENGLISH])</f>
        <v>6th Gen Car Transporter</v>
      </c>
      <c r="G712" s="40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26</v>
      </c>
      <c r="J712">
        <v>20</v>
      </c>
      <c r="K712">
        <v>8</v>
      </c>
      <c r="L712">
        <v>0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3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0">
        <v>0</v>
      </c>
      <c r="AA712" s="19">
        <f>IFERROR(PROPERTIES[[#This Row],[TE_STARTING_KN]]/(PROPERTIES[[#This Row],[WEIGHT]]*9.81),0)</f>
        <v>0</v>
      </c>
      <c r="AB712" s="19">
        <v>0.3</v>
      </c>
      <c r="AC712" s="16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6">
        <v>0</v>
      </c>
      <c r="AF712" s="6">
        <v>0</v>
      </c>
      <c r="AG712" t="s">
        <v>241</v>
      </c>
      <c r="AH712" t="s">
        <v>229</v>
      </c>
      <c r="AI712" t="s">
        <v>229</v>
      </c>
      <c r="AJ712" s="2" t="s">
        <v>229</v>
      </c>
      <c r="AK712" s="2" t="s">
        <v>244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44" t="b">
        <v>0</v>
      </c>
      <c r="AP712" s="48" t="b">
        <v>0</v>
      </c>
      <c r="AQ712" s="48" t="b">
        <v>0</v>
      </c>
      <c r="AR712" s="48">
        <v>2</v>
      </c>
      <c r="AS712" s="48" t="b">
        <v>0</v>
      </c>
      <c r="AT712" s="7" t="b">
        <v>0</v>
      </c>
      <c r="AU712" s="40" t="str" cm="1">
        <f t="array" ref="AU712">_xlfn.XLOOKUP(PROPERTIES[[#This Row],[VEHIDCODE]],GRAPHICS_PROPERTIES[VEHIDCODE],GRAPHICS_PROPERTIES[TEMPLATE_ID]&amp;GRAPHICS_PROPERTIES[TEMPLATE_AMENDMENT_CODE])</f>
        <v>TPL_04B</v>
      </c>
    </row>
    <row r="713" spans="1:47" x14ac:dyDescent="0.35">
      <c r="A713" s="2" t="s">
        <v>207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0" t="str">
        <f>_xlfn.XLOOKUP(PROPERTIES[[#This Row],[VEHIDCODE]],CONTROL[VEHIDCODE],CONTROL[ENGLISH])</f>
        <v>6th Gen Container Carrier</v>
      </c>
      <c r="G713" s="40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24</v>
      </c>
      <c r="J713">
        <v>60</v>
      </c>
      <c r="K713">
        <v>8</v>
      </c>
      <c r="L713">
        <v>0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3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0">
        <v>0</v>
      </c>
      <c r="AA713" s="19">
        <f>IFERROR(PROPERTIES[[#This Row],[TE_STARTING_KN]]/(PROPERTIES[[#This Row],[WEIGHT]]*9.81),0)</f>
        <v>0</v>
      </c>
      <c r="AB713" s="19">
        <v>0.3</v>
      </c>
      <c r="AC713" s="16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6">
        <v>0</v>
      </c>
      <c r="AF713" s="6">
        <v>0</v>
      </c>
      <c r="AG713" t="s">
        <v>241</v>
      </c>
      <c r="AH713" t="s">
        <v>229</v>
      </c>
      <c r="AI713" t="s">
        <v>229</v>
      </c>
      <c r="AJ713" s="2" t="s">
        <v>229</v>
      </c>
      <c r="AK713" s="2" t="s">
        <v>244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44" t="b">
        <v>0</v>
      </c>
      <c r="AP713" s="48" t="b">
        <v>0</v>
      </c>
      <c r="AQ713" s="48" t="b">
        <v>0</v>
      </c>
      <c r="AR713" s="48">
        <v>2</v>
      </c>
      <c r="AS713" s="48" t="b">
        <v>0</v>
      </c>
      <c r="AT713" s="7" t="b">
        <v>0</v>
      </c>
      <c r="AU713" s="40" t="str" cm="1">
        <f t="array" ref="AU713">_xlfn.XLOOKUP(PROPERTIES[[#This Row],[VEHIDCODE]],GRAPHICS_PROPERTIES[VEHIDCODE],GRAPHICS_PROPERTIES[TEMPLATE_ID]&amp;GRAPHICS_PROPERTIES[TEMPLATE_AMENDMENT_CODE])</f>
        <v>TPL_04B</v>
      </c>
    </row>
    <row r="714" spans="1:47" x14ac:dyDescent="0.35">
      <c r="A714" s="2" t="s">
        <v>208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0" t="str">
        <f>_xlfn.XLOOKUP(PROPERTIES[[#This Row],[VEHIDCODE]],CONTROL[VEHIDCODE],CONTROL[ENGLISH])</f>
        <v>6th Gen Centerbeam Flatcar</v>
      </c>
      <c r="G714" s="40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27</v>
      </c>
      <c r="J714">
        <v>65</v>
      </c>
      <c r="K714">
        <v>8</v>
      </c>
      <c r="L714">
        <v>0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3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0">
        <v>0</v>
      </c>
      <c r="AA714" s="19">
        <f>IFERROR(PROPERTIES[[#This Row],[TE_STARTING_KN]]/(PROPERTIES[[#This Row],[WEIGHT]]*9.81),0)</f>
        <v>0</v>
      </c>
      <c r="AB714" s="19">
        <v>0.3</v>
      </c>
      <c r="AC714" s="16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6">
        <v>0</v>
      </c>
      <c r="AF714" s="6">
        <v>0</v>
      </c>
      <c r="AG714" t="s">
        <v>241</v>
      </c>
      <c r="AH714" t="s">
        <v>229</v>
      </c>
      <c r="AI714" t="s">
        <v>229</v>
      </c>
      <c r="AJ714" s="2" t="s">
        <v>229</v>
      </c>
      <c r="AK714" s="2" t="s">
        <v>244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44" t="b">
        <v>0</v>
      </c>
      <c r="AP714" s="48" t="b">
        <v>0</v>
      </c>
      <c r="AQ714" s="48" t="b">
        <v>0</v>
      </c>
      <c r="AR714" s="48">
        <v>2</v>
      </c>
      <c r="AS714" s="48" t="b">
        <v>0</v>
      </c>
      <c r="AT714" s="7" t="b">
        <v>0</v>
      </c>
      <c r="AU714" s="40" t="str" cm="1">
        <f t="array" ref="AU714">_xlfn.XLOOKUP(PROPERTIES[[#This Row],[VEHIDCODE]],GRAPHICS_PROPERTIES[VEHIDCODE],GRAPHICS_PROPERTIES[TEMPLATE_ID]&amp;GRAPHICS_PROPERTIES[TEMPLATE_AMENDMENT_CODE])</f>
        <v>TPL_04B</v>
      </c>
    </row>
    <row r="715" spans="1:47" x14ac:dyDescent="0.35">
      <c r="A715" s="2" t="s">
        <v>209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0" t="str">
        <f>_xlfn.XLOOKUP(PROPERTIES[[#This Row],[VEHIDCODE]],CONTROL[VEHIDCODE],CONTROL[ENGLISH])</f>
        <v>6th Gen Container Doublestack</v>
      </c>
      <c r="G715" s="40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28</v>
      </c>
      <c r="J715">
        <v>75</v>
      </c>
      <c r="K715">
        <v>8</v>
      </c>
      <c r="L715">
        <v>0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3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0">
        <v>0</v>
      </c>
      <c r="AA715" s="19">
        <f>IFERROR(PROPERTIES[[#This Row],[TE_STARTING_KN]]/(PROPERTIES[[#This Row],[WEIGHT]]*9.81),0)</f>
        <v>0</v>
      </c>
      <c r="AB715" s="19">
        <v>0.3</v>
      </c>
      <c r="AC715" s="16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6">
        <v>0</v>
      </c>
      <c r="AF715" s="6">
        <v>0</v>
      </c>
      <c r="AG715" t="s">
        <v>241</v>
      </c>
      <c r="AH715" t="s">
        <v>229</v>
      </c>
      <c r="AI715" t="s">
        <v>229</v>
      </c>
      <c r="AJ715" s="2" t="s">
        <v>229</v>
      </c>
      <c r="AK715" s="2" t="s">
        <v>244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44" t="b">
        <v>0</v>
      </c>
      <c r="AP715" s="48" t="b">
        <v>0</v>
      </c>
      <c r="AQ715" s="48" t="b">
        <v>0</v>
      </c>
      <c r="AR715" s="48">
        <v>2</v>
      </c>
      <c r="AS715" s="48" t="b">
        <v>0</v>
      </c>
      <c r="AT715" s="7" t="b">
        <v>0</v>
      </c>
      <c r="AU715" s="40" t="str" cm="1">
        <f t="array" ref="AU715">_xlfn.XLOOKUP(PROPERTIES[[#This Row],[VEHIDCODE]],GRAPHICS_PROPERTIES[VEHIDCODE],GRAPHICS_PROPERTIES[TEMPLATE_ID]&amp;GRAPHICS_PROPERTIES[TEMPLATE_AMENDMENT_CODE])</f>
        <v>TPL_04B</v>
      </c>
    </row>
    <row r="716" spans="1:47" x14ac:dyDescent="0.35">
      <c r="A716" s="2" t="s">
        <v>210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0" t="str">
        <f>_xlfn.XLOOKUP(PROPERTIES[[#This Row],[VEHIDCODE]],CONTROL[VEHIDCODE],CONTROL[ENGLISH])</f>
        <v>6th Gen Superheavy Flatcar</v>
      </c>
      <c r="G716" s="40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34</v>
      </c>
      <c r="J716">
        <v>195</v>
      </c>
      <c r="K716">
        <v>4</v>
      </c>
      <c r="L716">
        <v>0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3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0">
        <v>0</v>
      </c>
      <c r="AA716" s="19">
        <f>IFERROR(PROPERTIES[[#This Row],[TE_STARTING_KN]]/(PROPERTIES[[#This Row],[WEIGHT]]*9.81),0)</f>
        <v>0</v>
      </c>
      <c r="AB716" s="19">
        <v>0.3</v>
      </c>
      <c r="AC716" s="16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6">
        <v>0</v>
      </c>
      <c r="AF716" s="6">
        <v>0</v>
      </c>
      <c r="AG716" t="s">
        <v>241</v>
      </c>
      <c r="AH716" t="s">
        <v>229</v>
      </c>
      <c r="AI716" t="s">
        <v>229</v>
      </c>
      <c r="AJ716" s="2" t="s">
        <v>229</v>
      </c>
      <c r="AK716" s="2" t="s">
        <v>244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44" t="b">
        <v>0</v>
      </c>
      <c r="AP716" s="48" t="b">
        <v>0</v>
      </c>
      <c r="AQ716" s="48" t="b">
        <v>0</v>
      </c>
      <c r="AR716" s="48">
        <v>0</v>
      </c>
      <c r="AS716" s="48" t="b">
        <v>0</v>
      </c>
      <c r="AT716" s="7" t="b">
        <v>0</v>
      </c>
      <c r="AU716" s="40" t="str" cm="1">
        <f t="array" ref="AU716">_xlfn.XLOOKUP(PROPERTIES[[#This Row],[VEHIDCODE]],GRAPHICS_PROPERTIES[VEHIDCODE],GRAPHICS_PROPERTIES[TEMPLATE_ID]&amp;GRAPHICS_PROPERTIES[TEMPLATE_AMENDMENT_CODE])</f>
        <v>TPL_25A</v>
      </c>
    </row>
    <row r="717" spans="1:47" x14ac:dyDescent="0.35">
      <c r="A717" s="2" t="s">
        <v>225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0" t="str">
        <f>_xlfn.XLOOKUP(PROPERTIES[[#This Row],[VEHIDCODE]],CONTROL[VEHIDCODE],CONTROL[ENGLISH])</f>
        <v>Service Car [European Style]</v>
      </c>
      <c r="G717" s="40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17</v>
      </c>
      <c r="J717">
        <v>0</v>
      </c>
      <c r="K717">
        <v>5</v>
      </c>
      <c r="L717">
        <v>0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3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0">
        <v>0</v>
      </c>
      <c r="AA717" s="19">
        <f>IFERROR(PROPERTIES[[#This Row],[TE_STARTING_KN]]/(PROPERTIES[[#This Row],[WEIGHT]]*9.81),0)</f>
        <v>0</v>
      </c>
      <c r="AB717" s="19">
        <v>0.3</v>
      </c>
      <c r="AC717" s="16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6">
        <v>0</v>
      </c>
      <c r="AF717" s="6">
        <v>0</v>
      </c>
      <c r="AG717" t="s">
        <v>241</v>
      </c>
      <c r="AH717" t="s">
        <v>229</v>
      </c>
      <c r="AI717" t="s">
        <v>229</v>
      </c>
      <c r="AJ717" s="2" t="s">
        <v>229</v>
      </c>
      <c r="AK717" s="2" t="s">
        <v>244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44" t="b">
        <v>0</v>
      </c>
      <c r="AP717" s="48" t="b">
        <v>0</v>
      </c>
      <c r="AQ717" s="48" t="b">
        <v>0</v>
      </c>
      <c r="AR717" s="48">
        <v>0</v>
      </c>
      <c r="AS717" s="48" t="b">
        <v>0</v>
      </c>
      <c r="AT717" s="7" t="b">
        <v>0</v>
      </c>
      <c r="AU717" s="40" t="str" cm="1">
        <f t="array" ref="AU717">_xlfn.XLOOKUP(PROPERTIES[[#This Row],[VEHIDCODE]],GRAPHICS_PROPERTIES[VEHIDCODE],GRAPHICS_PROPERTIES[TEMPLATE_ID]&amp;GRAPHICS_PROPERTIES[TEMPLATE_AMENDMENT_CODE])</f>
        <v>TPL_04A</v>
      </c>
    </row>
    <row r="718" spans="1:47" x14ac:dyDescent="0.35">
      <c r="A718" s="2" t="s">
        <v>226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0" t="str">
        <f>_xlfn.XLOOKUP(PROPERTIES[[#This Row],[VEHIDCODE]],CONTROL[VEHIDCODE],CONTROL[ENGLISH])</f>
        <v>Service Car [American Style]</v>
      </c>
      <c r="G718" s="40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17</v>
      </c>
      <c r="J718">
        <v>0</v>
      </c>
      <c r="K718">
        <v>5</v>
      </c>
      <c r="L718">
        <v>0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3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0">
        <v>0</v>
      </c>
      <c r="AA718" s="19">
        <f>IFERROR(PROPERTIES[[#This Row],[TE_STARTING_KN]]/(PROPERTIES[[#This Row],[WEIGHT]]*9.81),0)</f>
        <v>0</v>
      </c>
      <c r="AB718" s="19">
        <v>0.3</v>
      </c>
      <c r="AC718" s="16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6">
        <v>0</v>
      </c>
      <c r="AF718" s="6">
        <v>0</v>
      </c>
      <c r="AG718" t="s">
        <v>241</v>
      </c>
      <c r="AH718" t="s">
        <v>229</v>
      </c>
      <c r="AI718" t="s">
        <v>229</v>
      </c>
      <c r="AJ718" s="2" t="s">
        <v>229</v>
      </c>
      <c r="AK718" s="2" t="s">
        <v>244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44" t="b">
        <v>0</v>
      </c>
      <c r="AP718" s="48" t="b">
        <v>0</v>
      </c>
      <c r="AQ718" s="48" t="b">
        <v>0</v>
      </c>
      <c r="AR718" s="48">
        <v>0</v>
      </c>
      <c r="AS718" s="48" t="b">
        <v>0</v>
      </c>
      <c r="AT718" s="7" t="b">
        <v>0</v>
      </c>
      <c r="AU718" s="40" t="str" cm="1">
        <f t="array" ref="AU718">_xlfn.XLOOKUP(PROPERTIES[[#This Row],[VEHIDCODE]],GRAPHICS_PROPERTIES[VEHIDCODE],GRAPHICS_PROPERTIES[TEMPLATE_ID]&amp;GRAPHICS_PROPERTIES[TEMPLATE_AMENDMENT_CODE])</f>
        <v>TPL_04A</v>
      </c>
    </row>
    <row r="719" spans="1:47" x14ac:dyDescent="0.35">
      <c r="A719" s="2" t="s">
        <v>83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0" t="str">
        <f>_xlfn.XLOOKUP(PROPERTIES[[#This Row],[VEHIDCODE]],CONTROL[VEHIDCODE],CONTROL[ENGLISH])</f>
        <v>Wooden 2-axle Compartment Coach</v>
      </c>
      <c r="G719" s="40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22</v>
      </c>
      <c r="J719">
        <v>20</v>
      </c>
      <c r="K719">
        <v>4</v>
      </c>
      <c r="L719">
        <v>0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3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0">
        <v>0</v>
      </c>
      <c r="AA719" s="19">
        <f>IFERROR(PROPERTIES[[#This Row],[TE_STARTING_KN]]/(PROPERTIES[[#This Row],[WEIGHT]]*9.81),0)</f>
        <v>0</v>
      </c>
      <c r="AB719" s="19">
        <v>0.3</v>
      </c>
      <c r="AC719" s="16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6">
        <v>0</v>
      </c>
      <c r="AF719" s="6">
        <v>0</v>
      </c>
      <c r="AG719" t="s">
        <v>1945</v>
      </c>
      <c r="AH719" t="s">
        <v>232</v>
      </c>
      <c r="AI719" t="s">
        <v>229</v>
      </c>
      <c r="AJ719" s="2" t="s">
        <v>229</v>
      </c>
      <c r="AK719" s="2" t="s">
        <v>244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44" t="b">
        <v>0</v>
      </c>
      <c r="AP719" s="48" t="b">
        <v>0</v>
      </c>
      <c r="AQ719" s="48" t="b">
        <v>0</v>
      </c>
      <c r="AR719" s="48">
        <v>0</v>
      </c>
      <c r="AS719" s="48" t="b">
        <v>0</v>
      </c>
      <c r="AT719" s="7" t="b">
        <v>0</v>
      </c>
      <c r="AU719" s="40" t="str" cm="1">
        <f t="array" ref="AU719">_xlfn.XLOOKUP(PROPERTIES[[#This Row],[VEHIDCODE]],GRAPHICS_PROPERTIES[VEHIDCODE],GRAPHICS_PROPERTIES[TEMPLATE_ID]&amp;GRAPHICS_PROPERTIES[TEMPLATE_AMENDMENT_CODE])</f>
        <v>TPL_04A</v>
      </c>
    </row>
    <row r="720" spans="1:47" x14ac:dyDescent="0.35">
      <c r="A720" s="2" t="s">
        <v>84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0" t="str">
        <f>_xlfn.XLOOKUP(PROPERTIES[[#This Row],[VEHIDCODE]],CONTROL[VEHIDCODE],CONTROL[ENGLISH])</f>
        <v>Wooden 2-axle Regional Coach</v>
      </c>
      <c r="G720" s="40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22</v>
      </c>
      <c r="J720">
        <v>45</v>
      </c>
      <c r="K720">
        <v>4</v>
      </c>
      <c r="L720">
        <v>0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3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0">
        <v>0</v>
      </c>
      <c r="AA720" s="19">
        <f>IFERROR(PROPERTIES[[#This Row],[TE_STARTING_KN]]/(PROPERTIES[[#This Row],[WEIGHT]]*9.81),0)</f>
        <v>0</v>
      </c>
      <c r="AB720" s="19">
        <v>0.3</v>
      </c>
      <c r="AC720" s="16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6">
        <v>0</v>
      </c>
      <c r="AF720" s="6">
        <v>0</v>
      </c>
      <c r="AG720" t="s">
        <v>241</v>
      </c>
      <c r="AH720" t="s">
        <v>229</v>
      </c>
      <c r="AI720" t="s">
        <v>229</v>
      </c>
      <c r="AJ720" s="2" t="s">
        <v>229</v>
      </c>
      <c r="AK720" s="2" t="s">
        <v>244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44" t="b">
        <v>0</v>
      </c>
      <c r="AP720" s="48" t="b">
        <v>0</v>
      </c>
      <c r="AQ720" s="48" t="b">
        <v>0</v>
      </c>
      <c r="AR720" s="48">
        <v>0</v>
      </c>
      <c r="AS720" s="48" t="b">
        <v>0</v>
      </c>
      <c r="AT720" s="7" t="b">
        <v>0</v>
      </c>
      <c r="AU720" s="40" t="str" cm="1">
        <f t="array" ref="AU720">_xlfn.XLOOKUP(PROPERTIES[[#This Row],[VEHIDCODE]],GRAPHICS_PROPERTIES[VEHIDCODE],GRAPHICS_PROPERTIES[TEMPLATE_ID]&amp;GRAPHICS_PROPERTIES[TEMPLATE_AMENDMENT_CODE])</f>
        <v>TPL_04A</v>
      </c>
    </row>
    <row r="721" spans="1:47" x14ac:dyDescent="0.35">
      <c r="A721" s="2" t="s">
        <v>85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0" t="str">
        <f>_xlfn.XLOOKUP(PROPERTIES[[#This Row],[VEHIDCODE]],CONTROL[VEHIDCODE],CONTROL[ENGLISH])</f>
        <v>Wooden 2-axle Mail Coach</v>
      </c>
      <c r="G721" s="40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36</v>
      </c>
      <c r="J721">
        <v>12</v>
      </c>
      <c r="K721">
        <v>4</v>
      </c>
      <c r="L721">
        <v>0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3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0">
        <v>0</v>
      </c>
      <c r="AA721" s="19">
        <f>IFERROR(PROPERTIES[[#This Row],[TE_STARTING_KN]]/(PROPERTIES[[#This Row],[WEIGHT]]*9.81),0)</f>
        <v>0</v>
      </c>
      <c r="AB721" s="19">
        <v>0.3</v>
      </c>
      <c r="AC721" s="16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6">
        <v>0</v>
      </c>
      <c r="AF721" s="6">
        <v>0</v>
      </c>
      <c r="AG721" t="s">
        <v>241</v>
      </c>
      <c r="AH721" t="s">
        <v>229</v>
      </c>
      <c r="AI721" t="s">
        <v>229</v>
      </c>
      <c r="AJ721" s="2" t="s">
        <v>229</v>
      </c>
      <c r="AK721" s="2" t="s">
        <v>244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44" t="b">
        <v>0</v>
      </c>
      <c r="AP721" s="48" t="b">
        <v>0</v>
      </c>
      <c r="AQ721" s="48" t="b">
        <v>0</v>
      </c>
      <c r="AR721" s="48">
        <v>0</v>
      </c>
      <c r="AS721" s="48" t="b">
        <v>0</v>
      </c>
      <c r="AT721" s="7" t="b">
        <v>0</v>
      </c>
      <c r="AU721" s="40" t="str" cm="1">
        <f t="array" ref="AU721">_xlfn.XLOOKUP(PROPERTIES[[#This Row],[VEHIDCODE]],GRAPHICS_PROPERTIES[VEHIDCODE],GRAPHICS_PROPERTIES[TEMPLATE_ID]&amp;GRAPHICS_PROPERTIES[TEMPLATE_AMENDMENT_CODE])</f>
        <v>TPL_04A</v>
      </c>
    </row>
    <row r="722" spans="1:47" x14ac:dyDescent="0.35">
      <c r="A722" s="2" t="s">
        <v>86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0" t="str">
        <f>_xlfn.XLOOKUP(PROPERTIES[[#This Row],[VEHIDCODE]],CONTROL[VEHIDCODE],CONTROL[ENGLISH])</f>
        <v>Clerestory Compartment Coach</v>
      </c>
      <c r="G722" s="40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22</v>
      </c>
      <c r="J722">
        <v>30</v>
      </c>
      <c r="K722">
        <v>6</v>
      </c>
      <c r="L722">
        <v>0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3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0">
        <v>0</v>
      </c>
      <c r="AA722" s="19">
        <f>IFERROR(PROPERTIES[[#This Row],[TE_STARTING_KN]]/(PROPERTIES[[#This Row],[WEIGHT]]*9.81),0)</f>
        <v>0</v>
      </c>
      <c r="AB722" s="19">
        <v>0.3</v>
      </c>
      <c r="AC722" s="16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6">
        <v>0</v>
      </c>
      <c r="AF722" s="6">
        <v>0</v>
      </c>
      <c r="AG722" t="s">
        <v>1945</v>
      </c>
      <c r="AH722" t="s">
        <v>232</v>
      </c>
      <c r="AI722" t="s">
        <v>229</v>
      </c>
      <c r="AJ722" s="2" t="s">
        <v>229</v>
      </c>
      <c r="AK722" s="2" t="s">
        <v>244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44" t="b">
        <v>0</v>
      </c>
      <c r="AP722" s="48" t="b">
        <v>0</v>
      </c>
      <c r="AQ722" s="48" t="b">
        <v>0</v>
      </c>
      <c r="AR722" s="48">
        <v>0</v>
      </c>
      <c r="AS722" s="48" t="b">
        <v>0</v>
      </c>
      <c r="AT722" s="7" t="b">
        <v>0</v>
      </c>
      <c r="AU722" s="40" t="str" cm="1">
        <f t="array" ref="AU722">_xlfn.XLOOKUP(PROPERTIES[[#This Row],[VEHIDCODE]],GRAPHICS_PROPERTIES[VEHIDCODE],GRAPHICS_PROPERTIES[TEMPLATE_ID]&amp;GRAPHICS_PROPERTIES[TEMPLATE_AMENDMENT_CODE])</f>
        <v>TPL_04A</v>
      </c>
    </row>
    <row r="723" spans="1:47" x14ac:dyDescent="0.35">
      <c r="A723" s="2" t="s">
        <v>87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0" t="str">
        <f>_xlfn.XLOOKUP(PROPERTIES[[#This Row],[VEHIDCODE]],CONTROL[VEHIDCODE],CONTROL[ENGLISH])</f>
        <v>Clerestory Regional Coach</v>
      </c>
      <c r="G723" s="40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22</v>
      </c>
      <c r="J723">
        <v>65</v>
      </c>
      <c r="K723">
        <v>6</v>
      </c>
      <c r="L723">
        <v>0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3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0">
        <v>0</v>
      </c>
      <c r="AA723" s="19">
        <f>IFERROR(PROPERTIES[[#This Row],[TE_STARTING_KN]]/(PROPERTIES[[#This Row],[WEIGHT]]*9.81),0)</f>
        <v>0</v>
      </c>
      <c r="AB723" s="19">
        <v>0.3</v>
      </c>
      <c r="AC723" s="16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6">
        <v>0</v>
      </c>
      <c r="AF723" s="6">
        <v>0</v>
      </c>
      <c r="AG723" t="s">
        <v>241</v>
      </c>
      <c r="AH723" t="s">
        <v>229</v>
      </c>
      <c r="AI723" t="s">
        <v>229</v>
      </c>
      <c r="AJ723" s="2" t="s">
        <v>229</v>
      </c>
      <c r="AK723" s="2" t="s">
        <v>244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44" t="b">
        <v>0</v>
      </c>
      <c r="AP723" s="48" t="b">
        <v>0</v>
      </c>
      <c r="AQ723" s="48" t="b">
        <v>0</v>
      </c>
      <c r="AR723" s="48">
        <v>0</v>
      </c>
      <c r="AS723" s="48" t="b">
        <v>0</v>
      </c>
      <c r="AT723" s="7" t="b">
        <v>0</v>
      </c>
      <c r="AU723" s="40" t="str" cm="1">
        <f t="array" ref="AU723">_xlfn.XLOOKUP(PROPERTIES[[#This Row],[VEHIDCODE]],GRAPHICS_PROPERTIES[VEHIDCODE],GRAPHICS_PROPERTIES[TEMPLATE_ID]&amp;GRAPHICS_PROPERTIES[TEMPLATE_AMENDMENT_CODE])</f>
        <v>TPL_04A</v>
      </c>
    </row>
    <row r="724" spans="1:47" x14ac:dyDescent="0.35">
      <c r="A724" s="2" t="s">
        <v>88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0" t="str">
        <f>_xlfn.XLOOKUP(PROPERTIES[[#This Row],[VEHIDCODE]],CONTROL[VEHIDCODE],CONTROL[ENGLISH])</f>
        <v>Clerestory Mail Coach</v>
      </c>
      <c r="G724" s="40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36</v>
      </c>
      <c r="J724">
        <v>28</v>
      </c>
      <c r="K724">
        <v>6</v>
      </c>
      <c r="L724">
        <v>0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3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0">
        <v>0</v>
      </c>
      <c r="AA724" s="19">
        <f>IFERROR(PROPERTIES[[#This Row],[TE_STARTING_KN]]/(PROPERTIES[[#This Row],[WEIGHT]]*9.81),0)</f>
        <v>0</v>
      </c>
      <c r="AB724" s="19">
        <v>0.3</v>
      </c>
      <c r="AC724" s="16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6">
        <v>0</v>
      </c>
      <c r="AF724" s="6">
        <v>0</v>
      </c>
      <c r="AG724" t="s">
        <v>241</v>
      </c>
      <c r="AH724" t="s">
        <v>229</v>
      </c>
      <c r="AI724" t="s">
        <v>229</v>
      </c>
      <c r="AJ724" s="2" t="s">
        <v>229</v>
      </c>
      <c r="AK724" s="2" t="s">
        <v>244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44" t="b">
        <v>0</v>
      </c>
      <c r="AP724" s="48" t="b">
        <v>0</v>
      </c>
      <c r="AQ724" s="48" t="b">
        <v>0</v>
      </c>
      <c r="AR724" s="48">
        <v>0</v>
      </c>
      <c r="AS724" s="48" t="b">
        <v>0</v>
      </c>
      <c r="AT724" s="7" t="b">
        <v>0</v>
      </c>
      <c r="AU724" s="40" t="str" cm="1">
        <f t="array" ref="AU724">_xlfn.XLOOKUP(PROPERTIES[[#This Row],[VEHIDCODE]],GRAPHICS_PROPERTIES[VEHIDCODE],GRAPHICS_PROPERTIES[TEMPLATE_ID]&amp;GRAPHICS_PROPERTIES[TEMPLATE_AMENDMENT_CODE])</f>
        <v>TPL_04A</v>
      </c>
    </row>
    <row r="725" spans="1:47" x14ac:dyDescent="0.35">
      <c r="A725" s="2" t="s">
        <v>89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0" t="str">
        <f>_xlfn.XLOOKUP(PROPERTIES[[#This Row],[VEHIDCODE]],CONTROL[VEHIDCODE],CONTROL[ENGLISH])</f>
        <v>Wooden 3-axle Compartment Coach</v>
      </c>
      <c r="G725" s="40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22</v>
      </c>
      <c r="J725">
        <v>40</v>
      </c>
      <c r="K725">
        <v>5</v>
      </c>
      <c r="L725">
        <v>0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3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0">
        <v>0</v>
      </c>
      <c r="AA725" s="19">
        <f>IFERROR(PROPERTIES[[#This Row],[TE_STARTING_KN]]/(PROPERTIES[[#This Row],[WEIGHT]]*9.81),0)</f>
        <v>0</v>
      </c>
      <c r="AB725" s="19">
        <v>0.3</v>
      </c>
      <c r="AC725" s="16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6">
        <v>0</v>
      </c>
      <c r="AF725" s="6">
        <v>0</v>
      </c>
      <c r="AG725" t="s">
        <v>1945</v>
      </c>
      <c r="AH725" t="s">
        <v>232</v>
      </c>
      <c r="AI725" t="s">
        <v>229</v>
      </c>
      <c r="AJ725" s="2" t="s">
        <v>229</v>
      </c>
      <c r="AK725" s="2" t="s">
        <v>244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44" t="b">
        <v>0</v>
      </c>
      <c r="AP725" s="48" t="b">
        <v>0</v>
      </c>
      <c r="AQ725" s="48" t="b">
        <v>0</v>
      </c>
      <c r="AR725" s="48">
        <v>0</v>
      </c>
      <c r="AS725" s="48" t="b">
        <v>0</v>
      </c>
      <c r="AT725" s="7" t="b">
        <v>0</v>
      </c>
      <c r="AU725" s="40" t="str" cm="1">
        <f t="array" ref="AU725">_xlfn.XLOOKUP(PROPERTIES[[#This Row],[VEHIDCODE]],GRAPHICS_PROPERTIES[VEHIDCODE],GRAPHICS_PROPERTIES[TEMPLATE_ID]&amp;GRAPHICS_PROPERTIES[TEMPLATE_AMENDMENT_CODE])</f>
        <v>TPL_04A</v>
      </c>
    </row>
    <row r="726" spans="1:47" x14ac:dyDescent="0.35">
      <c r="A726" s="2" t="s">
        <v>90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0" t="str">
        <f>_xlfn.XLOOKUP(PROPERTIES[[#This Row],[VEHIDCODE]],CONTROL[VEHIDCODE],CONTROL[ENGLISH])</f>
        <v>Wooden 3-axle Regional Coach</v>
      </c>
      <c r="G726" s="40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22</v>
      </c>
      <c r="J726">
        <v>80</v>
      </c>
      <c r="K726">
        <v>5</v>
      </c>
      <c r="L726">
        <v>0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3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0">
        <v>0</v>
      </c>
      <c r="AA726" s="19">
        <f>IFERROR(PROPERTIES[[#This Row],[TE_STARTING_KN]]/(PROPERTIES[[#This Row],[WEIGHT]]*9.81),0)</f>
        <v>0</v>
      </c>
      <c r="AB726" s="19">
        <v>0.3</v>
      </c>
      <c r="AC726" s="16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6">
        <v>0</v>
      </c>
      <c r="AF726" s="6">
        <v>0</v>
      </c>
      <c r="AG726" t="s">
        <v>1945</v>
      </c>
      <c r="AH726" t="s">
        <v>232</v>
      </c>
      <c r="AI726" t="s">
        <v>229</v>
      </c>
      <c r="AJ726" s="2" t="s">
        <v>229</v>
      </c>
      <c r="AK726" s="2" t="s">
        <v>244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44" t="b">
        <v>0</v>
      </c>
      <c r="AP726" s="48" t="b">
        <v>0</v>
      </c>
      <c r="AQ726" s="48" t="b">
        <v>0</v>
      </c>
      <c r="AR726" s="48">
        <v>0</v>
      </c>
      <c r="AS726" s="48" t="b">
        <v>0</v>
      </c>
      <c r="AT726" s="7" t="b">
        <v>0</v>
      </c>
      <c r="AU726" s="40" t="str" cm="1">
        <f t="array" ref="AU726">_xlfn.XLOOKUP(PROPERTIES[[#This Row],[VEHIDCODE]],GRAPHICS_PROPERTIES[VEHIDCODE],GRAPHICS_PROPERTIES[TEMPLATE_ID]&amp;GRAPHICS_PROPERTIES[TEMPLATE_AMENDMENT_CODE])</f>
        <v>TPL_04A</v>
      </c>
    </row>
    <row r="727" spans="1:47" x14ac:dyDescent="0.35">
      <c r="A727" s="2" t="s">
        <v>91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0" t="str">
        <f>_xlfn.XLOOKUP(PROPERTIES[[#This Row],[VEHIDCODE]],CONTROL[VEHIDCODE],CONTROL[ENGLISH])</f>
        <v>Wooden 3-axle Mail Coach</v>
      </c>
      <c r="G727" s="40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36</v>
      </c>
      <c r="J727">
        <v>42</v>
      </c>
      <c r="K727">
        <v>5</v>
      </c>
      <c r="L727">
        <v>0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3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0">
        <v>0</v>
      </c>
      <c r="AA727" s="19">
        <f>IFERROR(PROPERTIES[[#This Row],[TE_STARTING_KN]]/(PROPERTIES[[#This Row],[WEIGHT]]*9.81),0)</f>
        <v>0</v>
      </c>
      <c r="AB727" s="19">
        <v>0.3</v>
      </c>
      <c r="AC727" s="16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6">
        <v>0</v>
      </c>
      <c r="AF727" s="6">
        <v>0</v>
      </c>
      <c r="AG727" t="s">
        <v>1945</v>
      </c>
      <c r="AH727" t="s">
        <v>232</v>
      </c>
      <c r="AI727" t="s">
        <v>229</v>
      </c>
      <c r="AJ727" s="2" t="s">
        <v>229</v>
      </c>
      <c r="AK727" s="2" t="s">
        <v>244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44" t="b">
        <v>0</v>
      </c>
      <c r="AP727" s="48" t="b">
        <v>0</v>
      </c>
      <c r="AQ727" s="48" t="b">
        <v>0</v>
      </c>
      <c r="AR727" s="48">
        <v>0</v>
      </c>
      <c r="AS727" s="48" t="b">
        <v>0</v>
      </c>
      <c r="AT727" s="7" t="b">
        <v>0</v>
      </c>
      <c r="AU727" s="40" t="str" cm="1">
        <f t="array" ref="AU727">_xlfn.XLOOKUP(PROPERTIES[[#This Row],[VEHIDCODE]],GRAPHICS_PROPERTIES[VEHIDCODE],GRAPHICS_PROPERTIES[TEMPLATE_ID]&amp;GRAPHICS_PROPERTIES[TEMPLATE_AMENDMENT_CODE])</f>
        <v>TPL_04A</v>
      </c>
    </row>
    <row r="728" spans="1:47" x14ac:dyDescent="0.35">
      <c r="A728" s="2" t="s">
        <v>92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0" t="str">
        <f>_xlfn.XLOOKUP(PROPERTIES[[#This Row],[VEHIDCODE]],CONTROL[VEHIDCODE],CONTROL[ENGLISH])</f>
        <v>Heavyweight Intercity Coach</v>
      </c>
      <c r="G728" s="40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22</v>
      </c>
      <c r="J728">
        <v>56</v>
      </c>
      <c r="K728">
        <v>8</v>
      </c>
      <c r="L728">
        <v>0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3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0">
        <v>0</v>
      </c>
      <c r="AA728" s="19">
        <f>IFERROR(PROPERTIES[[#This Row],[TE_STARTING_KN]]/(PROPERTIES[[#This Row],[WEIGHT]]*9.81),0)</f>
        <v>0</v>
      </c>
      <c r="AB728" s="19">
        <v>0.3</v>
      </c>
      <c r="AC728" s="16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6">
        <v>0</v>
      </c>
      <c r="AF728" s="6">
        <v>0</v>
      </c>
      <c r="AG728" t="s">
        <v>240</v>
      </c>
      <c r="AH728" t="s">
        <v>232</v>
      </c>
      <c r="AI728" t="s">
        <v>229</v>
      </c>
      <c r="AJ728" s="2" t="s">
        <v>229</v>
      </c>
      <c r="AK728" s="2" t="s">
        <v>244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44" t="b">
        <v>0</v>
      </c>
      <c r="AP728" s="48" t="b">
        <v>0</v>
      </c>
      <c r="AQ728" s="48" t="b">
        <v>0</v>
      </c>
      <c r="AR728" s="48">
        <v>0</v>
      </c>
      <c r="AS728" s="48" t="b">
        <v>0</v>
      </c>
      <c r="AT728" s="7" t="b">
        <v>0</v>
      </c>
      <c r="AU728" s="40" t="str" cm="1">
        <f t="array" ref="AU728">_xlfn.XLOOKUP(PROPERTIES[[#This Row],[VEHIDCODE]],GRAPHICS_PROPERTIES[VEHIDCODE],GRAPHICS_PROPERTIES[TEMPLATE_ID]&amp;GRAPHICS_PROPERTIES[TEMPLATE_AMENDMENT_CODE])</f>
        <v>TPL_04S</v>
      </c>
    </row>
    <row r="729" spans="1:47" x14ac:dyDescent="0.35">
      <c r="A729" s="2" t="s">
        <v>93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0" t="str">
        <f>_xlfn.XLOOKUP(PROPERTIES[[#This Row],[VEHIDCODE]],CONTROL[VEHIDCODE],CONTROL[ENGLISH])</f>
        <v>Heavyweight Mail Coach</v>
      </c>
      <c r="G729" s="40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36</v>
      </c>
      <c r="J729">
        <v>75</v>
      </c>
      <c r="K729">
        <v>8</v>
      </c>
      <c r="L729">
        <v>0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3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0">
        <v>0</v>
      </c>
      <c r="AA729" s="19">
        <f>IFERROR(PROPERTIES[[#This Row],[TE_STARTING_KN]]/(PROPERTIES[[#This Row],[WEIGHT]]*9.81),0)</f>
        <v>0</v>
      </c>
      <c r="AB729" s="19">
        <v>0.3</v>
      </c>
      <c r="AC729" s="16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6">
        <v>0</v>
      </c>
      <c r="AF729" s="6">
        <v>0</v>
      </c>
      <c r="AG729" t="s">
        <v>240</v>
      </c>
      <c r="AH729" t="s">
        <v>232</v>
      </c>
      <c r="AI729" t="s">
        <v>229</v>
      </c>
      <c r="AJ729" s="2" t="s">
        <v>229</v>
      </c>
      <c r="AK729" s="2" t="s">
        <v>244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44" t="b">
        <v>0</v>
      </c>
      <c r="AP729" s="48" t="b">
        <v>0</v>
      </c>
      <c r="AQ729" s="48" t="b">
        <v>0</v>
      </c>
      <c r="AR729" s="48">
        <v>0</v>
      </c>
      <c r="AS729" s="48" t="b">
        <v>0</v>
      </c>
      <c r="AT729" s="7" t="b">
        <v>0</v>
      </c>
      <c r="AU729" s="40" t="str" cm="1">
        <f t="array" ref="AU729">_xlfn.XLOOKUP(PROPERTIES[[#This Row],[VEHIDCODE]],GRAPHICS_PROPERTIES[VEHIDCODE],GRAPHICS_PROPERTIES[TEMPLATE_ID]&amp;GRAPHICS_PROPERTIES[TEMPLATE_AMENDMENT_CODE])</f>
        <v>TPL_04A</v>
      </c>
    </row>
    <row r="730" spans="1:47" x14ac:dyDescent="0.35">
      <c r="A730" s="2" t="s">
        <v>94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0" t="str">
        <f>_xlfn.XLOOKUP(PROPERTIES[[#This Row],[VEHIDCODE]],CONTROL[VEHIDCODE],CONTROL[ENGLISH])</f>
        <v>Steel Intercity Coach</v>
      </c>
      <c r="G730" s="40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22</v>
      </c>
      <c r="J730">
        <v>80</v>
      </c>
      <c r="K730">
        <v>7</v>
      </c>
      <c r="L730">
        <v>0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3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0">
        <v>0</v>
      </c>
      <c r="AA730" s="19">
        <f>IFERROR(PROPERTIES[[#This Row],[TE_STARTING_KN]]/(PROPERTIES[[#This Row],[WEIGHT]]*9.81),0)</f>
        <v>0</v>
      </c>
      <c r="AB730" s="19">
        <v>0.3</v>
      </c>
      <c r="AC730" s="16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6">
        <v>0</v>
      </c>
      <c r="AF730" s="6">
        <v>0</v>
      </c>
      <c r="AG730" t="s">
        <v>1945</v>
      </c>
      <c r="AH730" t="s">
        <v>232</v>
      </c>
      <c r="AI730" t="s">
        <v>229</v>
      </c>
      <c r="AJ730" s="2" t="s">
        <v>229</v>
      </c>
      <c r="AK730" s="2" t="s">
        <v>244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44" t="b">
        <v>0</v>
      </c>
      <c r="AP730" s="48" t="b">
        <v>0</v>
      </c>
      <c r="AQ730" s="48" t="b">
        <v>0</v>
      </c>
      <c r="AR730" s="48">
        <v>0</v>
      </c>
      <c r="AS730" s="48" t="b">
        <v>0</v>
      </c>
      <c r="AT730" s="7" t="b">
        <v>0</v>
      </c>
      <c r="AU730" s="40" t="str" cm="1">
        <f t="array" ref="AU730">_xlfn.XLOOKUP(PROPERTIES[[#This Row],[VEHIDCODE]],GRAPHICS_PROPERTIES[VEHIDCODE],GRAPHICS_PROPERTIES[TEMPLATE_ID]&amp;GRAPHICS_PROPERTIES[TEMPLATE_AMENDMENT_CODE])</f>
        <v>TPL_04A</v>
      </c>
    </row>
    <row r="731" spans="1:47" x14ac:dyDescent="0.35">
      <c r="A731" s="2" t="s">
        <v>95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0" t="str">
        <f>_xlfn.XLOOKUP(PROPERTIES[[#This Row],[VEHIDCODE]],CONTROL[VEHIDCODE],CONTROL[ENGLISH])</f>
        <v>Steel Compartment Coach</v>
      </c>
      <c r="G731" s="40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22</v>
      </c>
      <c r="J731">
        <v>60</v>
      </c>
      <c r="K731">
        <v>7</v>
      </c>
      <c r="L731">
        <v>0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3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0">
        <v>0</v>
      </c>
      <c r="AA731" s="19">
        <f>IFERROR(PROPERTIES[[#This Row],[TE_STARTING_KN]]/(PROPERTIES[[#This Row],[WEIGHT]]*9.81),0)</f>
        <v>0</v>
      </c>
      <c r="AB731" s="19">
        <v>0.3</v>
      </c>
      <c r="AC731" s="16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6">
        <v>0</v>
      </c>
      <c r="AF731" s="6">
        <v>0</v>
      </c>
      <c r="AG731" t="s">
        <v>1945</v>
      </c>
      <c r="AH731" t="s">
        <v>232</v>
      </c>
      <c r="AI731" t="s">
        <v>229</v>
      </c>
      <c r="AJ731" s="2" t="s">
        <v>229</v>
      </c>
      <c r="AK731" s="2" t="s">
        <v>244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44" t="b">
        <v>0</v>
      </c>
      <c r="AP731" s="48" t="b">
        <v>0</v>
      </c>
      <c r="AQ731" s="48" t="b">
        <v>0</v>
      </c>
      <c r="AR731" s="48">
        <v>0</v>
      </c>
      <c r="AS731" s="48" t="b">
        <v>0</v>
      </c>
      <c r="AT731" s="7" t="b">
        <v>0</v>
      </c>
      <c r="AU731" s="40" t="str" cm="1">
        <f t="array" ref="AU731">_xlfn.XLOOKUP(PROPERTIES[[#This Row],[VEHIDCODE]],GRAPHICS_PROPERTIES[VEHIDCODE],GRAPHICS_PROPERTIES[TEMPLATE_ID]&amp;GRAPHICS_PROPERTIES[TEMPLATE_AMENDMENT_CODE])</f>
        <v>TPL_04A</v>
      </c>
    </row>
    <row r="732" spans="1:47" x14ac:dyDescent="0.35">
      <c r="A732" s="2" t="s">
        <v>96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0" t="str">
        <f>_xlfn.XLOOKUP(PROPERTIES[[#This Row],[VEHIDCODE]],CONTROL[VEHIDCODE],CONTROL[ENGLISH])</f>
        <v>Steel Regional Coach</v>
      </c>
      <c r="G732" s="40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22</v>
      </c>
      <c r="J732">
        <v>120</v>
      </c>
      <c r="K732">
        <v>7</v>
      </c>
      <c r="L732">
        <v>0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3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0">
        <v>0</v>
      </c>
      <c r="AA732" s="19">
        <f>IFERROR(PROPERTIES[[#This Row],[TE_STARTING_KN]]/(PROPERTIES[[#This Row],[WEIGHT]]*9.81),0)</f>
        <v>0</v>
      </c>
      <c r="AB732" s="19">
        <v>0.3</v>
      </c>
      <c r="AC732" s="16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6">
        <v>0</v>
      </c>
      <c r="AF732" s="6">
        <v>0</v>
      </c>
      <c r="AG732" t="s">
        <v>1945</v>
      </c>
      <c r="AH732" t="s">
        <v>232</v>
      </c>
      <c r="AI732" t="s">
        <v>229</v>
      </c>
      <c r="AJ732" s="2" t="s">
        <v>229</v>
      </c>
      <c r="AK732" s="2" t="s">
        <v>244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44" t="b">
        <v>0</v>
      </c>
      <c r="AP732" s="48" t="b">
        <v>0</v>
      </c>
      <c r="AQ732" s="48" t="b">
        <v>0</v>
      </c>
      <c r="AR732" s="48">
        <v>0</v>
      </c>
      <c r="AS732" s="48" t="b">
        <v>0</v>
      </c>
      <c r="AT732" s="7" t="b">
        <v>0</v>
      </c>
      <c r="AU732" s="40" t="str" cm="1">
        <f t="array" ref="AU732">_xlfn.XLOOKUP(PROPERTIES[[#This Row],[VEHIDCODE]],GRAPHICS_PROPERTIES[VEHIDCODE],GRAPHICS_PROPERTIES[TEMPLATE_ID]&amp;GRAPHICS_PROPERTIES[TEMPLATE_AMENDMENT_CODE])</f>
        <v>TPL_04A</v>
      </c>
    </row>
    <row r="733" spans="1:47" x14ac:dyDescent="0.35">
      <c r="A733" s="2" t="s">
        <v>97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0" t="str">
        <f>_xlfn.XLOOKUP(PROPERTIES[[#This Row],[VEHIDCODE]],CONTROL[VEHIDCODE],CONTROL[ENGLISH])</f>
        <v>Steel Mail Coach</v>
      </c>
      <c r="G733" s="40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36</v>
      </c>
      <c r="J733">
        <v>60</v>
      </c>
      <c r="K733">
        <v>7</v>
      </c>
      <c r="L733">
        <v>0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3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0">
        <v>0</v>
      </c>
      <c r="AA733" s="19">
        <f>IFERROR(PROPERTIES[[#This Row],[TE_STARTING_KN]]/(PROPERTIES[[#This Row],[WEIGHT]]*9.81),0)</f>
        <v>0</v>
      </c>
      <c r="AB733" s="19">
        <v>0.3</v>
      </c>
      <c r="AC733" s="16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6">
        <v>0</v>
      </c>
      <c r="AF733" s="6">
        <v>0</v>
      </c>
      <c r="AG733" t="s">
        <v>1945</v>
      </c>
      <c r="AH733" t="s">
        <v>232</v>
      </c>
      <c r="AI733" t="s">
        <v>229</v>
      </c>
      <c r="AJ733" s="2" t="s">
        <v>229</v>
      </c>
      <c r="AK733" s="2" t="s">
        <v>244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44" t="b">
        <v>0</v>
      </c>
      <c r="AP733" s="48" t="b">
        <v>0</v>
      </c>
      <c r="AQ733" s="48" t="b">
        <v>0</v>
      </c>
      <c r="AR733" s="48">
        <v>0</v>
      </c>
      <c r="AS733" s="48" t="b">
        <v>0</v>
      </c>
      <c r="AT733" s="7" t="b">
        <v>0</v>
      </c>
      <c r="AU733" s="40" t="str" cm="1">
        <f t="array" ref="AU733">_xlfn.XLOOKUP(PROPERTIES[[#This Row],[VEHIDCODE]],GRAPHICS_PROPERTIES[VEHIDCODE],GRAPHICS_PROPERTIES[TEMPLATE_ID]&amp;GRAPHICS_PROPERTIES[TEMPLATE_AMENDMENT_CODE])</f>
        <v>TPL_04A</v>
      </c>
    </row>
    <row r="734" spans="1:47" x14ac:dyDescent="0.35">
      <c r="A734" s="2" t="s">
        <v>98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0" t="str">
        <f>_xlfn.XLOOKUP(PROPERTIES[[#This Row],[VEHIDCODE]],CONTROL[VEHIDCODE],CONTROL[ENGLISH])</f>
        <v>Steel 2-axle Compartment Coach</v>
      </c>
      <c r="G734" s="40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22</v>
      </c>
      <c r="J734">
        <v>45</v>
      </c>
      <c r="K734">
        <v>5</v>
      </c>
      <c r="L734">
        <v>0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3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0">
        <v>0</v>
      </c>
      <c r="AA734" s="19">
        <f>IFERROR(PROPERTIES[[#This Row],[TE_STARTING_KN]]/(PROPERTIES[[#This Row],[WEIGHT]]*9.81),0)</f>
        <v>0</v>
      </c>
      <c r="AB734" s="19">
        <v>0.3</v>
      </c>
      <c r="AC734" s="16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6">
        <v>0</v>
      </c>
      <c r="AF734" s="6">
        <v>0</v>
      </c>
      <c r="AG734" t="s">
        <v>1945</v>
      </c>
      <c r="AH734" t="s">
        <v>232</v>
      </c>
      <c r="AI734" t="s">
        <v>229</v>
      </c>
      <c r="AJ734" s="2" t="s">
        <v>229</v>
      </c>
      <c r="AK734" s="2" t="s">
        <v>244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44" t="b">
        <v>0</v>
      </c>
      <c r="AP734" s="48" t="b">
        <v>0</v>
      </c>
      <c r="AQ734" s="48" t="b">
        <v>0</v>
      </c>
      <c r="AR734" s="48">
        <v>0</v>
      </c>
      <c r="AS734" s="48" t="b">
        <v>0</v>
      </c>
      <c r="AT734" s="7" t="b">
        <v>0</v>
      </c>
      <c r="AU734" s="40" t="str" cm="1">
        <f t="array" ref="AU734">_xlfn.XLOOKUP(PROPERTIES[[#This Row],[VEHIDCODE]],GRAPHICS_PROPERTIES[VEHIDCODE],GRAPHICS_PROPERTIES[TEMPLATE_ID]&amp;GRAPHICS_PROPERTIES[TEMPLATE_AMENDMENT_CODE])</f>
        <v>TPL_04A</v>
      </c>
    </row>
    <row r="735" spans="1:47" x14ac:dyDescent="0.35">
      <c r="A735" s="2" t="s">
        <v>99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0" t="str">
        <f>_xlfn.XLOOKUP(PROPERTIES[[#This Row],[VEHIDCODE]],CONTROL[VEHIDCODE],CONTROL[ENGLISH])</f>
        <v>Steel 2-axle Regional Coach</v>
      </c>
      <c r="G735" s="40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22</v>
      </c>
      <c r="J735">
        <v>90</v>
      </c>
      <c r="K735">
        <v>5</v>
      </c>
      <c r="L735">
        <v>0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3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0">
        <v>0</v>
      </c>
      <c r="AA735" s="19">
        <f>IFERROR(PROPERTIES[[#This Row],[TE_STARTING_KN]]/(PROPERTIES[[#This Row],[WEIGHT]]*9.81),0)</f>
        <v>0</v>
      </c>
      <c r="AB735" s="19">
        <v>0.3</v>
      </c>
      <c r="AC735" s="16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6">
        <v>0</v>
      </c>
      <c r="AF735" s="6">
        <v>0</v>
      </c>
      <c r="AG735" t="s">
        <v>241</v>
      </c>
      <c r="AH735" t="s">
        <v>229</v>
      </c>
      <c r="AI735" t="s">
        <v>229</v>
      </c>
      <c r="AJ735" s="2" t="s">
        <v>229</v>
      </c>
      <c r="AK735" s="2" t="s">
        <v>244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44" t="b">
        <v>0</v>
      </c>
      <c r="AP735" s="48" t="b">
        <v>0</v>
      </c>
      <c r="AQ735" s="48" t="b">
        <v>0</v>
      </c>
      <c r="AR735" s="48">
        <v>0</v>
      </c>
      <c r="AS735" s="48" t="b">
        <v>0</v>
      </c>
      <c r="AT735" s="7" t="b">
        <v>0</v>
      </c>
      <c r="AU735" s="40" t="str" cm="1">
        <f t="array" ref="AU735">_xlfn.XLOOKUP(PROPERTIES[[#This Row],[VEHIDCODE]],GRAPHICS_PROPERTIES[VEHIDCODE],GRAPHICS_PROPERTIES[TEMPLATE_ID]&amp;GRAPHICS_PROPERTIES[TEMPLATE_AMENDMENT_CODE])</f>
        <v>TPL_04A</v>
      </c>
    </row>
    <row r="736" spans="1:47" x14ac:dyDescent="0.35">
      <c r="A736" s="2" t="s">
        <v>100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0" t="str">
        <f>_xlfn.XLOOKUP(PROPERTIES[[#This Row],[VEHIDCODE]],CONTROL[VEHIDCODE],CONTROL[ENGLISH])</f>
        <v>Steel 2-axle Mail Coach</v>
      </c>
      <c r="G736" s="40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36</v>
      </c>
      <c r="J736">
        <v>32</v>
      </c>
      <c r="K736">
        <v>5</v>
      </c>
      <c r="L736">
        <v>0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3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0">
        <v>0</v>
      </c>
      <c r="AA736" s="19">
        <f>IFERROR(PROPERTIES[[#This Row],[TE_STARTING_KN]]/(PROPERTIES[[#This Row],[WEIGHT]]*9.81),0)</f>
        <v>0</v>
      </c>
      <c r="AB736" s="19">
        <v>0.3</v>
      </c>
      <c r="AC736" s="16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6">
        <v>0</v>
      </c>
      <c r="AF736" s="6">
        <v>0</v>
      </c>
      <c r="AG736" t="s">
        <v>241</v>
      </c>
      <c r="AH736" t="s">
        <v>229</v>
      </c>
      <c r="AI736" t="s">
        <v>229</v>
      </c>
      <c r="AJ736" s="2" t="s">
        <v>229</v>
      </c>
      <c r="AK736" s="2" t="s">
        <v>244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44" t="b">
        <v>0</v>
      </c>
      <c r="AP736" s="48" t="b">
        <v>0</v>
      </c>
      <c r="AQ736" s="48" t="b">
        <v>0</v>
      </c>
      <c r="AR736" s="48">
        <v>0</v>
      </c>
      <c r="AS736" s="48" t="b">
        <v>0</v>
      </c>
      <c r="AT736" s="7" t="b">
        <v>0</v>
      </c>
      <c r="AU736" s="40" t="str" cm="1">
        <f t="array" ref="AU736">_xlfn.XLOOKUP(PROPERTIES[[#This Row],[VEHIDCODE]],GRAPHICS_PROPERTIES[VEHIDCODE],GRAPHICS_PROPERTIES[TEMPLATE_ID]&amp;GRAPHICS_PROPERTIES[TEMPLATE_AMENDMENT_CODE])</f>
        <v>TPL_04A</v>
      </c>
    </row>
    <row r="737" spans="1:47" x14ac:dyDescent="0.35">
      <c r="A737" s="2" t="s">
        <v>101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0" t="str">
        <f>_xlfn.XLOOKUP(PROPERTIES[[#This Row],[VEHIDCODE]],CONTROL[VEHIDCODE],CONTROL[ENGLISH])</f>
        <v>Steel 3-axle Compartment Coach</v>
      </c>
      <c r="G737" s="40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22</v>
      </c>
      <c r="J737">
        <v>62</v>
      </c>
      <c r="K737">
        <v>6</v>
      </c>
      <c r="L737">
        <v>0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3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0">
        <v>0</v>
      </c>
      <c r="AA737" s="19">
        <f>IFERROR(PROPERTIES[[#This Row],[TE_STARTING_KN]]/(PROPERTIES[[#This Row],[WEIGHT]]*9.81),0)</f>
        <v>0</v>
      </c>
      <c r="AB737" s="19">
        <v>0.3</v>
      </c>
      <c r="AC737" s="16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6">
        <v>0</v>
      </c>
      <c r="AF737" s="6">
        <v>0</v>
      </c>
      <c r="AG737" t="s">
        <v>1945</v>
      </c>
      <c r="AH737" t="s">
        <v>232</v>
      </c>
      <c r="AI737" t="s">
        <v>229</v>
      </c>
      <c r="AJ737" s="2" t="s">
        <v>229</v>
      </c>
      <c r="AK737" s="2" t="s">
        <v>244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44" t="b">
        <v>0</v>
      </c>
      <c r="AP737" s="48" t="b">
        <v>0</v>
      </c>
      <c r="AQ737" s="48" t="b">
        <v>0</v>
      </c>
      <c r="AR737" s="48">
        <v>0</v>
      </c>
      <c r="AS737" s="48" t="b">
        <v>0</v>
      </c>
      <c r="AT737" s="7" t="b">
        <v>0</v>
      </c>
      <c r="AU737" s="40" t="str" cm="1">
        <f t="array" ref="AU737">_xlfn.XLOOKUP(PROPERTIES[[#This Row],[VEHIDCODE]],GRAPHICS_PROPERTIES[VEHIDCODE],GRAPHICS_PROPERTIES[TEMPLATE_ID]&amp;GRAPHICS_PROPERTIES[TEMPLATE_AMENDMENT_CODE])</f>
        <v>TPL_04A</v>
      </c>
    </row>
    <row r="738" spans="1:47" x14ac:dyDescent="0.35">
      <c r="A738" s="2" t="s">
        <v>102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0" t="str">
        <f>_xlfn.XLOOKUP(PROPERTIES[[#This Row],[VEHIDCODE]],CONTROL[VEHIDCODE],CONTROL[ENGLISH])</f>
        <v>Steel 3-axle Regional Coach</v>
      </c>
      <c r="G738" s="40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22</v>
      </c>
      <c r="J738">
        <v>100</v>
      </c>
      <c r="K738">
        <v>6</v>
      </c>
      <c r="L738">
        <v>0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3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0">
        <v>0</v>
      </c>
      <c r="AA738" s="19">
        <f>IFERROR(PROPERTIES[[#This Row],[TE_STARTING_KN]]/(PROPERTIES[[#This Row],[WEIGHT]]*9.81),0)</f>
        <v>0</v>
      </c>
      <c r="AB738" s="19">
        <v>0.3</v>
      </c>
      <c r="AC738" s="16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6">
        <v>0</v>
      </c>
      <c r="AF738" s="6">
        <v>0</v>
      </c>
      <c r="AG738" t="s">
        <v>1945</v>
      </c>
      <c r="AH738" t="s">
        <v>232</v>
      </c>
      <c r="AI738" t="s">
        <v>229</v>
      </c>
      <c r="AJ738" s="2" t="s">
        <v>229</v>
      </c>
      <c r="AK738" s="2" t="s">
        <v>244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44" t="b">
        <v>0</v>
      </c>
      <c r="AP738" s="48" t="b">
        <v>0</v>
      </c>
      <c r="AQ738" s="48" t="b">
        <v>0</v>
      </c>
      <c r="AR738" s="48">
        <v>0</v>
      </c>
      <c r="AS738" s="48" t="b">
        <v>0</v>
      </c>
      <c r="AT738" s="7" t="b">
        <v>0</v>
      </c>
      <c r="AU738" s="40" t="str" cm="1">
        <f t="array" ref="AU738">_xlfn.XLOOKUP(PROPERTIES[[#This Row],[VEHIDCODE]],GRAPHICS_PROPERTIES[VEHIDCODE],GRAPHICS_PROPERTIES[TEMPLATE_ID]&amp;GRAPHICS_PROPERTIES[TEMPLATE_AMENDMENT_CODE])</f>
        <v>TPL_04A</v>
      </c>
    </row>
    <row r="739" spans="1:47" x14ac:dyDescent="0.35">
      <c r="A739" s="2" t="s">
        <v>103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0" t="str">
        <f>_xlfn.XLOOKUP(PROPERTIES[[#This Row],[VEHIDCODE]],CONTROL[VEHIDCODE],CONTROL[ENGLISH])</f>
        <v>Steel 3-axle Mail Coach</v>
      </c>
      <c r="G739" s="40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36</v>
      </c>
      <c r="J739">
        <v>42</v>
      </c>
      <c r="K739">
        <v>6</v>
      </c>
      <c r="L739">
        <v>0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3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0">
        <v>0</v>
      </c>
      <c r="AA739" s="19">
        <f>IFERROR(PROPERTIES[[#This Row],[TE_STARTING_KN]]/(PROPERTIES[[#This Row],[WEIGHT]]*9.81),0)</f>
        <v>0</v>
      </c>
      <c r="AB739" s="19">
        <v>0.3</v>
      </c>
      <c r="AC739" s="16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6">
        <v>0</v>
      </c>
      <c r="AF739" s="6">
        <v>0</v>
      </c>
      <c r="AG739" t="s">
        <v>1945</v>
      </c>
      <c r="AH739" t="s">
        <v>232</v>
      </c>
      <c r="AI739" t="s">
        <v>229</v>
      </c>
      <c r="AJ739" s="2" t="s">
        <v>229</v>
      </c>
      <c r="AK739" s="2" t="s">
        <v>244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44" t="b">
        <v>0</v>
      </c>
      <c r="AP739" s="48" t="b">
        <v>0</v>
      </c>
      <c r="AQ739" s="48" t="b">
        <v>0</v>
      </c>
      <c r="AR739" s="48">
        <v>0</v>
      </c>
      <c r="AS739" s="48" t="b">
        <v>0</v>
      </c>
      <c r="AT739" s="7" t="b">
        <v>0</v>
      </c>
      <c r="AU739" s="40" t="str" cm="1">
        <f t="array" ref="AU739">_xlfn.XLOOKUP(PROPERTIES[[#This Row],[VEHIDCODE]],GRAPHICS_PROPERTIES[VEHIDCODE],GRAPHICS_PROPERTIES[TEMPLATE_ID]&amp;GRAPHICS_PROPERTIES[TEMPLATE_AMENDMENT_CODE])</f>
        <v>TPL_04A</v>
      </c>
    </row>
    <row r="740" spans="1:47" x14ac:dyDescent="0.35">
      <c r="A740" s="2" t="s">
        <v>104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0" t="str">
        <f>_xlfn.XLOOKUP(PROPERTIES[[#This Row],[VEHIDCODE]],CONTROL[VEHIDCODE],CONTROL[ENGLISH])</f>
        <v>Lightweight Intercity Coach</v>
      </c>
      <c r="G740" s="40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22</v>
      </c>
      <c r="J740">
        <v>70</v>
      </c>
      <c r="K740">
        <v>8</v>
      </c>
      <c r="L740">
        <v>0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3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0">
        <v>0</v>
      </c>
      <c r="AA740" s="19">
        <f>IFERROR(PROPERTIES[[#This Row],[TE_STARTING_KN]]/(PROPERTIES[[#This Row],[WEIGHT]]*9.81),0)</f>
        <v>0</v>
      </c>
      <c r="AB740" s="19">
        <v>0.3</v>
      </c>
      <c r="AC740" s="16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6">
        <v>0</v>
      </c>
      <c r="AF740" s="6">
        <v>0</v>
      </c>
      <c r="AG740" t="s">
        <v>1947</v>
      </c>
      <c r="AH740" t="s">
        <v>240</v>
      </c>
      <c r="AI740" t="s">
        <v>229</v>
      </c>
      <c r="AJ740" s="2" t="s">
        <v>229</v>
      </c>
      <c r="AK740" s="2" t="s">
        <v>244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44" t="b">
        <v>0</v>
      </c>
      <c r="AP740" s="48" t="b">
        <v>0</v>
      </c>
      <c r="AQ740" s="48" t="b">
        <v>0</v>
      </c>
      <c r="AR740" s="48">
        <v>0</v>
      </c>
      <c r="AS740" s="48" t="b">
        <v>0</v>
      </c>
      <c r="AT740" s="7" t="b">
        <v>0</v>
      </c>
      <c r="AU740" s="40" t="str" cm="1">
        <f t="array" ref="AU740">_xlfn.XLOOKUP(PROPERTIES[[#This Row],[VEHIDCODE]],GRAPHICS_PROPERTIES[VEHIDCODE],GRAPHICS_PROPERTIES[TEMPLATE_ID]&amp;GRAPHICS_PROPERTIES[TEMPLATE_AMENDMENT_CODE])</f>
        <v>TPL_04S</v>
      </c>
    </row>
    <row r="741" spans="1:47" x14ac:dyDescent="0.35">
      <c r="A741" s="2" t="s">
        <v>105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0" t="str">
        <f>_xlfn.XLOOKUP(PROPERTIES[[#This Row],[VEHIDCODE]],CONTROL[VEHIDCODE],CONTROL[ENGLISH])</f>
        <v>Lightweight Regional Coach</v>
      </c>
      <c r="G741" s="40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22</v>
      </c>
      <c r="J741">
        <v>95</v>
      </c>
      <c r="K741">
        <v>8</v>
      </c>
      <c r="L741">
        <v>0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3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0">
        <v>0</v>
      </c>
      <c r="AA741" s="19">
        <f>IFERROR(PROPERTIES[[#This Row],[TE_STARTING_KN]]/(PROPERTIES[[#This Row],[WEIGHT]]*9.81),0)</f>
        <v>0</v>
      </c>
      <c r="AB741" s="19">
        <v>0.3</v>
      </c>
      <c r="AC741" s="16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6">
        <v>0</v>
      </c>
      <c r="AF741" s="6">
        <v>0</v>
      </c>
      <c r="AG741" t="s">
        <v>1947</v>
      </c>
      <c r="AH741" t="s">
        <v>240</v>
      </c>
      <c r="AI741" t="s">
        <v>229</v>
      </c>
      <c r="AJ741" s="2" t="s">
        <v>229</v>
      </c>
      <c r="AK741" s="2" t="s">
        <v>244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44" t="b">
        <v>0</v>
      </c>
      <c r="AP741" s="48" t="b">
        <v>0</v>
      </c>
      <c r="AQ741" s="48" t="b">
        <v>0</v>
      </c>
      <c r="AR741" s="48">
        <v>0</v>
      </c>
      <c r="AS741" s="48" t="b">
        <v>0</v>
      </c>
      <c r="AT741" s="7" t="b">
        <v>0</v>
      </c>
      <c r="AU741" s="40" t="str" cm="1">
        <f t="array" ref="AU741">_xlfn.XLOOKUP(PROPERTIES[[#This Row],[VEHIDCODE]],GRAPHICS_PROPERTIES[VEHIDCODE],GRAPHICS_PROPERTIES[TEMPLATE_ID]&amp;GRAPHICS_PROPERTIES[TEMPLATE_AMENDMENT_CODE])</f>
        <v>TPL_04A</v>
      </c>
    </row>
    <row r="742" spans="1:47" x14ac:dyDescent="0.35">
      <c r="A742" s="2" t="s">
        <v>106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0" t="str">
        <f>_xlfn.XLOOKUP(PROPERTIES[[#This Row],[VEHIDCODE]],CONTROL[VEHIDCODE],CONTROL[ENGLISH])</f>
        <v>Lightweight Mail Coach</v>
      </c>
      <c r="G742" s="40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36</v>
      </c>
      <c r="J742">
        <v>75</v>
      </c>
      <c r="K742">
        <v>8</v>
      </c>
      <c r="L742">
        <v>0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3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0">
        <v>0</v>
      </c>
      <c r="AA742" s="19">
        <f>IFERROR(PROPERTIES[[#This Row],[TE_STARTING_KN]]/(PROPERTIES[[#This Row],[WEIGHT]]*9.81),0)</f>
        <v>0</v>
      </c>
      <c r="AB742" s="19">
        <v>0.3</v>
      </c>
      <c r="AC742" s="16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6">
        <v>0</v>
      </c>
      <c r="AF742" s="6">
        <v>0</v>
      </c>
      <c r="AG742" t="s">
        <v>1947</v>
      </c>
      <c r="AH742" t="s">
        <v>240</v>
      </c>
      <c r="AI742" t="s">
        <v>229</v>
      </c>
      <c r="AJ742" s="2" t="s">
        <v>229</v>
      </c>
      <c r="AK742" s="2" t="s">
        <v>244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44" t="b">
        <v>0</v>
      </c>
      <c r="AP742" s="48" t="b">
        <v>0</v>
      </c>
      <c r="AQ742" s="48" t="b">
        <v>0</v>
      </c>
      <c r="AR742" s="48">
        <v>0</v>
      </c>
      <c r="AS742" s="48" t="b">
        <v>0</v>
      </c>
      <c r="AT742" s="7" t="b">
        <v>0</v>
      </c>
      <c r="AU742" s="40" t="str" cm="1">
        <f t="array" ref="AU742">_xlfn.XLOOKUP(PROPERTIES[[#This Row],[VEHIDCODE]],GRAPHICS_PROPERTIES[VEHIDCODE],GRAPHICS_PROPERTIES[TEMPLATE_ID]&amp;GRAPHICS_PROPERTIES[TEMPLATE_AMENDMENT_CODE])</f>
        <v>TPL_04A</v>
      </c>
    </row>
    <row r="743" spans="1:47" x14ac:dyDescent="0.35">
      <c r="A743" s="2" t="s">
        <v>107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0" t="str">
        <f>_xlfn.XLOOKUP(PROPERTIES[[#This Row],[VEHIDCODE]],CONTROL[VEHIDCODE],CONTROL[ENGLISH])</f>
        <v>Streamlined Intercity Coach</v>
      </c>
      <c r="G743" s="40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22</v>
      </c>
      <c r="J743">
        <v>75</v>
      </c>
      <c r="K743">
        <v>8</v>
      </c>
      <c r="L743">
        <v>0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3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0">
        <v>0</v>
      </c>
      <c r="AA743" s="19">
        <f>IFERROR(PROPERTIES[[#This Row],[TE_STARTING_KN]]/(PROPERTIES[[#This Row],[WEIGHT]]*9.81),0)</f>
        <v>0</v>
      </c>
      <c r="AB743" s="19">
        <v>0.3</v>
      </c>
      <c r="AC743" s="16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6">
        <v>0</v>
      </c>
      <c r="AF743" s="6">
        <v>0</v>
      </c>
      <c r="AG743" t="s">
        <v>1945</v>
      </c>
      <c r="AH743" t="s">
        <v>232</v>
      </c>
      <c r="AI743" t="s">
        <v>229</v>
      </c>
      <c r="AJ743" s="2" t="s">
        <v>229</v>
      </c>
      <c r="AK743" s="2" t="s">
        <v>244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44" t="b">
        <v>0</v>
      </c>
      <c r="AP743" s="48" t="b">
        <v>0</v>
      </c>
      <c r="AQ743" s="48" t="b">
        <v>0</v>
      </c>
      <c r="AR743" s="48">
        <v>0</v>
      </c>
      <c r="AS743" s="48" t="b">
        <v>0</v>
      </c>
      <c r="AT743" s="7" t="b">
        <v>0</v>
      </c>
      <c r="AU743" s="40" t="str" cm="1">
        <f t="array" ref="AU743">_xlfn.XLOOKUP(PROPERTIES[[#This Row],[VEHIDCODE]],GRAPHICS_PROPERTIES[VEHIDCODE],GRAPHICS_PROPERTIES[TEMPLATE_ID]&amp;GRAPHICS_PROPERTIES[TEMPLATE_AMENDMENT_CODE])</f>
        <v>TPL_04S</v>
      </c>
    </row>
    <row r="744" spans="1:47" x14ac:dyDescent="0.35">
      <c r="A744" s="2" t="s">
        <v>108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0" t="str">
        <f>_xlfn.XLOOKUP(PROPERTIES[[#This Row],[VEHIDCODE]],CONTROL[VEHIDCODE],CONTROL[ENGLISH])</f>
        <v>Streamlined Regional Coach</v>
      </c>
      <c r="G744" s="40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22</v>
      </c>
      <c r="J744">
        <v>150</v>
      </c>
      <c r="K744">
        <v>8</v>
      </c>
      <c r="L744">
        <v>0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3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0">
        <v>0</v>
      </c>
      <c r="AA744" s="19">
        <f>IFERROR(PROPERTIES[[#This Row],[TE_STARTING_KN]]/(PROPERTIES[[#This Row],[WEIGHT]]*9.81),0)</f>
        <v>0</v>
      </c>
      <c r="AB744" s="19">
        <v>0.3</v>
      </c>
      <c r="AC744" s="16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6">
        <v>0</v>
      </c>
      <c r="AF744" s="6">
        <v>0</v>
      </c>
      <c r="AG744" t="s">
        <v>240</v>
      </c>
      <c r="AH744" t="s">
        <v>232</v>
      </c>
      <c r="AI744" t="s">
        <v>229</v>
      </c>
      <c r="AJ744" s="2" t="s">
        <v>229</v>
      </c>
      <c r="AK744" s="2" t="s">
        <v>244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44" t="b">
        <v>0</v>
      </c>
      <c r="AP744" s="48" t="b">
        <v>0</v>
      </c>
      <c r="AQ744" s="48" t="b">
        <v>0</v>
      </c>
      <c r="AR744" s="48">
        <v>0</v>
      </c>
      <c r="AS744" s="48" t="b">
        <v>0</v>
      </c>
      <c r="AT744" s="7" t="b">
        <v>0</v>
      </c>
      <c r="AU744" s="40" t="str" cm="1">
        <f t="array" ref="AU744">_xlfn.XLOOKUP(PROPERTIES[[#This Row],[VEHIDCODE]],GRAPHICS_PROPERTIES[VEHIDCODE],GRAPHICS_PROPERTIES[TEMPLATE_ID]&amp;GRAPHICS_PROPERTIES[TEMPLATE_AMENDMENT_CODE])</f>
        <v>TPL_04S</v>
      </c>
    </row>
    <row r="745" spans="1:47" x14ac:dyDescent="0.35">
      <c r="A745" s="2" t="s">
        <v>109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0" t="str">
        <f>_xlfn.XLOOKUP(PROPERTIES[[#This Row],[VEHIDCODE]],CONTROL[VEHIDCODE],CONTROL[ENGLISH])</f>
        <v>Streamlined Mail Coach</v>
      </c>
      <c r="G745" s="40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36</v>
      </c>
      <c r="J745">
        <v>80</v>
      </c>
      <c r="K745">
        <v>8</v>
      </c>
      <c r="L745">
        <v>0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3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0">
        <v>0</v>
      </c>
      <c r="AA745" s="19">
        <f>IFERROR(PROPERTIES[[#This Row],[TE_STARTING_KN]]/(PROPERTIES[[#This Row],[WEIGHT]]*9.81),0)</f>
        <v>0</v>
      </c>
      <c r="AB745" s="19">
        <v>0.3</v>
      </c>
      <c r="AC745" s="16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6">
        <v>0</v>
      </c>
      <c r="AF745" s="6">
        <v>0</v>
      </c>
      <c r="AG745" t="s">
        <v>240</v>
      </c>
      <c r="AH745" t="s">
        <v>232</v>
      </c>
      <c r="AI745" t="s">
        <v>229</v>
      </c>
      <c r="AJ745" s="2" t="s">
        <v>229</v>
      </c>
      <c r="AK745" s="2" t="s">
        <v>244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44" t="b">
        <v>0</v>
      </c>
      <c r="AP745" s="48" t="b">
        <v>0</v>
      </c>
      <c r="AQ745" s="48" t="b">
        <v>0</v>
      </c>
      <c r="AR745" s="48">
        <v>0</v>
      </c>
      <c r="AS745" s="48" t="b">
        <v>0</v>
      </c>
      <c r="AT745" s="7" t="b">
        <v>0</v>
      </c>
      <c r="AU745" s="40" t="str" cm="1">
        <f t="array" ref="AU745">_xlfn.XLOOKUP(PROPERTIES[[#This Row],[VEHIDCODE]],GRAPHICS_PROPERTIES[VEHIDCODE],GRAPHICS_PROPERTIES[TEMPLATE_ID]&amp;GRAPHICS_PROPERTIES[TEMPLATE_AMENDMENT_CODE])</f>
        <v>TPL_04S</v>
      </c>
    </row>
    <row r="746" spans="1:47" x14ac:dyDescent="0.35">
      <c r="A746" s="2" t="s">
        <v>110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0" t="str">
        <f>_xlfn.XLOOKUP(PROPERTIES[[#This Row],[VEHIDCODE]],CONTROL[VEHIDCODE],CONTROL[ENGLISH])</f>
        <v>Gallery Car</v>
      </c>
      <c r="G746" s="40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22</v>
      </c>
      <c r="J746">
        <v>170</v>
      </c>
      <c r="K746">
        <v>8</v>
      </c>
      <c r="L746">
        <v>0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3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0">
        <v>0</v>
      </c>
      <c r="AA746" s="19">
        <f>IFERROR(PROPERTIES[[#This Row],[TE_STARTING_KN]]/(PROPERTIES[[#This Row],[WEIGHT]]*9.81),0)</f>
        <v>0</v>
      </c>
      <c r="AB746" s="19">
        <v>0.3</v>
      </c>
      <c r="AC746" s="16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6">
        <v>0</v>
      </c>
      <c r="AF746" s="6">
        <v>0</v>
      </c>
      <c r="AG746" t="s">
        <v>240</v>
      </c>
      <c r="AH746" t="s">
        <v>232</v>
      </c>
      <c r="AI746" t="s">
        <v>229</v>
      </c>
      <c r="AJ746" s="2" t="s">
        <v>229</v>
      </c>
      <c r="AK746" s="2" t="s">
        <v>244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44" t="b">
        <v>0</v>
      </c>
      <c r="AP746" s="48" t="b">
        <v>1</v>
      </c>
      <c r="AQ746" s="48" t="b">
        <v>0</v>
      </c>
      <c r="AR746" s="48">
        <v>0</v>
      </c>
      <c r="AS746" s="48" t="b">
        <v>0</v>
      </c>
      <c r="AT746" s="7" t="b">
        <v>0</v>
      </c>
      <c r="AU746" s="40" t="str" cm="1">
        <f t="array" ref="AU746">_xlfn.XLOOKUP(PROPERTIES[[#This Row],[VEHIDCODE]],GRAPHICS_PROPERTIES[VEHIDCODE],GRAPHICS_PROPERTIES[TEMPLATE_ID]&amp;GRAPHICS_PROPERTIES[TEMPLATE_AMENDMENT_CODE])</f>
        <v>TPL_04A</v>
      </c>
    </row>
    <row r="747" spans="1:47" x14ac:dyDescent="0.35">
      <c r="A747" s="2" t="s">
        <v>111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0" t="str">
        <f>_xlfn.XLOOKUP(PROPERTIES[[#This Row],[VEHIDCODE]],CONTROL[VEHIDCODE],CONTROL[ENGLISH])</f>
        <v>Mk1 Intercity Coach</v>
      </c>
      <c r="G747" s="40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22</v>
      </c>
      <c r="J747">
        <v>72</v>
      </c>
      <c r="K747">
        <v>7</v>
      </c>
      <c r="L747">
        <v>0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3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0">
        <v>0</v>
      </c>
      <c r="AA747" s="19">
        <f>IFERROR(PROPERTIES[[#This Row],[TE_STARTING_KN]]/(PROPERTIES[[#This Row],[WEIGHT]]*9.81),0)</f>
        <v>0</v>
      </c>
      <c r="AB747" s="19">
        <v>0.3</v>
      </c>
      <c r="AC747" s="16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6">
        <v>0</v>
      </c>
      <c r="AF747" s="6">
        <v>0</v>
      </c>
      <c r="AG747" t="s">
        <v>1945</v>
      </c>
      <c r="AH747" t="s">
        <v>229</v>
      </c>
      <c r="AI747" t="s">
        <v>229</v>
      </c>
      <c r="AJ747" s="2" t="s">
        <v>229</v>
      </c>
      <c r="AK747" s="2" t="s">
        <v>244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44" t="b">
        <v>0</v>
      </c>
      <c r="AP747" s="48" t="b">
        <v>0</v>
      </c>
      <c r="AQ747" s="48" t="b">
        <v>0</v>
      </c>
      <c r="AR747" s="48">
        <v>0</v>
      </c>
      <c r="AS747" s="48" t="b">
        <v>0</v>
      </c>
      <c r="AT747" s="7" t="b">
        <v>0</v>
      </c>
      <c r="AU747" s="40" t="str" cm="1">
        <f t="array" ref="AU747">_xlfn.XLOOKUP(PROPERTIES[[#This Row],[VEHIDCODE]],GRAPHICS_PROPERTIES[VEHIDCODE],GRAPHICS_PROPERTIES[TEMPLATE_ID]&amp;GRAPHICS_PROPERTIES[TEMPLATE_AMENDMENT_CODE])</f>
        <v>TPL_04A</v>
      </c>
    </row>
    <row r="748" spans="1:47" x14ac:dyDescent="0.35">
      <c r="A748" s="2" t="s">
        <v>112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0" t="str">
        <f>_xlfn.XLOOKUP(PROPERTIES[[#This Row],[VEHIDCODE]],CONTROL[VEHIDCODE],CONTROL[ENGLISH])</f>
        <v>Mk1 Regional Coach</v>
      </c>
      <c r="G748" s="40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22</v>
      </c>
      <c r="J748">
        <v>150</v>
      </c>
      <c r="K748">
        <v>7</v>
      </c>
      <c r="L748">
        <v>0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3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0">
        <v>0</v>
      </c>
      <c r="AA748" s="19">
        <f>IFERROR(PROPERTIES[[#This Row],[TE_STARTING_KN]]/(PROPERTIES[[#This Row],[WEIGHT]]*9.81),0)</f>
        <v>0</v>
      </c>
      <c r="AB748" s="19">
        <v>0.3</v>
      </c>
      <c r="AC748" s="16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6">
        <v>0</v>
      </c>
      <c r="AF748" s="6">
        <v>0</v>
      </c>
      <c r="AG748" t="s">
        <v>1945</v>
      </c>
      <c r="AH748" t="s">
        <v>229</v>
      </c>
      <c r="AI748" t="s">
        <v>229</v>
      </c>
      <c r="AJ748" s="2" t="s">
        <v>229</v>
      </c>
      <c r="AK748" s="2" t="s">
        <v>244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44" t="b">
        <v>0</v>
      </c>
      <c r="AP748" s="48" t="b">
        <v>0</v>
      </c>
      <c r="AQ748" s="48" t="b">
        <v>0</v>
      </c>
      <c r="AR748" s="48">
        <v>0</v>
      </c>
      <c r="AS748" s="48" t="b">
        <v>0</v>
      </c>
      <c r="AT748" s="7" t="b">
        <v>0</v>
      </c>
      <c r="AU748" s="40" t="str" cm="1">
        <f t="array" ref="AU748">_xlfn.XLOOKUP(PROPERTIES[[#This Row],[VEHIDCODE]],GRAPHICS_PROPERTIES[VEHIDCODE],GRAPHICS_PROPERTIES[TEMPLATE_ID]&amp;GRAPHICS_PROPERTIES[TEMPLATE_AMENDMENT_CODE])</f>
        <v>TPL_04A</v>
      </c>
    </row>
    <row r="749" spans="1:47" x14ac:dyDescent="0.35">
      <c r="A749" s="2" t="s">
        <v>113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0" t="str">
        <f>_xlfn.XLOOKUP(PROPERTIES[[#This Row],[VEHIDCODE]],CONTROL[VEHIDCODE],CONTROL[ENGLISH])</f>
        <v>Mk1 Mail Coach</v>
      </c>
      <c r="G749" s="40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36</v>
      </c>
      <c r="J749">
        <v>80</v>
      </c>
      <c r="K749">
        <v>7</v>
      </c>
      <c r="L749">
        <v>0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3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0">
        <v>0</v>
      </c>
      <c r="AA749" s="19">
        <f>IFERROR(PROPERTIES[[#This Row],[TE_STARTING_KN]]/(PROPERTIES[[#This Row],[WEIGHT]]*9.81),0)</f>
        <v>0</v>
      </c>
      <c r="AB749" s="19">
        <v>0.3</v>
      </c>
      <c r="AC749" s="16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6">
        <v>0</v>
      </c>
      <c r="AF749" s="6">
        <v>0</v>
      </c>
      <c r="AG749" t="s">
        <v>1945</v>
      </c>
      <c r="AH749" t="s">
        <v>229</v>
      </c>
      <c r="AI749" t="s">
        <v>229</v>
      </c>
      <c r="AJ749" s="2" t="s">
        <v>229</v>
      </c>
      <c r="AK749" s="2" t="s">
        <v>244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44" t="b">
        <v>0</v>
      </c>
      <c r="AP749" s="48" t="b">
        <v>0</v>
      </c>
      <c r="AQ749" s="48" t="b">
        <v>0</v>
      </c>
      <c r="AR749" s="48">
        <v>0</v>
      </c>
      <c r="AS749" s="48" t="b">
        <v>0</v>
      </c>
      <c r="AT749" s="7" t="b">
        <v>0</v>
      </c>
      <c r="AU749" s="40" t="str" cm="1">
        <f t="array" ref="AU749">_xlfn.XLOOKUP(PROPERTIES[[#This Row],[VEHIDCODE]],GRAPHICS_PROPERTIES[VEHIDCODE],GRAPHICS_PROPERTIES[TEMPLATE_ID]&amp;GRAPHICS_PROPERTIES[TEMPLATE_AMENDMENT_CODE])</f>
        <v>TPL_04A</v>
      </c>
    </row>
    <row r="750" spans="1:47" x14ac:dyDescent="0.35">
      <c r="A750" s="2" t="s">
        <v>114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0" t="str">
        <f>_xlfn.XLOOKUP(PROPERTIES[[#This Row],[VEHIDCODE]],CONTROL[VEHIDCODE],CONTROL[ENGLISH])</f>
        <v>UIC-X Intercity Coach</v>
      </c>
      <c r="G750" s="40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22</v>
      </c>
      <c r="J750">
        <v>72</v>
      </c>
      <c r="K750">
        <v>8</v>
      </c>
      <c r="L750">
        <v>0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3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0">
        <v>0</v>
      </c>
      <c r="AA750" s="19">
        <f>IFERROR(PROPERTIES[[#This Row],[TE_STARTING_KN]]/(PROPERTIES[[#This Row],[WEIGHT]]*9.81),0)</f>
        <v>0</v>
      </c>
      <c r="AB750" s="19">
        <v>0.3</v>
      </c>
      <c r="AC750" s="16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6">
        <v>0</v>
      </c>
      <c r="AF750" s="6">
        <v>0</v>
      </c>
      <c r="AG750" t="s">
        <v>1945</v>
      </c>
      <c r="AH750" t="s">
        <v>229</v>
      </c>
      <c r="AI750" t="s">
        <v>229</v>
      </c>
      <c r="AJ750" s="2" t="s">
        <v>229</v>
      </c>
      <c r="AK750" s="2" t="s">
        <v>244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44" t="b">
        <v>0</v>
      </c>
      <c r="AP750" s="48" t="b">
        <v>0</v>
      </c>
      <c r="AQ750" s="48" t="b">
        <v>0</v>
      </c>
      <c r="AR750" s="48">
        <v>0</v>
      </c>
      <c r="AS750" s="48" t="b">
        <v>0</v>
      </c>
      <c r="AT750" s="7" t="b">
        <v>0</v>
      </c>
      <c r="AU750" s="40" t="str" cm="1">
        <f t="array" ref="AU750">_xlfn.XLOOKUP(PROPERTIES[[#This Row],[VEHIDCODE]],GRAPHICS_PROPERTIES[VEHIDCODE],GRAPHICS_PROPERTIES[TEMPLATE_ID]&amp;GRAPHICS_PROPERTIES[TEMPLATE_AMENDMENT_CODE])</f>
        <v>TPL_04A</v>
      </c>
    </row>
    <row r="751" spans="1:47" x14ac:dyDescent="0.35">
      <c r="A751" s="2" t="s">
        <v>115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0" t="str">
        <f>_xlfn.XLOOKUP(PROPERTIES[[#This Row],[VEHIDCODE]],CONTROL[VEHIDCODE],CONTROL[ENGLISH])</f>
        <v>TEE Intercity Coach</v>
      </c>
      <c r="G751" s="40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22</v>
      </c>
      <c r="J751">
        <v>48</v>
      </c>
      <c r="K751">
        <v>8</v>
      </c>
      <c r="L751">
        <v>0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3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0">
        <v>0</v>
      </c>
      <c r="AA751" s="19">
        <f>IFERROR(PROPERTIES[[#This Row],[TE_STARTING_KN]]/(PROPERTIES[[#This Row],[WEIGHT]]*9.81),0)</f>
        <v>0</v>
      </c>
      <c r="AB751" s="19">
        <v>0.3</v>
      </c>
      <c r="AC751" s="16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6">
        <v>0</v>
      </c>
      <c r="AF751" s="6">
        <v>0</v>
      </c>
      <c r="AG751" t="s">
        <v>239</v>
      </c>
      <c r="AH751" t="s">
        <v>229</v>
      </c>
      <c r="AI751" t="s">
        <v>229</v>
      </c>
      <c r="AJ751" s="2" t="s">
        <v>229</v>
      </c>
      <c r="AK751" s="2" t="s">
        <v>244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44" t="b">
        <v>0</v>
      </c>
      <c r="AP751" s="48" t="b">
        <v>0</v>
      </c>
      <c r="AQ751" s="48" t="b">
        <v>0</v>
      </c>
      <c r="AR751" s="48">
        <v>0</v>
      </c>
      <c r="AS751" s="48" t="b">
        <v>0</v>
      </c>
      <c r="AT751" s="7" t="b">
        <v>0</v>
      </c>
      <c r="AU751" s="40" t="str" cm="1">
        <f t="array" ref="AU751">_xlfn.XLOOKUP(PROPERTIES[[#This Row],[VEHIDCODE]],GRAPHICS_PROPERTIES[VEHIDCODE],GRAPHICS_PROPERTIES[TEMPLATE_ID]&amp;GRAPHICS_PROPERTIES[TEMPLATE_AMENDMENT_CODE])</f>
        <v>TPL_04A</v>
      </c>
    </row>
    <row r="752" spans="1:47" x14ac:dyDescent="0.35">
      <c r="A752" s="2" t="s">
        <v>116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0" t="str">
        <f>_xlfn.XLOOKUP(PROPERTIES[[#This Row],[VEHIDCODE]],CONTROL[VEHIDCODE],CONTROL[ENGLISH])</f>
        <v>UIC-X Regional Coach</v>
      </c>
      <c r="G752" s="40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22</v>
      </c>
      <c r="J752">
        <v>175</v>
      </c>
      <c r="K752">
        <v>8</v>
      </c>
      <c r="L752">
        <v>0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3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0">
        <v>0</v>
      </c>
      <c r="AA752" s="19">
        <f>IFERROR(PROPERTIES[[#This Row],[TE_STARTING_KN]]/(PROPERTIES[[#This Row],[WEIGHT]]*9.81),0)</f>
        <v>0</v>
      </c>
      <c r="AB752" s="19">
        <v>0.3</v>
      </c>
      <c r="AC752" s="16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6">
        <v>0</v>
      </c>
      <c r="AF752" s="6">
        <v>0</v>
      </c>
      <c r="AG752" t="s">
        <v>1945</v>
      </c>
      <c r="AH752" t="s">
        <v>229</v>
      </c>
      <c r="AI752" t="s">
        <v>229</v>
      </c>
      <c r="AJ752" s="2" t="s">
        <v>229</v>
      </c>
      <c r="AK752" s="2" t="s">
        <v>244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44" t="b">
        <v>0</v>
      </c>
      <c r="AP752" s="48" t="b">
        <v>1</v>
      </c>
      <c r="AQ752" s="48" t="b">
        <v>0</v>
      </c>
      <c r="AR752" s="48">
        <v>0</v>
      </c>
      <c r="AS752" s="48" t="b">
        <v>0</v>
      </c>
      <c r="AT752" s="7" t="b">
        <v>0</v>
      </c>
      <c r="AU752" s="40" t="str" cm="1">
        <f t="array" ref="AU752">_xlfn.XLOOKUP(PROPERTIES[[#This Row],[VEHIDCODE]],GRAPHICS_PROPERTIES[VEHIDCODE],GRAPHICS_PROPERTIES[TEMPLATE_ID]&amp;GRAPHICS_PROPERTIES[TEMPLATE_AMENDMENT_CODE])</f>
        <v>TPL_04A</v>
      </c>
    </row>
    <row r="753" spans="1:47" x14ac:dyDescent="0.35">
      <c r="A753" s="2" t="s">
        <v>117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0" t="str">
        <f>_xlfn.XLOOKUP(PROPERTIES[[#This Row],[VEHIDCODE]],CONTROL[VEHIDCODE],CONTROL[ENGLISH])</f>
        <v>'Umbauwagen' Local Coach</v>
      </c>
      <c r="G753" s="40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22</v>
      </c>
      <c r="J753">
        <v>72</v>
      </c>
      <c r="K753">
        <v>7</v>
      </c>
      <c r="L753">
        <v>0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3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0">
        <v>0</v>
      </c>
      <c r="AA753" s="19">
        <f>IFERROR(PROPERTIES[[#This Row],[TE_STARTING_KN]]/(PROPERTIES[[#This Row],[WEIGHT]]*9.81),0)</f>
        <v>0</v>
      </c>
      <c r="AB753" s="19">
        <v>0.3</v>
      </c>
      <c r="AC753" s="16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6">
        <v>0</v>
      </c>
      <c r="AF753" s="6">
        <v>0</v>
      </c>
      <c r="AG753" t="s">
        <v>1945</v>
      </c>
      <c r="AH753" t="s">
        <v>229</v>
      </c>
      <c r="AI753" t="s">
        <v>229</v>
      </c>
      <c r="AJ753" s="2" t="s">
        <v>229</v>
      </c>
      <c r="AK753" s="2" t="s">
        <v>244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44" t="b">
        <v>0</v>
      </c>
      <c r="AP753" s="48" t="b">
        <v>0</v>
      </c>
      <c r="AQ753" s="48" t="b">
        <v>0</v>
      </c>
      <c r="AR753" s="48">
        <v>0</v>
      </c>
      <c r="AS753" s="48" t="b">
        <v>0</v>
      </c>
      <c r="AT753" s="7" t="b">
        <v>0</v>
      </c>
      <c r="AU753" s="40" t="str" cm="1">
        <f t="array" ref="AU753">_xlfn.XLOOKUP(PROPERTIES[[#This Row],[VEHIDCODE]],GRAPHICS_PROPERTIES[VEHIDCODE],GRAPHICS_PROPERTIES[TEMPLATE_ID]&amp;GRAPHICS_PROPERTIES[TEMPLATE_AMENDMENT_CODE])</f>
        <v>TPL_04A</v>
      </c>
    </row>
    <row r="754" spans="1:47" x14ac:dyDescent="0.35">
      <c r="A754" s="2" t="s">
        <v>3601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0" t="str">
        <f>_xlfn.XLOOKUP(PROPERTIES[[#This Row],[VEHIDCODE]],CONTROL[VEHIDCODE],CONTROL[ENGLISH])</f>
        <v>Goerlitz Double Decker Coach</v>
      </c>
      <c r="G754" s="40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22</v>
      </c>
      <c r="J754">
        <v>340</v>
      </c>
      <c r="K754">
        <v>8</v>
      </c>
      <c r="L754">
        <v>0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3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0">
        <v>0</v>
      </c>
      <c r="AA754" s="19">
        <f>IFERROR(PROPERTIES[[#This Row],[TE_STARTING_KN]]/(PROPERTIES[[#This Row],[WEIGHT]]*9.81),0)</f>
        <v>0</v>
      </c>
      <c r="AB754" s="19">
        <v>0.3</v>
      </c>
      <c r="AC754" s="16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6">
        <v>0</v>
      </c>
      <c r="AF754" s="6">
        <v>0</v>
      </c>
      <c r="AG754" t="s">
        <v>1945</v>
      </c>
      <c r="AH754" t="s">
        <v>229</v>
      </c>
      <c r="AI754" t="s">
        <v>229</v>
      </c>
      <c r="AJ754" s="2" t="s">
        <v>229</v>
      </c>
      <c r="AK754" s="2" t="s">
        <v>244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44" t="b">
        <v>0</v>
      </c>
      <c r="AP754" s="48" t="b">
        <v>1</v>
      </c>
      <c r="AQ754" s="48" t="b">
        <v>0</v>
      </c>
      <c r="AR754" s="48">
        <v>0</v>
      </c>
      <c r="AS754" s="48" t="b">
        <v>0</v>
      </c>
      <c r="AT754" s="7" t="b">
        <v>0</v>
      </c>
      <c r="AU754" s="40" t="str" cm="1">
        <f t="array" ref="AU754">_xlfn.XLOOKUP(PROPERTIES[[#This Row],[VEHIDCODE]],GRAPHICS_PROPERTIES[VEHIDCODE],GRAPHICS_PROPERTIES[TEMPLATE_ID]&amp;GRAPHICS_PROPERTIES[TEMPLATE_AMENDMENT_CODE])</f>
        <v>TPL_04A</v>
      </c>
    </row>
    <row r="755" spans="1:47" x14ac:dyDescent="0.35">
      <c r="A755" s="2" t="s">
        <v>118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0" t="str">
        <f>_xlfn.XLOOKUP(PROPERTIES[[#This Row],[VEHIDCODE]],CONTROL[VEHIDCODE],CONTROL[ENGLISH])</f>
        <v>UIC-X Mail Coach</v>
      </c>
      <c r="G755" s="40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36</v>
      </c>
      <c r="J755">
        <v>120</v>
      </c>
      <c r="K755">
        <v>8</v>
      </c>
      <c r="L755">
        <v>0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3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0">
        <v>0</v>
      </c>
      <c r="AA755" s="19">
        <f>IFERROR(PROPERTIES[[#This Row],[TE_STARTING_KN]]/(PROPERTIES[[#This Row],[WEIGHT]]*9.81),0)</f>
        <v>0</v>
      </c>
      <c r="AB755" s="19">
        <v>0.3</v>
      </c>
      <c r="AC755" s="16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6">
        <v>0</v>
      </c>
      <c r="AF755" s="6">
        <v>0</v>
      </c>
      <c r="AG755" t="s">
        <v>1945</v>
      </c>
      <c r="AH755" t="s">
        <v>229</v>
      </c>
      <c r="AI755" t="s">
        <v>229</v>
      </c>
      <c r="AJ755" s="2" t="s">
        <v>229</v>
      </c>
      <c r="AK755" s="2" t="s">
        <v>244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44" t="b">
        <v>0</v>
      </c>
      <c r="AP755" s="48" t="b">
        <v>0</v>
      </c>
      <c r="AQ755" s="48" t="b">
        <v>0</v>
      </c>
      <c r="AR755" s="48">
        <v>0</v>
      </c>
      <c r="AS755" s="48" t="b">
        <v>0</v>
      </c>
      <c r="AT755" s="7" t="b">
        <v>0</v>
      </c>
      <c r="AU755" s="40" t="str" cm="1">
        <f t="array" ref="AU755">_xlfn.XLOOKUP(PROPERTIES[[#This Row],[VEHIDCODE]],GRAPHICS_PROPERTIES[VEHIDCODE],GRAPHICS_PROPERTIES[TEMPLATE_ID]&amp;GRAPHICS_PROPERTIES[TEMPLATE_AMENDMENT_CODE])</f>
        <v>TPL_04A</v>
      </c>
    </row>
    <row r="756" spans="1:47" x14ac:dyDescent="0.35">
      <c r="A756" s="2" t="s">
        <v>119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0" t="str">
        <f>_xlfn.XLOOKUP(PROPERTIES[[#This Row],[VEHIDCODE]],CONTROL[VEHIDCODE],CONTROL[ENGLISH])</f>
        <v>Indian Intercity Coach</v>
      </c>
      <c r="G756" s="40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22</v>
      </c>
      <c r="J756">
        <v>108</v>
      </c>
      <c r="K756">
        <v>8</v>
      </c>
      <c r="L756">
        <v>0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3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0">
        <v>0</v>
      </c>
      <c r="AA756" s="19">
        <f>IFERROR(PROPERTIES[[#This Row],[TE_STARTING_KN]]/(PROPERTIES[[#This Row],[WEIGHT]]*9.81),0)</f>
        <v>0</v>
      </c>
      <c r="AB756" s="19">
        <v>0.3</v>
      </c>
      <c r="AC756" s="16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6">
        <v>0</v>
      </c>
      <c r="AF756" s="6">
        <v>0</v>
      </c>
      <c r="AG756" t="s">
        <v>238</v>
      </c>
      <c r="AH756" t="s">
        <v>229</v>
      </c>
      <c r="AI756" t="s">
        <v>229</v>
      </c>
      <c r="AJ756" s="2" t="s">
        <v>229</v>
      </c>
      <c r="AK756" s="2" t="s">
        <v>244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44" t="b">
        <v>0</v>
      </c>
      <c r="AP756" s="48" t="b">
        <v>0</v>
      </c>
      <c r="AQ756" s="48" t="b">
        <v>0</v>
      </c>
      <c r="AR756" s="48">
        <v>0</v>
      </c>
      <c r="AS756" s="48" t="b">
        <v>0</v>
      </c>
      <c r="AT756" s="7" t="b">
        <v>0</v>
      </c>
      <c r="AU756" s="40" t="str" cm="1">
        <f t="array" ref="AU756">_xlfn.XLOOKUP(PROPERTIES[[#This Row],[VEHIDCODE]],GRAPHICS_PROPERTIES[VEHIDCODE],GRAPHICS_PROPERTIES[TEMPLATE_ID]&amp;GRAPHICS_PROPERTIES[TEMPLATE_AMENDMENT_CODE])</f>
        <v>TPL_04A</v>
      </c>
    </row>
    <row r="757" spans="1:47" x14ac:dyDescent="0.35">
      <c r="A757" s="2" t="s">
        <v>120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0" t="str">
        <f>_xlfn.XLOOKUP(PROPERTIES[[#This Row],[VEHIDCODE]],CONTROL[VEHIDCODE],CONTROL[ENGLISH])</f>
        <v>Indian Local Coach</v>
      </c>
      <c r="G757" s="40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22</v>
      </c>
      <c r="J757">
        <v>210</v>
      </c>
      <c r="K757">
        <v>8</v>
      </c>
      <c r="L757">
        <v>0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3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0">
        <v>0</v>
      </c>
      <c r="AA757" s="19">
        <f>IFERROR(PROPERTIES[[#This Row],[TE_STARTING_KN]]/(PROPERTIES[[#This Row],[WEIGHT]]*9.81),0)</f>
        <v>0</v>
      </c>
      <c r="AB757" s="19">
        <v>0.3</v>
      </c>
      <c r="AC757" s="16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6">
        <v>0</v>
      </c>
      <c r="AF757" s="6">
        <v>0</v>
      </c>
      <c r="AG757" t="s">
        <v>238</v>
      </c>
      <c r="AH757" t="s">
        <v>229</v>
      </c>
      <c r="AI757" t="s">
        <v>229</v>
      </c>
      <c r="AJ757" s="2" t="s">
        <v>229</v>
      </c>
      <c r="AK757" s="2" t="s">
        <v>244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44" t="b">
        <v>0</v>
      </c>
      <c r="AP757" s="48" t="b">
        <v>0</v>
      </c>
      <c r="AQ757" s="48" t="b">
        <v>0</v>
      </c>
      <c r="AR757" s="48">
        <v>2</v>
      </c>
      <c r="AS757" s="48" t="b">
        <v>0</v>
      </c>
      <c r="AT757" s="7" t="b">
        <v>0</v>
      </c>
      <c r="AU757" s="40" t="str" cm="1">
        <f t="array" ref="AU757">_xlfn.XLOOKUP(PROPERTIES[[#This Row],[VEHIDCODE]],GRAPHICS_PROPERTIES[VEHIDCODE],GRAPHICS_PROPERTIES[TEMPLATE_ID]&amp;GRAPHICS_PROPERTIES[TEMPLATE_AMENDMENT_CODE])</f>
        <v>TPL_04B</v>
      </c>
    </row>
    <row r="758" spans="1:47" x14ac:dyDescent="0.35">
      <c r="A758" s="2" t="s">
        <v>121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0" t="str">
        <f>_xlfn.XLOOKUP(PROPERTIES[[#This Row],[VEHIDCODE]],CONTROL[VEHIDCODE],CONTROL[ENGLISH])</f>
        <v>Indian Regional Coach</v>
      </c>
      <c r="G758" s="40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22</v>
      </c>
      <c r="J758">
        <v>140</v>
      </c>
      <c r="K758">
        <v>8</v>
      </c>
      <c r="L758">
        <v>0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3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0">
        <v>0</v>
      </c>
      <c r="AA758" s="19">
        <f>IFERROR(PROPERTIES[[#This Row],[TE_STARTING_KN]]/(PROPERTIES[[#This Row],[WEIGHT]]*9.81),0)</f>
        <v>0</v>
      </c>
      <c r="AB758" s="19">
        <v>0.3</v>
      </c>
      <c r="AC758" s="16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6">
        <v>0</v>
      </c>
      <c r="AF758" s="6">
        <v>0</v>
      </c>
      <c r="AG758" t="s">
        <v>238</v>
      </c>
      <c r="AH758" t="s">
        <v>229</v>
      </c>
      <c r="AI758" t="s">
        <v>229</v>
      </c>
      <c r="AJ758" s="2" t="s">
        <v>229</v>
      </c>
      <c r="AK758" s="2" t="s">
        <v>244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44" t="b">
        <v>0</v>
      </c>
      <c r="AP758" s="48" t="b">
        <v>0</v>
      </c>
      <c r="AQ758" s="48" t="b">
        <v>0</v>
      </c>
      <c r="AR758" s="48">
        <v>2</v>
      </c>
      <c r="AS758" s="48" t="b">
        <v>0</v>
      </c>
      <c r="AT758" s="7" t="b">
        <v>0</v>
      </c>
      <c r="AU758" s="40" t="str" cm="1">
        <f t="array" ref="AU758">_xlfn.XLOOKUP(PROPERTIES[[#This Row],[VEHIDCODE]],GRAPHICS_PROPERTIES[VEHIDCODE],GRAPHICS_PROPERTIES[TEMPLATE_ID]&amp;GRAPHICS_PROPERTIES[TEMPLATE_AMENDMENT_CODE])</f>
        <v>TPL_04B</v>
      </c>
    </row>
    <row r="759" spans="1:47" x14ac:dyDescent="0.35">
      <c r="A759" s="2" t="s">
        <v>122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0" t="str">
        <f>_xlfn.XLOOKUP(PROPERTIES[[#This Row],[VEHIDCODE]],CONTROL[VEHIDCODE],CONTROL[ENGLISH])</f>
        <v>Indian Mail Coach</v>
      </c>
      <c r="G759" s="40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36</v>
      </c>
      <c r="J759">
        <v>100</v>
      </c>
      <c r="K759">
        <v>8</v>
      </c>
      <c r="L759">
        <v>0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3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0">
        <v>0</v>
      </c>
      <c r="AA759" s="19">
        <f>IFERROR(PROPERTIES[[#This Row],[TE_STARTING_KN]]/(PROPERTIES[[#This Row],[WEIGHT]]*9.81),0)</f>
        <v>0</v>
      </c>
      <c r="AB759" s="19">
        <v>0.3</v>
      </c>
      <c r="AC759" s="16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6">
        <v>0</v>
      </c>
      <c r="AF759" s="6">
        <v>0</v>
      </c>
      <c r="AG759" t="s">
        <v>238</v>
      </c>
      <c r="AH759" t="s">
        <v>229</v>
      </c>
      <c r="AI759" t="s">
        <v>229</v>
      </c>
      <c r="AJ759" s="2" t="s">
        <v>229</v>
      </c>
      <c r="AK759" s="2" t="s">
        <v>244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44" t="b">
        <v>0</v>
      </c>
      <c r="AP759" s="48" t="b">
        <v>0</v>
      </c>
      <c r="AQ759" s="48" t="b">
        <v>0</v>
      </c>
      <c r="AR759" s="48">
        <v>0</v>
      </c>
      <c r="AS759" s="48" t="b">
        <v>0</v>
      </c>
      <c r="AT759" s="7" t="b">
        <v>0</v>
      </c>
      <c r="AU759" s="40" t="str" cm="1">
        <f t="array" ref="AU759">_xlfn.XLOOKUP(PROPERTIES[[#This Row],[VEHIDCODE]],GRAPHICS_PROPERTIES[VEHIDCODE],GRAPHICS_PROPERTIES[TEMPLATE_ID]&amp;GRAPHICS_PROPERTIES[TEMPLATE_AMENDMENT_CODE])</f>
        <v>TPL_04A</v>
      </c>
    </row>
    <row r="760" spans="1:47" x14ac:dyDescent="0.35">
      <c r="A760" s="2" t="s">
        <v>123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0" t="str">
        <f>_xlfn.XLOOKUP(PROPERTIES[[#This Row],[VEHIDCODE]],CONTROL[VEHIDCODE],CONTROL[ENGLISH])</f>
        <v>Eurofima Coach</v>
      </c>
      <c r="G760" s="40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22</v>
      </c>
      <c r="J760">
        <v>66</v>
      </c>
      <c r="K760">
        <v>8</v>
      </c>
      <c r="L760">
        <v>0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3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0">
        <v>0</v>
      </c>
      <c r="AA760" s="19">
        <f>IFERROR(PROPERTIES[[#This Row],[TE_STARTING_KN]]/(PROPERTIES[[#This Row],[WEIGHT]]*9.81),0)</f>
        <v>0</v>
      </c>
      <c r="AB760" s="19">
        <v>0.3</v>
      </c>
      <c r="AC760" s="16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6">
        <v>0</v>
      </c>
      <c r="AF760" s="6">
        <v>0</v>
      </c>
      <c r="AG760" t="s">
        <v>1945</v>
      </c>
      <c r="AH760" t="s">
        <v>229</v>
      </c>
      <c r="AI760" t="s">
        <v>229</v>
      </c>
      <c r="AJ760" s="2" t="s">
        <v>229</v>
      </c>
      <c r="AK760" s="2" t="s">
        <v>244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44" t="b">
        <v>0</v>
      </c>
      <c r="AP760" s="48" t="b">
        <v>0</v>
      </c>
      <c r="AQ760" s="48" t="b">
        <v>0</v>
      </c>
      <c r="AR760" s="48">
        <v>0</v>
      </c>
      <c r="AS760" s="48" t="b">
        <v>0</v>
      </c>
      <c r="AT760" s="7" t="b">
        <v>0</v>
      </c>
      <c r="AU760" s="40" t="str" cm="1">
        <f t="array" ref="AU760">_xlfn.XLOOKUP(PROPERTIES[[#This Row],[VEHIDCODE]],GRAPHICS_PROPERTIES[VEHIDCODE],GRAPHICS_PROPERTIES[TEMPLATE_ID]&amp;GRAPHICS_PROPERTIES[TEMPLATE_AMENDMENT_CODE])</f>
        <v>TPL_04A</v>
      </c>
    </row>
    <row r="761" spans="1:47" x14ac:dyDescent="0.35">
      <c r="A761" s="2" t="s">
        <v>124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0" t="str">
        <f>_xlfn.XLOOKUP(PROPERTIES[[#This Row],[VEHIDCODE]],CONTROL[VEHIDCODE],CONTROL[ENGLISH])</f>
        <v>InterRegio Coach</v>
      </c>
      <c r="G761" s="40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22</v>
      </c>
      <c r="J761">
        <v>78</v>
      </c>
      <c r="K761">
        <v>8</v>
      </c>
      <c r="L761">
        <v>0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3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0">
        <v>0</v>
      </c>
      <c r="AA761" s="19">
        <f>IFERROR(PROPERTIES[[#This Row],[TE_STARTING_KN]]/(PROPERTIES[[#This Row],[WEIGHT]]*9.81),0)</f>
        <v>0</v>
      </c>
      <c r="AB761" s="19">
        <v>0.3</v>
      </c>
      <c r="AC761" s="16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6">
        <v>0</v>
      </c>
      <c r="AF761" s="6">
        <v>0</v>
      </c>
      <c r="AG761" t="s">
        <v>1945</v>
      </c>
      <c r="AH761" t="s">
        <v>229</v>
      </c>
      <c r="AI761" t="s">
        <v>229</v>
      </c>
      <c r="AJ761" s="2" t="s">
        <v>229</v>
      </c>
      <c r="AK761" s="2" t="s">
        <v>244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44" t="b">
        <v>0</v>
      </c>
      <c r="AP761" s="48" t="b">
        <v>0</v>
      </c>
      <c r="AQ761" s="48" t="b">
        <v>0</v>
      </c>
      <c r="AR761" s="48">
        <v>0</v>
      </c>
      <c r="AS761" s="48" t="b">
        <v>0</v>
      </c>
      <c r="AT761" s="7" t="b">
        <v>0</v>
      </c>
      <c r="AU761" s="40" t="str" cm="1">
        <f t="array" ref="AU761">_xlfn.XLOOKUP(PROPERTIES[[#This Row],[VEHIDCODE]],GRAPHICS_PROPERTIES[VEHIDCODE],GRAPHICS_PROPERTIES[TEMPLATE_ID]&amp;GRAPHICS_PROPERTIES[TEMPLATE_AMENDMENT_CODE])</f>
        <v>TPL_04A</v>
      </c>
    </row>
    <row r="762" spans="1:47" x14ac:dyDescent="0.35">
      <c r="A762" s="2" t="s">
        <v>125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0" t="str">
        <f>_xlfn.XLOOKUP(PROPERTIES[[#This Row],[VEHIDCODE]],CONTROL[VEHIDCODE],CONTROL[ENGLISH])</f>
        <v>'Silberling' Commuter Coach</v>
      </c>
      <c r="G762" s="40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22</v>
      </c>
      <c r="J762">
        <v>190</v>
      </c>
      <c r="K762">
        <v>8</v>
      </c>
      <c r="L762">
        <v>0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3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0">
        <v>0</v>
      </c>
      <c r="AA762" s="19">
        <f>IFERROR(PROPERTIES[[#This Row],[TE_STARTING_KN]]/(PROPERTIES[[#This Row],[WEIGHT]]*9.81),0)</f>
        <v>0</v>
      </c>
      <c r="AB762" s="19">
        <v>0.3</v>
      </c>
      <c r="AC762" s="16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6">
        <v>0</v>
      </c>
      <c r="AF762" s="6">
        <v>0</v>
      </c>
      <c r="AG762" t="s">
        <v>1945</v>
      </c>
      <c r="AH762" t="s">
        <v>229</v>
      </c>
      <c r="AI762" t="s">
        <v>229</v>
      </c>
      <c r="AJ762" s="2" t="s">
        <v>229</v>
      </c>
      <c r="AK762" s="2" t="s">
        <v>244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44" t="b">
        <v>0</v>
      </c>
      <c r="AP762" s="48" t="b">
        <v>1</v>
      </c>
      <c r="AQ762" s="48" t="b">
        <v>0</v>
      </c>
      <c r="AR762" s="48">
        <v>0</v>
      </c>
      <c r="AS762" s="48" t="b">
        <v>0</v>
      </c>
      <c r="AT762" s="7" t="b">
        <v>0</v>
      </c>
      <c r="AU762" s="40" t="str" cm="1">
        <f t="array" ref="AU762">_xlfn.XLOOKUP(PROPERTIES[[#This Row],[VEHIDCODE]],GRAPHICS_PROPERTIES[VEHIDCODE],GRAPHICS_PROPERTIES[TEMPLATE_ID]&amp;GRAPHICS_PROPERTIES[TEMPLATE_AMENDMENT_CODE])</f>
        <v>TPL_04A</v>
      </c>
    </row>
    <row r="763" spans="1:47" x14ac:dyDescent="0.35">
      <c r="A763" s="2" t="s">
        <v>126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0" t="str">
        <f>_xlfn.XLOOKUP(PROPERTIES[[#This Row],[VEHIDCODE]],CONTROL[VEHIDCODE],CONTROL[ENGLISH])</f>
        <v>Eurofima Mail Coach</v>
      </c>
      <c r="G763" s="40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36</v>
      </c>
      <c r="J763">
        <v>130</v>
      </c>
      <c r="K763">
        <v>8</v>
      </c>
      <c r="L763">
        <v>0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3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0">
        <v>0</v>
      </c>
      <c r="AA763" s="19">
        <f>IFERROR(PROPERTIES[[#This Row],[TE_STARTING_KN]]/(PROPERTIES[[#This Row],[WEIGHT]]*9.81),0)</f>
        <v>0</v>
      </c>
      <c r="AB763" s="19">
        <v>0.3</v>
      </c>
      <c r="AC763" s="16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6">
        <v>0</v>
      </c>
      <c r="AF763" s="6">
        <v>0</v>
      </c>
      <c r="AG763" t="s">
        <v>1945</v>
      </c>
      <c r="AH763" t="s">
        <v>229</v>
      </c>
      <c r="AI763" t="s">
        <v>229</v>
      </c>
      <c r="AJ763" s="2" t="s">
        <v>229</v>
      </c>
      <c r="AK763" s="2" t="s">
        <v>244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44" t="b">
        <v>0</v>
      </c>
      <c r="AP763" s="48" t="b">
        <v>0</v>
      </c>
      <c r="AQ763" s="48" t="b">
        <v>0</v>
      </c>
      <c r="AR763" s="48">
        <v>0</v>
      </c>
      <c r="AS763" s="48" t="b">
        <v>0</v>
      </c>
      <c r="AT763" s="7" t="b">
        <v>0</v>
      </c>
      <c r="AU763" s="40" t="str" cm="1">
        <f t="array" ref="AU763">_xlfn.XLOOKUP(PROPERTIES[[#This Row],[VEHIDCODE]],GRAPHICS_PROPERTIES[VEHIDCODE],GRAPHICS_PROPERTIES[TEMPLATE_ID]&amp;GRAPHICS_PROPERTIES[TEMPLATE_AMENDMENT_CODE])</f>
        <v>TPL_04A</v>
      </c>
    </row>
    <row r="764" spans="1:47" x14ac:dyDescent="0.35">
      <c r="A764" s="2" t="s">
        <v>127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0" t="str">
        <f>_xlfn.XLOOKUP(PROPERTIES[[#This Row],[VEHIDCODE]],CONTROL[VEHIDCODE],CONTROL[ENGLISH])</f>
        <v>Double Decker Coach</v>
      </c>
      <c r="G764" s="40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22</v>
      </c>
      <c r="J764">
        <v>170</v>
      </c>
      <c r="K764">
        <v>8</v>
      </c>
      <c r="L764">
        <v>0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3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0">
        <v>0</v>
      </c>
      <c r="AA764" s="19">
        <f>IFERROR(PROPERTIES[[#This Row],[TE_STARTING_KN]]/(PROPERTIES[[#This Row],[WEIGHT]]*9.81),0)</f>
        <v>0</v>
      </c>
      <c r="AB764" s="19">
        <v>0.3</v>
      </c>
      <c r="AC764" s="16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6">
        <v>0</v>
      </c>
      <c r="AF764" s="6">
        <v>0</v>
      </c>
      <c r="AG764" t="s">
        <v>239</v>
      </c>
      <c r="AH764" t="s">
        <v>238</v>
      </c>
      <c r="AI764" t="s">
        <v>229</v>
      </c>
      <c r="AJ764" s="2" t="s">
        <v>229</v>
      </c>
      <c r="AK764" s="2" t="s">
        <v>244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44" t="b">
        <v>0</v>
      </c>
      <c r="AP764" s="48" t="b">
        <v>1</v>
      </c>
      <c r="AQ764" s="48" t="b">
        <v>0</v>
      </c>
      <c r="AR764" s="48">
        <v>0</v>
      </c>
      <c r="AS764" s="48" t="b">
        <v>0</v>
      </c>
      <c r="AT764" s="7" t="b">
        <v>0</v>
      </c>
      <c r="AU764" s="40" t="str" cm="1">
        <f t="array" ref="AU764">_xlfn.XLOOKUP(PROPERTIES[[#This Row],[VEHIDCODE]],GRAPHICS_PROPERTIES[VEHIDCODE],GRAPHICS_PROPERTIES[TEMPLATE_ID]&amp;GRAPHICS_PROPERTIES[TEMPLATE_AMENDMENT_CODE])</f>
        <v>TPL_04A</v>
      </c>
    </row>
    <row r="765" spans="1:47" x14ac:dyDescent="0.35">
      <c r="A765" s="2" t="s">
        <v>128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0" t="str">
        <f>_xlfn.XLOOKUP(PROPERTIES[[#This Row],[VEHIDCODE]],CONTROL[VEHIDCODE],CONTROL[ENGLISH])</f>
        <v>Russian Intercity Sleeper Coach</v>
      </c>
      <c r="G765" s="40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22</v>
      </c>
      <c r="J765">
        <v>54</v>
      </c>
      <c r="K765">
        <v>8</v>
      </c>
      <c r="L765">
        <v>0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3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0">
        <v>0</v>
      </c>
      <c r="AA765" s="19">
        <f>IFERROR(PROPERTIES[[#This Row],[TE_STARTING_KN]]/(PROPERTIES[[#This Row],[WEIGHT]]*9.81),0)</f>
        <v>0</v>
      </c>
      <c r="AB765" s="19">
        <v>0.3</v>
      </c>
      <c r="AC765" s="16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6">
        <v>0</v>
      </c>
      <c r="AF765" s="6">
        <v>0</v>
      </c>
      <c r="AG765" t="s">
        <v>239</v>
      </c>
      <c r="AH765" t="s">
        <v>238</v>
      </c>
      <c r="AI765" t="s">
        <v>229</v>
      </c>
      <c r="AJ765" s="2" t="s">
        <v>229</v>
      </c>
      <c r="AK765" s="2" t="s">
        <v>244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44" t="b">
        <v>0</v>
      </c>
      <c r="AP765" s="48" t="b">
        <v>0</v>
      </c>
      <c r="AQ765" s="48" t="b">
        <v>0</v>
      </c>
      <c r="AR765" s="48">
        <v>0</v>
      </c>
      <c r="AS765" s="48" t="b">
        <v>0</v>
      </c>
      <c r="AT765" s="7" t="b">
        <v>0</v>
      </c>
      <c r="AU765" s="40" t="str" cm="1">
        <f t="array" ref="AU765">_xlfn.XLOOKUP(PROPERTIES[[#This Row],[VEHIDCODE]],GRAPHICS_PROPERTIES[VEHIDCODE],GRAPHICS_PROPERTIES[TEMPLATE_ID]&amp;GRAPHICS_PROPERTIES[TEMPLATE_AMENDMENT_CODE])</f>
        <v>TPL_04A</v>
      </c>
    </row>
    <row r="766" spans="1:47" x14ac:dyDescent="0.35">
      <c r="A766" s="2" t="s">
        <v>129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0" t="str">
        <f>_xlfn.XLOOKUP(PROPERTIES[[#This Row],[VEHIDCODE]],CONTROL[VEHIDCODE],CONTROL[ENGLISH])</f>
        <v>Russian Regional Coach</v>
      </c>
      <c r="G766" s="40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22</v>
      </c>
      <c r="J766">
        <v>220</v>
      </c>
      <c r="K766">
        <v>8</v>
      </c>
      <c r="L766">
        <v>0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3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0">
        <v>0</v>
      </c>
      <c r="AA766" s="19">
        <f>IFERROR(PROPERTIES[[#This Row],[TE_STARTING_KN]]/(PROPERTIES[[#This Row],[WEIGHT]]*9.81),0)</f>
        <v>0</v>
      </c>
      <c r="AB766" s="19">
        <v>0.3</v>
      </c>
      <c r="AC766" s="16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6">
        <v>0</v>
      </c>
      <c r="AF766" s="6">
        <v>0</v>
      </c>
      <c r="AG766" t="s">
        <v>239</v>
      </c>
      <c r="AH766" t="s">
        <v>238</v>
      </c>
      <c r="AI766" t="s">
        <v>229</v>
      </c>
      <c r="AJ766" s="2" t="s">
        <v>229</v>
      </c>
      <c r="AK766" s="2" t="s">
        <v>244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44" t="b">
        <v>0</v>
      </c>
      <c r="AP766" s="48" t="b">
        <v>0</v>
      </c>
      <c r="AQ766" s="48" t="b">
        <v>0</v>
      </c>
      <c r="AR766" s="48">
        <v>0</v>
      </c>
      <c r="AS766" s="48" t="b">
        <v>0</v>
      </c>
      <c r="AT766" s="7" t="b">
        <v>0</v>
      </c>
      <c r="AU766" s="40" t="str" cm="1">
        <f t="array" ref="AU766">_xlfn.XLOOKUP(PROPERTIES[[#This Row],[VEHIDCODE]],GRAPHICS_PROPERTIES[VEHIDCODE],GRAPHICS_PROPERTIES[TEMPLATE_ID]&amp;GRAPHICS_PROPERTIES[TEMPLATE_AMENDMENT_CODE])</f>
        <v>TPL_04A</v>
      </c>
    </row>
    <row r="767" spans="1:47" x14ac:dyDescent="0.35">
      <c r="A767" s="2" t="s">
        <v>130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0" t="str">
        <f>_xlfn.XLOOKUP(PROPERTIES[[#This Row],[VEHIDCODE]],CONTROL[VEHIDCODE],CONTROL[ENGLISH])</f>
        <v>Russian Mail Coach</v>
      </c>
      <c r="G767" s="40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36</v>
      </c>
      <c r="J767">
        <v>150</v>
      </c>
      <c r="K767">
        <v>8</v>
      </c>
      <c r="L767">
        <v>0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3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0">
        <v>0</v>
      </c>
      <c r="AA767" s="19">
        <f>IFERROR(PROPERTIES[[#This Row],[TE_STARTING_KN]]/(PROPERTIES[[#This Row],[WEIGHT]]*9.81),0)</f>
        <v>0</v>
      </c>
      <c r="AB767" s="19">
        <v>0.3</v>
      </c>
      <c r="AC767" s="16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6">
        <v>0</v>
      </c>
      <c r="AF767" s="6">
        <v>0</v>
      </c>
      <c r="AG767" t="s">
        <v>239</v>
      </c>
      <c r="AH767" t="s">
        <v>238</v>
      </c>
      <c r="AI767" t="s">
        <v>229</v>
      </c>
      <c r="AJ767" s="2" t="s">
        <v>229</v>
      </c>
      <c r="AK767" s="2" t="s">
        <v>244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44" t="b">
        <v>0</v>
      </c>
      <c r="AP767" s="48" t="b">
        <v>0</v>
      </c>
      <c r="AQ767" s="48" t="b">
        <v>0</v>
      </c>
      <c r="AR767" s="48">
        <v>0</v>
      </c>
      <c r="AS767" s="48" t="b">
        <v>0</v>
      </c>
      <c r="AT767" s="7" t="b">
        <v>0</v>
      </c>
      <c r="AU767" s="40" t="str" cm="1">
        <f t="array" ref="AU767">_xlfn.XLOOKUP(PROPERTIES[[#This Row],[VEHIDCODE]],GRAPHICS_PROPERTIES[VEHIDCODE],GRAPHICS_PROPERTIES[TEMPLATE_ID]&amp;GRAPHICS_PROPERTIES[TEMPLATE_AMENDMENT_CODE])</f>
        <v>TPL_04A</v>
      </c>
    </row>
    <row r="768" spans="1:47" x14ac:dyDescent="0.35">
      <c r="A768" s="2" t="s">
        <v>131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0" t="str">
        <f>_xlfn.XLOOKUP(PROPERTIES[[#This Row],[VEHIDCODE]],CONTROL[VEHIDCODE],CONTROL[ENGLISH])</f>
        <v>Superliner Coach</v>
      </c>
      <c r="G768" s="40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22</v>
      </c>
      <c r="J768">
        <v>78</v>
      </c>
      <c r="K768">
        <v>8</v>
      </c>
      <c r="L768">
        <v>0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3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0">
        <v>0</v>
      </c>
      <c r="AA768" s="19">
        <f>IFERROR(PROPERTIES[[#This Row],[TE_STARTING_KN]]/(PROPERTIES[[#This Row],[WEIGHT]]*9.81),0)</f>
        <v>0</v>
      </c>
      <c r="AB768" s="19">
        <v>0.3</v>
      </c>
      <c r="AC768" s="16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6">
        <v>0</v>
      </c>
      <c r="AF768" s="6">
        <v>0</v>
      </c>
      <c r="AG768" t="s">
        <v>240</v>
      </c>
      <c r="AH768" t="s">
        <v>232</v>
      </c>
      <c r="AI768" t="s">
        <v>229</v>
      </c>
      <c r="AJ768" s="2" t="s">
        <v>229</v>
      </c>
      <c r="AK768" s="2" t="s">
        <v>244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44" t="b">
        <v>0</v>
      </c>
      <c r="AP768" s="48" t="b">
        <v>0</v>
      </c>
      <c r="AQ768" s="48" t="b">
        <v>0</v>
      </c>
      <c r="AR768" s="48">
        <v>0</v>
      </c>
      <c r="AS768" s="48" t="b">
        <v>0</v>
      </c>
      <c r="AT768" s="7" t="b">
        <v>0</v>
      </c>
      <c r="AU768" s="40" t="str" cm="1">
        <f t="array" ref="AU768">_xlfn.XLOOKUP(PROPERTIES[[#This Row],[VEHIDCODE]],GRAPHICS_PROPERTIES[VEHIDCODE],GRAPHICS_PROPERTIES[TEMPLATE_ID]&amp;GRAPHICS_PROPERTIES[TEMPLATE_AMENDMENT_CODE])</f>
        <v>TPL_04A</v>
      </c>
    </row>
    <row r="769" spans="1:47" x14ac:dyDescent="0.35">
      <c r="A769" s="2" t="s">
        <v>132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0" t="str">
        <f>_xlfn.XLOOKUP(PROPERTIES[[#This Row],[VEHIDCODE]],CONTROL[VEHIDCODE],CONTROL[ENGLISH])</f>
        <v>Superliner California</v>
      </c>
      <c r="G769" s="40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22</v>
      </c>
      <c r="J769">
        <v>94</v>
      </c>
      <c r="K769">
        <v>8</v>
      </c>
      <c r="L769">
        <v>0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3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0">
        <v>0</v>
      </c>
      <c r="AA769" s="19">
        <f>IFERROR(PROPERTIES[[#This Row],[TE_STARTING_KN]]/(PROPERTIES[[#This Row],[WEIGHT]]*9.81),0)</f>
        <v>0</v>
      </c>
      <c r="AB769" s="19">
        <v>0.3</v>
      </c>
      <c r="AC769" s="16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6">
        <v>0</v>
      </c>
      <c r="AF769" s="6">
        <v>0</v>
      </c>
      <c r="AG769" t="s">
        <v>240</v>
      </c>
      <c r="AH769" t="s">
        <v>232</v>
      </c>
      <c r="AI769" t="s">
        <v>229</v>
      </c>
      <c r="AJ769" s="2" t="s">
        <v>229</v>
      </c>
      <c r="AK769" s="2" t="s">
        <v>244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44" t="b">
        <v>0</v>
      </c>
      <c r="AP769" s="48" t="b">
        <v>1</v>
      </c>
      <c r="AQ769" s="48" t="b">
        <v>0</v>
      </c>
      <c r="AR769" s="48">
        <v>0</v>
      </c>
      <c r="AS769" s="48" t="b">
        <v>0</v>
      </c>
      <c r="AT769" s="7" t="b">
        <v>0</v>
      </c>
      <c r="AU769" s="40" t="str" cm="1">
        <f t="array" ref="AU769">_xlfn.XLOOKUP(PROPERTIES[[#This Row],[VEHIDCODE]],GRAPHICS_PROPERTIES[VEHIDCODE],GRAPHICS_PROPERTIES[TEMPLATE_ID]&amp;GRAPHICS_PROPERTIES[TEMPLATE_AMENDMENT_CODE])</f>
        <v>TPL_04A</v>
      </c>
    </row>
    <row r="770" spans="1:47" x14ac:dyDescent="0.35">
      <c r="A770" s="2" t="s">
        <v>133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0" t="str">
        <f>_xlfn.XLOOKUP(PROPERTIES[[#This Row],[VEHIDCODE]],CONTROL[VEHIDCODE],CONTROL[ENGLISH])</f>
        <v>Amfleet Regional Coach</v>
      </c>
      <c r="G770" s="40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22</v>
      </c>
      <c r="J770">
        <v>84</v>
      </c>
      <c r="K770">
        <v>8</v>
      </c>
      <c r="L770">
        <v>0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3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0">
        <v>0</v>
      </c>
      <c r="AA770" s="19">
        <f>IFERROR(PROPERTIES[[#This Row],[TE_STARTING_KN]]/(PROPERTIES[[#This Row],[WEIGHT]]*9.81),0)</f>
        <v>0</v>
      </c>
      <c r="AB770" s="19">
        <v>0.3</v>
      </c>
      <c r="AC770" s="16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6">
        <v>0</v>
      </c>
      <c r="AF770" s="6">
        <v>0</v>
      </c>
      <c r="AG770" t="s">
        <v>240</v>
      </c>
      <c r="AH770" t="s">
        <v>232</v>
      </c>
      <c r="AI770" t="s">
        <v>229</v>
      </c>
      <c r="AJ770" s="2" t="s">
        <v>229</v>
      </c>
      <c r="AK770" s="2" t="s">
        <v>244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44" t="b">
        <v>0</v>
      </c>
      <c r="AP770" s="48" t="b">
        <v>1</v>
      </c>
      <c r="AQ770" s="48" t="b">
        <v>0</v>
      </c>
      <c r="AR770" s="48">
        <v>0</v>
      </c>
      <c r="AS770" s="48" t="b">
        <v>0</v>
      </c>
      <c r="AT770" s="7" t="b">
        <v>0</v>
      </c>
      <c r="AU770" s="40" t="str" cm="1">
        <f t="array" ref="AU770">_xlfn.XLOOKUP(PROPERTIES[[#This Row],[VEHIDCODE]],GRAPHICS_PROPERTIES[VEHIDCODE],GRAPHICS_PROPERTIES[TEMPLATE_ID]&amp;GRAPHICS_PROPERTIES[TEMPLATE_AMENDMENT_CODE])</f>
        <v>TPL_04A</v>
      </c>
    </row>
    <row r="771" spans="1:47" x14ac:dyDescent="0.35">
      <c r="A771" s="2" t="s">
        <v>134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0" t="str">
        <f>_xlfn.XLOOKUP(PROPERTIES[[#This Row],[VEHIDCODE]],CONTROL[VEHIDCODE],CONTROL[ENGLISH])</f>
        <v>Amfleet Intercity Coach</v>
      </c>
      <c r="G771" s="40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22</v>
      </c>
      <c r="J771">
        <v>62</v>
      </c>
      <c r="K771">
        <v>8</v>
      </c>
      <c r="L771">
        <v>0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3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0">
        <v>0</v>
      </c>
      <c r="AA771" s="19">
        <f>IFERROR(PROPERTIES[[#This Row],[TE_STARTING_KN]]/(PROPERTIES[[#This Row],[WEIGHT]]*9.81),0)</f>
        <v>0</v>
      </c>
      <c r="AB771" s="19">
        <v>0.3</v>
      </c>
      <c r="AC771" s="16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6">
        <v>0</v>
      </c>
      <c r="AF771" s="6">
        <v>0</v>
      </c>
      <c r="AG771" t="s">
        <v>240</v>
      </c>
      <c r="AH771" t="s">
        <v>232</v>
      </c>
      <c r="AI771" t="s">
        <v>229</v>
      </c>
      <c r="AJ771" s="2" t="s">
        <v>229</v>
      </c>
      <c r="AK771" s="2" t="s">
        <v>244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44" t="b">
        <v>0</v>
      </c>
      <c r="AP771" s="48" t="b">
        <v>0</v>
      </c>
      <c r="AQ771" s="48" t="b">
        <v>0</v>
      </c>
      <c r="AR771" s="48">
        <v>0</v>
      </c>
      <c r="AS771" s="48" t="b">
        <v>0</v>
      </c>
      <c r="AT771" s="7" t="b">
        <v>0</v>
      </c>
      <c r="AU771" s="40" t="str" cm="1">
        <f t="array" ref="AU771">_xlfn.XLOOKUP(PROPERTIES[[#This Row],[VEHIDCODE]],GRAPHICS_PROPERTIES[VEHIDCODE],GRAPHICS_PROPERTIES[TEMPLATE_ID]&amp;GRAPHICS_PROPERTIES[TEMPLATE_AMENDMENT_CODE])</f>
        <v>TPL_04A</v>
      </c>
    </row>
    <row r="772" spans="1:47" x14ac:dyDescent="0.35">
      <c r="A772" s="2" t="s">
        <v>135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0" t="str">
        <f>_xlfn.XLOOKUP(PROPERTIES[[#This Row],[VEHIDCODE]],CONTROL[VEHIDCODE],CONTROL[ENGLISH])</f>
        <v>Comet Commuter Coach</v>
      </c>
      <c r="G772" s="40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22</v>
      </c>
      <c r="J772">
        <v>117</v>
      </c>
      <c r="K772">
        <v>8</v>
      </c>
      <c r="L772">
        <v>0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3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0">
        <v>0</v>
      </c>
      <c r="AA772" s="19">
        <f>IFERROR(PROPERTIES[[#This Row],[TE_STARTING_KN]]/(PROPERTIES[[#This Row],[WEIGHT]]*9.81),0)</f>
        <v>0</v>
      </c>
      <c r="AB772" s="19">
        <v>0.3</v>
      </c>
      <c r="AC772" s="16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6">
        <v>0</v>
      </c>
      <c r="AF772" s="6">
        <v>0</v>
      </c>
      <c r="AG772" t="s">
        <v>240</v>
      </c>
      <c r="AH772" t="s">
        <v>232</v>
      </c>
      <c r="AI772" t="s">
        <v>229</v>
      </c>
      <c r="AJ772" s="2" t="s">
        <v>229</v>
      </c>
      <c r="AK772" s="2" t="s">
        <v>244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44" t="b">
        <v>0</v>
      </c>
      <c r="AP772" s="48" t="b">
        <v>1</v>
      </c>
      <c r="AQ772" s="48" t="b">
        <v>0</v>
      </c>
      <c r="AR772" s="48">
        <v>0</v>
      </c>
      <c r="AS772" s="48" t="b">
        <v>0</v>
      </c>
      <c r="AT772" s="7" t="b">
        <v>0</v>
      </c>
      <c r="AU772" s="40" t="str" cm="1">
        <f t="array" ref="AU772">_xlfn.XLOOKUP(PROPERTIES[[#This Row],[VEHIDCODE]],GRAPHICS_PROPERTIES[VEHIDCODE],GRAPHICS_PROPERTIES[TEMPLATE_ID]&amp;GRAPHICS_PROPERTIES[TEMPLATE_AMENDMENT_CODE])</f>
        <v>TPL_04A</v>
      </c>
    </row>
    <row r="773" spans="1:47" x14ac:dyDescent="0.35">
      <c r="A773" s="2" t="s">
        <v>136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0" t="str">
        <f>_xlfn.XLOOKUP(PROPERTIES[[#This Row],[VEHIDCODE]],CONTROL[VEHIDCODE],CONTROL[ENGLISH])</f>
        <v>Horizon Regional Coach</v>
      </c>
      <c r="G773" s="40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22</v>
      </c>
      <c r="J773">
        <v>72</v>
      </c>
      <c r="K773">
        <v>8</v>
      </c>
      <c r="L773">
        <v>0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3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0">
        <v>0</v>
      </c>
      <c r="AA773" s="19">
        <f>IFERROR(PROPERTIES[[#This Row],[TE_STARTING_KN]]/(PROPERTIES[[#This Row],[WEIGHT]]*9.81),0)</f>
        <v>0</v>
      </c>
      <c r="AB773" s="19">
        <v>0.3</v>
      </c>
      <c r="AC773" s="16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6">
        <v>0</v>
      </c>
      <c r="AF773" s="6">
        <v>0</v>
      </c>
      <c r="AG773" t="s">
        <v>240</v>
      </c>
      <c r="AH773" t="s">
        <v>232</v>
      </c>
      <c r="AI773" t="s">
        <v>229</v>
      </c>
      <c r="AJ773" s="2" t="s">
        <v>229</v>
      </c>
      <c r="AK773" s="2" t="s">
        <v>244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44" t="b">
        <v>0</v>
      </c>
      <c r="AP773" s="48" t="b">
        <v>0</v>
      </c>
      <c r="AQ773" s="48" t="b">
        <v>0</v>
      </c>
      <c r="AR773" s="48">
        <v>0</v>
      </c>
      <c r="AS773" s="48" t="b">
        <v>0</v>
      </c>
      <c r="AT773" s="7" t="b">
        <v>0</v>
      </c>
      <c r="AU773" s="40" t="str" cm="1">
        <f t="array" ref="AU773">_xlfn.XLOOKUP(PROPERTIES[[#This Row],[VEHIDCODE]],GRAPHICS_PROPERTIES[VEHIDCODE],GRAPHICS_PROPERTIES[TEMPLATE_ID]&amp;GRAPHICS_PROPERTIES[TEMPLATE_AMENDMENT_CODE])</f>
        <v>TPL_04A</v>
      </c>
    </row>
    <row r="774" spans="1:47" x14ac:dyDescent="0.35">
      <c r="A774" s="2" t="s">
        <v>137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0" t="str">
        <f>_xlfn.XLOOKUP(PROPERTIES[[#This Row],[VEHIDCODE]],CONTROL[VEHIDCODE],CONTROL[ENGLISH])</f>
        <v>Horizon Baggage Coach</v>
      </c>
      <c r="G774" s="40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36</v>
      </c>
      <c r="J774">
        <v>160</v>
      </c>
      <c r="K774">
        <v>8</v>
      </c>
      <c r="L774">
        <v>0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3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0">
        <v>0</v>
      </c>
      <c r="AA774" s="19">
        <f>IFERROR(PROPERTIES[[#This Row],[TE_STARTING_KN]]/(PROPERTIES[[#This Row],[WEIGHT]]*9.81),0)</f>
        <v>0</v>
      </c>
      <c r="AB774" s="19">
        <v>0.3</v>
      </c>
      <c r="AC774" s="16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6">
        <v>0</v>
      </c>
      <c r="AF774" s="6">
        <v>0</v>
      </c>
      <c r="AG774" t="s">
        <v>240</v>
      </c>
      <c r="AH774" t="s">
        <v>232</v>
      </c>
      <c r="AI774" t="s">
        <v>229</v>
      </c>
      <c r="AJ774" s="2" t="s">
        <v>229</v>
      </c>
      <c r="AK774" s="2" t="s">
        <v>244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44" t="b">
        <v>0</v>
      </c>
      <c r="AP774" s="48" t="b">
        <v>0</v>
      </c>
      <c r="AQ774" s="48" t="b">
        <v>0</v>
      </c>
      <c r="AR774" s="48">
        <v>0</v>
      </c>
      <c r="AS774" s="48" t="b">
        <v>0</v>
      </c>
      <c r="AT774" s="7" t="b">
        <v>0</v>
      </c>
      <c r="AU774" s="40" t="str" cm="1">
        <f t="array" ref="AU774">_xlfn.XLOOKUP(PROPERTIES[[#This Row],[VEHIDCODE]],GRAPHICS_PROPERTIES[VEHIDCODE],GRAPHICS_PROPERTIES[TEMPLATE_ID]&amp;GRAPHICS_PROPERTIES[TEMPLATE_AMENDMENT_CODE])</f>
        <v>TPL_04A</v>
      </c>
    </row>
    <row r="775" spans="1:47" x14ac:dyDescent="0.35">
      <c r="A775" s="2" t="s">
        <v>138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0" t="str">
        <f>_xlfn.XLOOKUP(PROPERTIES[[#This Row],[VEHIDCODE]],CONTROL[VEHIDCODE],CONTROL[ENGLISH])</f>
        <v>Bombardier Bi-level</v>
      </c>
      <c r="G775" s="40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22</v>
      </c>
      <c r="J775">
        <f>160+200</f>
        <v>360</v>
      </c>
      <c r="K775">
        <v>8</v>
      </c>
      <c r="L775">
        <v>0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3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0">
        <v>0</v>
      </c>
      <c r="AA775" s="19">
        <f>IFERROR(PROPERTIES[[#This Row],[TE_STARTING_KN]]/(PROPERTIES[[#This Row],[WEIGHT]]*9.81),0)</f>
        <v>0</v>
      </c>
      <c r="AB775" s="19">
        <v>0.3</v>
      </c>
      <c r="AC775" s="16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6">
        <v>0</v>
      </c>
      <c r="AF775" s="6">
        <v>0</v>
      </c>
      <c r="AG775" t="s">
        <v>240</v>
      </c>
      <c r="AH775" t="s">
        <v>232</v>
      </c>
      <c r="AI775" t="s">
        <v>229</v>
      </c>
      <c r="AJ775" s="2" t="s">
        <v>229</v>
      </c>
      <c r="AK775" s="2" t="s">
        <v>244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44" t="b">
        <v>0</v>
      </c>
      <c r="AP775" s="48" t="b">
        <v>1</v>
      </c>
      <c r="AQ775" s="48" t="b">
        <v>0</v>
      </c>
      <c r="AR775" s="48">
        <v>0</v>
      </c>
      <c r="AS775" s="48" t="b">
        <v>0</v>
      </c>
      <c r="AT775" s="7" t="b">
        <v>0</v>
      </c>
      <c r="AU775" s="40" t="str" cm="1">
        <f t="array" ref="AU775">_xlfn.XLOOKUP(PROPERTIES[[#This Row],[VEHIDCODE]],GRAPHICS_PROPERTIES[VEHIDCODE],GRAPHICS_PROPERTIES[TEMPLATE_ID]&amp;GRAPHICS_PROPERTIES[TEMPLATE_AMENDMENT_CODE])</f>
        <v>TPL_04A</v>
      </c>
    </row>
    <row r="776" spans="1:47" x14ac:dyDescent="0.35">
      <c r="A776" s="2" t="s">
        <v>139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0" t="str">
        <f>_xlfn.XLOOKUP(PROPERTIES[[#This Row],[VEHIDCODE]],CONTROL[VEHIDCODE],CONTROL[ENGLISH])</f>
        <v>High Speed Coach</v>
      </c>
      <c r="G776" s="40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22</v>
      </c>
      <c r="J776">
        <v>80</v>
      </c>
      <c r="K776">
        <v>8</v>
      </c>
      <c r="L776">
        <v>0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3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0">
        <v>0</v>
      </c>
      <c r="AA776" s="19">
        <f>IFERROR(PROPERTIES[[#This Row],[TE_STARTING_KN]]/(PROPERTIES[[#This Row],[WEIGHT]]*9.81),0)</f>
        <v>0</v>
      </c>
      <c r="AB776" s="19">
        <v>0.3</v>
      </c>
      <c r="AC776" s="16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6">
        <v>0</v>
      </c>
      <c r="AF776" s="6">
        <v>0</v>
      </c>
      <c r="AG776" t="s">
        <v>241</v>
      </c>
      <c r="AH776" t="s">
        <v>229</v>
      </c>
      <c r="AI776" t="s">
        <v>229</v>
      </c>
      <c r="AJ776" s="2" t="s">
        <v>229</v>
      </c>
      <c r="AK776" s="2" t="s">
        <v>244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44" t="b">
        <v>0</v>
      </c>
      <c r="AP776" s="48" t="b">
        <v>1</v>
      </c>
      <c r="AQ776" s="48" t="b">
        <v>0</v>
      </c>
      <c r="AR776" s="48">
        <v>0</v>
      </c>
      <c r="AS776" s="48" t="b">
        <v>0</v>
      </c>
      <c r="AT776" s="7" t="b">
        <v>0</v>
      </c>
      <c r="AU776" s="40" t="str" cm="1">
        <f t="array" ref="AU776">_xlfn.XLOOKUP(PROPERTIES[[#This Row],[VEHIDCODE]],GRAPHICS_PROPERTIES[VEHIDCODE],GRAPHICS_PROPERTIES[TEMPLATE_ID]&amp;GRAPHICS_PROPERTIES[TEMPLATE_AMENDMENT_CODE])</f>
        <v>TPL_04A</v>
      </c>
    </row>
    <row r="777" spans="1:47" x14ac:dyDescent="0.35">
      <c r="A777" s="2" t="s">
        <v>140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0" t="str">
        <f>_xlfn.XLOOKUP(PROPERTIES[[#This Row],[VEHIDCODE]],CONTROL[VEHIDCODE],CONTROL[ENGLISH])</f>
        <v>Modern Regional Coach</v>
      </c>
      <c r="G777" s="40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22</v>
      </c>
      <c r="J777">
        <v>160</v>
      </c>
      <c r="K777">
        <v>8</v>
      </c>
      <c r="L777">
        <v>0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3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0">
        <v>0</v>
      </c>
      <c r="AA777" s="19">
        <f>IFERROR(PROPERTIES[[#This Row],[TE_STARTING_KN]]/(PROPERTIES[[#This Row],[WEIGHT]]*9.81),0)</f>
        <v>0</v>
      </c>
      <c r="AB777" s="19">
        <v>0.3</v>
      </c>
      <c r="AC777" s="16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6">
        <v>0</v>
      </c>
      <c r="AF777" s="6">
        <v>0</v>
      </c>
      <c r="AG777" t="s">
        <v>241</v>
      </c>
      <c r="AH777" t="s">
        <v>229</v>
      </c>
      <c r="AI777" t="s">
        <v>229</v>
      </c>
      <c r="AJ777" s="2" t="s">
        <v>229</v>
      </c>
      <c r="AK777" s="2" t="s">
        <v>244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44" t="b">
        <v>0</v>
      </c>
      <c r="AP777" s="48" t="b">
        <v>1</v>
      </c>
      <c r="AQ777" s="48" t="b">
        <v>0</v>
      </c>
      <c r="AR777" s="48">
        <v>0</v>
      </c>
      <c r="AS777" s="48" t="b">
        <v>0</v>
      </c>
      <c r="AT777" s="7" t="b">
        <v>0</v>
      </c>
      <c r="AU777" s="40" t="str" cm="1">
        <f t="array" ref="AU777">_xlfn.XLOOKUP(PROPERTIES[[#This Row],[VEHIDCODE]],GRAPHICS_PROPERTIES[VEHIDCODE],GRAPHICS_PROPERTIES[TEMPLATE_ID]&amp;GRAPHICS_PROPERTIES[TEMPLATE_AMENDMENT_CODE])</f>
        <v>TPL_04A</v>
      </c>
    </row>
    <row r="778" spans="1:47" x14ac:dyDescent="0.35">
      <c r="A778" s="2" t="s">
        <v>141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0" t="str">
        <f>_xlfn.XLOOKUP(PROPERTIES[[#This Row],[VEHIDCODE]],CONTROL[VEHIDCODE],CONTROL[ENGLISH])</f>
        <v>Modern Commuter Coach</v>
      </c>
      <c r="G778" s="40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22</v>
      </c>
      <c r="J778">
        <v>220</v>
      </c>
      <c r="K778">
        <v>8</v>
      </c>
      <c r="L778">
        <v>0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3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0">
        <v>0</v>
      </c>
      <c r="AA778" s="19">
        <f>IFERROR(PROPERTIES[[#This Row],[TE_STARTING_KN]]/(PROPERTIES[[#This Row],[WEIGHT]]*9.81),0)</f>
        <v>0</v>
      </c>
      <c r="AB778" s="19">
        <v>0.3</v>
      </c>
      <c r="AC778" s="16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6">
        <v>0</v>
      </c>
      <c r="AF778" s="6">
        <v>0</v>
      </c>
      <c r="AG778" t="s">
        <v>241</v>
      </c>
      <c r="AH778" t="s">
        <v>229</v>
      </c>
      <c r="AI778" t="s">
        <v>229</v>
      </c>
      <c r="AJ778" s="2" t="s">
        <v>229</v>
      </c>
      <c r="AK778" s="2" t="s">
        <v>244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44" t="b">
        <v>0</v>
      </c>
      <c r="AP778" s="48" t="b">
        <v>1</v>
      </c>
      <c r="AQ778" s="48" t="b">
        <v>0</v>
      </c>
      <c r="AR778" s="48">
        <v>0</v>
      </c>
      <c r="AS778" s="48" t="b">
        <v>0</v>
      </c>
      <c r="AT778" s="7" t="b">
        <v>0</v>
      </c>
      <c r="AU778" s="40" t="str" cm="1">
        <f t="array" ref="AU778">_xlfn.XLOOKUP(PROPERTIES[[#This Row],[VEHIDCODE]],GRAPHICS_PROPERTIES[VEHIDCODE],GRAPHICS_PROPERTIES[TEMPLATE_ID]&amp;GRAPHICS_PROPERTIES[TEMPLATE_AMENDMENT_CODE])</f>
        <v>TPL_04A</v>
      </c>
    </row>
    <row r="779" spans="1:47" x14ac:dyDescent="0.35">
      <c r="A779" s="2" t="s">
        <v>142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0" t="str">
        <f>_xlfn.XLOOKUP(PROPERTIES[[#This Row],[VEHIDCODE]],CONTROL[VEHIDCODE],CONTROL[ENGLISH])</f>
        <v xml:space="preserve">Modern Double Decker Coach </v>
      </c>
      <c r="G779" s="40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22</v>
      </c>
      <c r="J779">
        <f>120+140</f>
        <v>260</v>
      </c>
      <c r="K779">
        <v>8</v>
      </c>
      <c r="L779">
        <v>0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3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0">
        <v>0</v>
      </c>
      <c r="AA779" s="19">
        <f>IFERROR(PROPERTIES[[#This Row],[TE_STARTING_KN]]/(PROPERTIES[[#This Row],[WEIGHT]]*9.81),0)</f>
        <v>0</v>
      </c>
      <c r="AB779" s="19">
        <v>0.3</v>
      </c>
      <c r="AC779" s="16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6">
        <v>0</v>
      </c>
      <c r="AF779" s="6">
        <v>0</v>
      </c>
      <c r="AG779" t="s">
        <v>241</v>
      </c>
      <c r="AH779" t="s">
        <v>229</v>
      </c>
      <c r="AI779" t="s">
        <v>229</v>
      </c>
      <c r="AJ779" s="2" t="s">
        <v>229</v>
      </c>
      <c r="AK779" s="2" t="s">
        <v>244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44" t="b">
        <v>0</v>
      </c>
      <c r="AP779" s="48" t="b">
        <v>1</v>
      </c>
      <c r="AQ779" s="48" t="b">
        <v>0</v>
      </c>
      <c r="AR779" s="48">
        <v>0</v>
      </c>
      <c r="AS779" s="48" t="b">
        <v>0</v>
      </c>
      <c r="AT779" s="7" t="b">
        <v>0</v>
      </c>
      <c r="AU779" s="40" t="str" cm="1">
        <f t="array" ref="AU779">_xlfn.XLOOKUP(PROPERTIES[[#This Row],[VEHIDCODE]],GRAPHICS_PROPERTIES[VEHIDCODE],GRAPHICS_PROPERTIES[TEMPLATE_ID]&amp;GRAPHICS_PROPERTIES[TEMPLATE_AMENDMENT_CODE])</f>
        <v>TPL_04A</v>
      </c>
    </row>
    <row r="780" spans="1:47" x14ac:dyDescent="0.35">
      <c r="A780" s="2" t="s">
        <v>143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0" t="str">
        <f>_xlfn.XLOOKUP(PROPERTIES[[#This Row],[VEHIDCODE]],CONTROL[VEHIDCODE],CONTROL[ENGLISH])</f>
        <v>High Speed Double Decker</v>
      </c>
      <c r="G780" s="40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22</v>
      </c>
      <c r="J780">
        <v>140</v>
      </c>
      <c r="K780">
        <v>8</v>
      </c>
      <c r="L780">
        <v>0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3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0">
        <v>0</v>
      </c>
      <c r="AA780" s="19">
        <f>IFERROR(PROPERTIES[[#This Row],[TE_STARTING_KN]]/(PROPERTIES[[#This Row],[WEIGHT]]*9.81),0)</f>
        <v>0</v>
      </c>
      <c r="AB780" s="19">
        <v>0.3</v>
      </c>
      <c r="AC780" s="16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6">
        <v>0</v>
      </c>
      <c r="AF780" s="6">
        <v>0</v>
      </c>
      <c r="AG780" t="s">
        <v>241</v>
      </c>
      <c r="AH780" t="s">
        <v>229</v>
      </c>
      <c r="AI780" t="s">
        <v>229</v>
      </c>
      <c r="AJ780" s="2" t="s">
        <v>229</v>
      </c>
      <c r="AK780" s="2" t="s">
        <v>244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44" t="b">
        <v>0</v>
      </c>
      <c r="AP780" s="48" t="b">
        <v>1</v>
      </c>
      <c r="AQ780" s="48" t="b">
        <v>0</v>
      </c>
      <c r="AR780" s="48">
        <v>0</v>
      </c>
      <c r="AS780" s="48" t="b">
        <v>0</v>
      </c>
      <c r="AT780" s="7" t="b">
        <v>0</v>
      </c>
      <c r="AU780" s="40" t="str" cm="1">
        <f t="array" ref="AU780">_xlfn.XLOOKUP(PROPERTIES[[#This Row],[VEHIDCODE]],GRAPHICS_PROPERTIES[VEHIDCODE],GRAPHICS_PROPERTIES[TEMPLATE_ID]&amp;GRAPHICS_PROPERTIES[TEMPLATE_AMENDMENT_CODE])</f>
        <v>TPL_04A</v>
      </c>
    </row>
    <row r="781" spans="1:47" x14ac:dyDescent="0.35">
      <c r="A781" s="2" t="s">
        <v>144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0" t="str">
        <f>_xlfn.XLOOKUP(PROPERTIES[[#This Row],[VEHIDCODE]],CONTROL[VEHIDCODE],CONTROL[ENGLISH])</f>
        <v>High Speed Mail Coach</v>
      </c>
      <c r="G781" s="40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36</v>
      </c>
      <c r="J781">
        <v>180</v>
      </c>
      <c r="K781">
        <v>8</v>
      </c>
      <c r="L781">
        <v>0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3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0">
        <v>0</v>
      </c>
      <c r="AA781" s="19">
        <f>IFERROR(PROPERTIES[[#This Row],[TE_STARTING_KN]]/(PROPERTIES[[#This Row],[WEIGHT]]*9.81),0)</f>
        <v>0</v>
      </c>
      <c r="AB781" s="19">
        <v>0.3</v>
      </c>
      <c r="AC781" s="16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6">
        <v>0</v>
      </c>
      <c r="AF781" s="6">
        <v>0</v>
      </c>
      <c r="AG781" t="s">
        <v>241</v>
      </c>
      <c r="AH781" t="s">
        <v>229</v>
      </c>
      <c r="AI781" t="s">
        <v>229</v>
      </c>
      <c r="AJ781" s="2" t="s">
        <v>229</v>
      </c>
      <c r="AK781" s="2" t="s">
        <v>244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44" t="b">
        <v>0</v>
      </c>
      <c r="AP781" s="48" t="b">
        <v>1</v>
      </c>
      <c r="AQ781" s="48" t="b">
        <v>0</v>
      </c>
      <c r="AR781" s="48">
        <v>0</v>
      </c>
      <c r="AS781" s="48" t="b">
        <v>0</v>
      </c>
      <c r="AT781" s="7" t="b">
        <v>0</v>
      </c>
      <c r="AU781" s="40" t="str" cm="1">
        <f t="array" ref="AU781">_xlfn.XLOOKUP(PROPERTIES[[#This Row],[VEHIDCODE]],GRAPHICS_PROPERTIES[VEHIDCODE],GRAPHICS_PROPERTIES[TEMPLATE_ID]&amp;GRAPHICS_PROPERTIES[TEMPLATE_AMENDMENT_CODE])</f>
        <v>TPL_04A</v>
      </c>
    </row>
    <row r="782" spans="1:47" x14ac:dyDescent="0.35">
      <c r="A782" s="2" t="s">
        <v>145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0" t="str">
        <f>_xlfn.XLOOKUP(PROPERTIES[[#This Row],[VEHIDCODE]],CONTROL[VEHIDCODE],CONTROL[ENGLISH])</f>
        <v>Talgo Pendular</v>
      </c>
      <c r="G782" s="40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22</v>
      </c>
      <c r="J782">
        <v>40</v>
      </c>
      <c r="K782">
        <v>6</v>
      </c>
      <c r="L782">
        <v>0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3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0">
        <v>0</v>
      </c>
      <c r="AA782" s="19">
        <f>IFERROR(PROPERTIES[[#This Row],[TE_STARTING_KN]]/(PROPERTIES[[#This Row],[WEIGHT]]*9.81),0)</f>
        <v>0</v>
      </c>
      <c r="AB782" s="19">
        <v>0.3</v>
      </c>
      <c r="AC782" s="16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6">
        <v>0</v>
      </c>
      <c r="AF782" s="6">
        <v>0</v>
      </c>
      <c r="AG782" t="s">
        <v>241</v>
      </c>
      <c r="AH782" t="s">
        <v>229</v>
      </c>
      <c r="AI782" t="s">
        <v>229</v>
      </c>
      <c r="AJ782" s="2" t="s">
        <v>229</v>
      </c>
      <c r="AK782" s="2" t="s">
        <v>244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44" t="b">
        <v>0</v>
      </c>
      <c r="AP782" s="48" t="b">
        <v>0</v>
      </c>
      <c r="AQ782" s="48" t="b">
        <v>1</v>
      </c>
      <c r="AR782" s="48">
        <v>0</v>
      </c>
      <c r="AS782" s="48" t="b">
        <v>0</v>
      </c>
      <c r="AT782" s="7" t="b">
        <v>0</v>
      </c>
      <c r="AU782" s="40" t="str" cm="1">
        <f t="array" ref="AU782">_xlfn.XLOOKUP(PROPERTIES[[#This Row],[VEHIDCODE]],GRAPHICS_PROPERTIES[VEHIDCODE],GRAPHICS_PROPERTIES[TEMPLATE_ID]&amp;GRAPHICS_PROPERTIES[TEMPLATE_AMENDMENT_CODE])</f>
        <v>TPL_04S</v>
      </c>
    </row>
    <row r="783" spans="1:47" x14ac:dyDescent="0.35">
      <c r="A783" s="2" t="s">
        <v>146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0" t="str">
        <f>_xlfn.XLOOKUP(PROPERTIES[[#This Row],[VEHIDCODE]],CONTROL[VEHIDCODE],CONTROL[ENGLISH])</f>
        <v>Talgo Pendular Mail</v>
      </c>
      <c r="G783" s="40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36</v>
      </c>
      <c r="J783">
        <v>60</v>
      </c>
      <c r="K783">
        <v>6</v>
      </c>
      <c r="L783">
        <v>0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3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0">
        <v>0</v>
      </c>
      <c r="AA783" s="19">
        <f>IFERROR(PROPERTIES[[#This Row],[TE_STARTING_KN]]/(PROPERTIES[[#This Row],[WEIGHT]]*9.81),0)</f>
        <v>0</v>
      </c>
      <c r="AB783" s="19">
        <v>0.3</v>
      </c>
      <c r="AC783" s="16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6">
        <v>0</v>
      </c>
      <c r="AF783" s="6">
        <v>0</v>
      </c>
      <c r="AG783" t="s">
        <v>241</v>
      </c>
      <c r="AH783" t="s">
        <v>229</v>
      </c>
      <c r="AI783" t="s">
        <v>229</v>
      </c>
      <c r="AJ783" s="2" t="s">
        <v>229</v>
      </c>
      <c r="AK783" s="2" t="s">
        <v>244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44" t="b">
        <v>0</v>
      </c>
      <c r="AP783" s="48" t="b">
        <v>0</v>
      </c>
      <c r="AQ783" s="48" t="b">
        <v>1</v>
      </c>
      <c r="AR783" s="48">
        <v>0</v>
      </c>
      <c r="AS783" s="48" t="b">
        <v>0</v>
      </c>
      <c r="AT783" s="7" t="b">
        <v>0</v>
      </c>
      <c r="AU783" s="40" t="str" cm="1">
        <f t="array" ref="AU783">_xlfn.XLOOKUP(PROPERTIES[[#This Row],[VEHIDCODE]],GRAPHICS_PROPERTIES[VEHIDCODE],GRAPHICS_PROPERTIES[TEMPLATE_ID]&amp;GRAPHICS_PROPERTIES[TEMPLATE_AMENDMENT_CODE])</f>
        <v>TPL_04S</v>
      </c>
    </row>
    <row r="784" spans="1:47" x14ac:dyDescent="0.35">
      <c r="A784" s="2" t="s">
        <v>147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0" t="str">
        <f>_xlfn.XLOOKUP(PROPERTIES[[#This Row],[VEHIDCODE]],CONTROL[VEHIDCODE],CONTROL[ENGLISH])</f>
        <v>Grand Voyager Coach</v>
      </c>
      <c r="G784" s="40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22</v>
      </c>
      <c r="J784">
        <v>64</v>
      </c>
      <c r="K784">
        <v>8</v>
      </c>
      <c r="L784">
        <v>0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3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0">
        <v>0</v>
      </c>
      <c r="AA784" s="19">
        <f>IFERROR(PROPERTIES[[#This Row],[TE_STARTING_KN]]/(PROPERTIES[[#This Row],[WEIGHT]]*9.81),0)</f>
        <v>0</v>
      </c>
      <c r="AB784" s="19">
        <v>0.3</v>
      </c>
      <c r="AC784" s="16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6">
        <v>0</v>
      </c>
      <c r="AF784" s="6">
        <v>0</v>
      </c>
      <c r="AG784" t="s">
        <v>241</v>
      </c>
      <c r="AH784" t="s">
        <v>229</v>
      </c>
      <c r="AI784" t="s">
        <v>229</v>
      </c>
      <c r="AJ784" s="2" t="s">
        <v>229</v>
      </c>
      <c r="AK784" s="2" t="s">
        <v>244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44" t="b">
        <v>0</v>
      </c>
      <c r="AP784" s="48" t="b">
        <v>0</v>
      </c>
      <c r="AQ784" s="48" t="b">
        <v>0</v>
      </c>
      <c r="AR784" s="48">
        <v>0</v>
      </c>
      <c r="AS784" s="48" t="b">
        <v>0</v>
      </c>
      <c r="AT784" s="7" t="b">
        <v>0</v>
      </c>
      <c r="AU784" s="40" t="str" cm="1">
        <f t="array" ref="AU784">_xlfn.XLOOKUP(PROPERTIES[[#This Row],[VEHIDCODE]],GRAPHICS_PROPERTIES[VEHIDCODE],GRAPHICS_PROPERTIES[TEMPLATE_ID]&amp;GRAPHICS_PROPERTIES[TEMPLATE_AMENDMENT_CODE])</f>
        <v>TPL_04A</v>
      </c>
    </row>
    <row r="785" spans="1:47" x14ac:dyDescent="0.35">
      <c r="A785" s="2" t="s">
        <v>148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0" t="str">
        <f>_xlfn.XLOOKUP(PROPERTIES[[#This Row],[VEHIDCODE]],CONTROL[VEHIDCODE],CONTROL[ENGLISH])</f>
        <v>Grand Regio Coach</v>
      </c>
      <c r="G785" s="40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22</v>
      </c>
      <c r="J785">
        <f>120+160</f>
        <v>280</v>
      </c>
      <c r="K785">
        <v>8</v>
      </c>
      <c r="L785">
        <v>0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3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0">
        <v>0</v>
      </c>
      <c r="AA785" s="19">
        <f>IFERROR(PROPERTIES[[#This Row],[TE_STARTING_KN]]/(PROPERTIES[[#This Row],[WEIGHT]]*9.81),0)</f>
        <v>0</v>
      </c>
      <c r="AB785" s="19">
        <v>0.3</v>
      </c>
      <c r="AC785" s="16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6">
        <v>0</v>
      </c>
      <c r="AF785" s="6">
        <v>0</v>
      </c>
      <c r="AG785" t="s">
        <v>241</v>
      </c>
      <c r="AH785" t="s">
        <v>229</v>
      </c>
      <c r="AI785" t="s">
        <v>229</v>
      </c>
      <c r="AJ785" s="2" t="s">
        <v>229</v>
      </c>
      <c r="AK785" s="2" t="s">
        <v>244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44" t="b">
        <v>0</v>
      </c>
      <c r="AP785" s="48" t="b">
        <v>0</v>
      </c>
      <c r="AQ785" s="48" t="b">
        <v>0</v>
      </c>
      <c r="AR785" s="48">
        <v>0</v>
      </c>
      <c r="AS785" s="48" t="b">
        <v>0</v>
      </c>
      <c r="AT785" s="7" t="b">
        <v>0</v>
      </c>
      <c r="AU785" s="40" t="str" cm="1">
        <f t="array" ref="AU785">_xlfn.XLOOKUP(PROPERTIES[[#This Row],[VEHIDCODE]],GRAPHICS_PROPERTIES[VEHIDCODE],GRAPHICS_PROPERTIES[TEMPLATE_ID]&amp;GRAPHICS_PROPERTIES[TEMPLATE_AMENDMENT_CODE])</f>
        <v>TPL_04A</v>
      </c>
    </row>
    <row r="786" spans="1:47" x14ac:dyDescent="0.35">
      <c r="A786" s="2" t="s">
        <v>149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0" t="str">
        <f>_xlfn.XLOOKUP(PROPERTIES[[#This Row],[VEHIDCODE]],CONTROL[VEHIDCODE],CONTROL[ENGLISH])</f>
        <v>Metropolis Coach</v>
      </c>
      <c r="G786" s="40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22</v>
      </c>
      <c r="J786">
        <f>60+290</f>
        <v>350</v>
      </c>
      <c r="K786">
        <v>8</v>
      </c>
      <c r="L786">
        <v>0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3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0">
        <v>0</v>
      </c>
      <c r="AA786" s="19">
        <f>IFERROR(PROPERTIES[[#This Row],[TE_STARTING_KN]]/(PROPERTIES[[#This Row],[WEIGHT]]*9.81),0)</f>
        <v>0</v>
      </c>
      <c r="AB786" s="19">
        <v>0.3</v>
      </c>
      <c r="AC786" s="16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6">
        <v>0</v>
      </c>
      <c r="AF786" s="6">
        <v>0</v>
      </c>
      <c r="AG786" t="s">
        <v>241</v>
      </c>
      <c r="AH786" t="s">
        <v>229</v>
      </c>
      <c r="AI786" t="s">
        <v>229</v>
      </c>
      <c r="AJ786" s="2" t="s">
        <v>229</v>
      </c>
      <c r="AK786" s="2" t="s">
        <v>244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44" t="b">
        <v>0</v>
      </c>
      <c r="AP786" s="48" t="b">
        <v>0</v>
      </c>
      <c r="AQ786" s="48" t="b">
        <v>0</v>
      </c>
      <c r="AR786" s="48">
        <v>0</v>
      </c>
      <c r="AS786" s="48" t="b">
        <v>0</v>
      </c>
      <c r="AT786" s="7" t="b">
        <v>0</v>
      </c>
      <c r="AU786" s="40" t="str" cm="1">
        <f t="array" ref="AU786">_xlfn.XLOOKUP(PROPERTIES[[#This Row],[VEHIDCODE]],GRAPHICS_PROPERTIES[VEHIDCODE],GRAPHICS_PROPERTIES[TEMPLATE_ID]&amp;GRAPHICS_PROPERTIES[TEMPLATE_AMENDMENT_CODE])</f>
        <v>TPL_04A</v>
      </c>
    </row>
    <row r="787" spans="1:47" x14ac:dyDescent="0.35">
      <c r="A787" s="2" t="s">
        <v>150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0" t="str">
        <f>_xlfn.XLOOKUP(PROPERTIES[[#This Row],[VEHIDCODE]],CONTROL[VEHIDCODE],CONTROL[ENGLISH])</f>
        <v>Speedmail Coach</v>
      </c>
      <c r="G787" s="40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36</v>
      </c>
      <c r="J787">
        <v>255</v>
      </c>
      <c r="K787">
        <v>8</v>
      </c>
      <c r="L787">
        <v>0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3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0">
        <v>0</v>
      </c>
      <c r="AA787" s="19">
        <f>IFERROR(PROPERTIES[[#This Row],[TE_STARTING_KN]]/(PROPERTIES[[#This Row],[WEIGHT]]*9.81),0)</f>
        <v>0</v>
      </c>
      <c r="AB787" s="19">
        <v>0.3</v>
      </c>
      <c r="AC787" s="16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6">
        <v>0</v>
      </c>
      <c r="AF787" s="6">
        <v>0</v>
      </c>
      <c r="AG787" t="s">
        <v>241</v>
      </c>
      <c r="AH787" t="s">
        <v>229</v>
      </c>
      <c r="AI787" t="s">
        <v>229</v>
      </c>
      <c r="AJ787" s="2" t="s">
        <v>229</v>
      </c>
      <c r="AK787" s="2" t="s">
        <v>244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44" t="b">
        <v>0</v>
      </c>
      <c r="AP787" s="48" t="b">
        <v>0</v>
      </c>
      <c r="AQ787" s="48" t="b">
        <v>0</v>
      </c>
      <c r="AR787" s="48">
        <v>0</v>
      </c>
      <c r="AS787" s="48" t="b">
        <v>0</v>
      </c>
      <c r="AT787" s="7" t="b">
        <v>0</v>
      </c>
      <c r="AU787" s="40" t="str" cm="1">
        <f t="array" ref="AU787">_xlfn.XLOOKUP(PROPERTIES[[#This Row],[VEHIDCODE]],GRAPHICS_PROPERTIES[VEHIDCODE],GRAPHICS_PROPERTIES[TEMPLATE_ID]&amp;GRAPHICS_PROPERTIES[TEMPLATE_AMENDMENT_CODE])</f>
        <v>TPL_04A</v>
      </c>
    </row>
    <row r="788" spans="1:47" x14ac:dyDescent="0.35">
      <c r="A788" s="2" t="s">
        <v>151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0" t="str">
        <f>_xlfn.XLOOKUP(PROPERTIES[[#This Row],[VEHIDCODE]],CONTROL[VEHIDCODE],CONTROL[ENGLISH])</f>
        <v>Super Regio Coach</v>
      </c>
      <c r="G788" s="40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22</v>
      </c>
      <c r="J788">
        <f>180+220</f>
        <v>400</v>
      </c>
      <c r="K788">
        <v>8</v>
      </c>
      <c r="L788">
        <v>0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3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0">
        <v>0</v>
      </c>
      <c r="AA788" s="19">
        <f>IFERROR(PROPERTIES[[#This Row],[TE_STARTING_KN]]/(PROPERTIES[[#This Row],[WEIGHT]]*9.81),0)</f>
        <v>0</v>
      </c>
      <c r="AB788" s="19">
        <v>0.3</v>
      </c>
      <c r="AC788" s="16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6">
        <v>0</v>
      </c>
      <c r="AF788" s="6">
        <v>0</v>
      </c>
      <c r="AG788" t="s">
        <v>241</v>
      </c>
      <c r="AH788" t="s">
        <v>229</v>
      </c>
      <c r="AI788" t="s">
        <v>229</v>
      </c>
      <c r="AJ788" s="2" t="s">
        <v>229</v>
      </c>
      <c r="AK788" s="2" t="s">
        <v>244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44" t="b">
        <v>0</v>
      </c>
      <c r="AP788" s="48" t="b">
        <v>0</v>
      </c>
      <c r="AQ788" s="48" t="b">
        <v>0</v>
      </c>
      <c r="AR788" s="48">
        <v>0</v>
      </c>
      <c r="AS788" s="48" t="b">
        <v>0</v>
      </c>
      <c r="AT788" s="7" t="b">
        <v>0</v>
      </c>
      <c r="AU788" s="40" t="str" cm="1">
        <f t="array" ref="AU788">_xlfn.XLOOKUP(PROPERTIES[[#This Row],[VEHIDCODE]],GRAPHICS_PROPERTIES[VEHIDCODE],GRAPHICS_PROPERTIES[TEMPLATE_ID]&amp;GRAPHICS_PROPERTIES[TEMPLATE_AMENDMENT_CODE])</f>
        <v>TPL_04A</v>
      </c>
    </row>
    <row r="789" spans="1:47" x14ac:dyDescent="0.35">
      <c r="A789" s="2" t="s">
        <v>152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0" t="str">
        <f>_xlfn.XLOOKUP(PROPERTIES[[#This Row],[VEHIDCODE]],CONTROL[VEHIDCODE],CONTROL[ENGLISH])</f>
        <v>Super Voyager Coach</v>
      </c>
      <c r="G789" s="40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22</v>
      </c>
      <c r="J789">
        <v>120</v>
      </c>
      <c r="K789">
        <v>8</v>
      </c>
      <c r="L789">
        <v>0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3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0">
        <v>0</v>
      </c>
      <c r="AA789" s="19">
        <f>IFERROR(PROPERTIES[[#This Row],[TE_STARTING_KN]]/(PROPERTIES[[#This Row],[WEIGHT]]*9.81),0)</f>
        <v>0</v>
      </c>
      <c r="AB789" s="19">
        <v>0.3</v>
      </c>
      <c r="AC789" s="16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6">
        <v>0</v>
      </c>
      <c r="AF789" s="6">
        <v>0</v>
      </c>
      <c r="AG789" t="s">
        <v>241</v>
      </c>
      <c r="AH789" t="s">
        <v>229</v>
      </c>
      <c r="AI789" t="s">
        <v>229</v>
      </c>
      <c r="AJ789" s="2" t="s">
        <v>229</v>
      </c>
      <c r="AK789" s="2" t="s">
        <v>244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44" t="b">
        <v>0</v>
      </c>
      <c r="AP789" s="48" t="b">
        <v>0</v>
      </c>
      <c r="AQ789" s="48" t="b">
        <v>1</v>
      </c>
      <c r="AR789" s="48">
        <v>0</v>
      </c>
      <c r="AS789" s="48" t="b">
        <v>0</v>
      </c>
      <c r="AT789" s="7" t="b">
        <v>0</v>
      </c>
      <c r="AU789" s="40" t="str" cm="1">
        <f t="array" ref="AU789">_xlfn.XLOOKUP(PROPERTIES[[#This Row],[VEHIDCODE]],GRAPHICS_PROPERTIES[VEHIDCODE],GRAPHICS_PROPERTIES[TEMPLATE_ID]&amp;GRAPHICS_PROPERTIES[TEMPLATE_AMENDMENT_CODE])</f>
        <v>TPL_04A</v>
      </c>
    </row>
    <row r="790" spans="1:47" x14ac:dyDescent="0.35">
      <c r="A790" s="2" t="s">
        <v>3266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0" t="str">
        <f>_xlfn.XLOOKUP(PROPERTIES[[#This Row],[VEHIDCODE]],CONTROL[VEHIDCODE],CONTROL[ENGLISH])</f>
        <v>Alsthom AD30B</v>
      </c>
      <c r="F790" t="s">
        <v>1029</v>
      </c>
      <c r="G790" s="40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17</v>
      </c>
      <c r="J790">
        <v>0</v>
      </c>
      <c r="K790">
        <v>8</v>
      </c>
      <c r="L790">
        <v>0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3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0">
        <v>320</v>
      </c>
      <c r="AA790" s="19">
        <f>IFERROR(PROPERTIES[[#This Row],[TE_STARTING_KN]]/(PROPERTIES[[#This Row],[WEIGHT]]*9.81),0)</f>
        <v>0.2965434158094708</v>
      </c>
      <c r="AB790" s="19">
        <v>0</v>
      </c>
      <c r="AC790" s="16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6">
        <v>0</v>
      </c>
      <c r="AF790" s="6">
        <v>0</v>
      </c>
      <c r="AG790" t="s">
        <v>233</v>
      </c>
      <c r="AH790" t="s">
        <v>229</v>
      </c>
      <c r="AI790" t="s">
        <v>229</v>
      </c>
      <c r="AJ790" s="2" t="s">
        <v>229</v>
      </c>
      <c r="AK790" s="2" t="s">
        <v>244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44" t="b">
        <v>0</v>
      </c>
      <c r="AP790" s="48" t="b">
        <v>0</v>
      </c>
      <c r="AQ790" s="48" t="b">
        <v>0</v>
      </c>
      <c r="AR790" s="48">
        <v>0</v>
      </c>
      <c r="AS790" s="48" t="b">
        <v>0</v>
      </c>
      <c r="AT790" s="7" t="b">
        <v>0</v>
      </c>
      <c r="AU790" s="40" t="str" cm="1">
        <f t="array" ref="AU790">_xlfn.XLOOKUP(PROPERTIES[[#This Row],[VEHIDCODE]],GRAPHICS_PROPERTIES[VEHIDCODE],GRAPHICS_PROPERTIES[TEMPLATE_ID]&amp;GRAPHICS_PROPERTIES[TEMPLATE_AMENDMENT_CODE])</f>
        <v>TPL_01A</v>
      </c>
    </row>
    <row r="791" spans="1:47" x14ac:dyDescent="0.35">
      <c r="A791" s="2" t="s">
        <v>3267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0" t="str">
        <f>_xlfn.XLOOKUP(PROPERTIES[[#This Row],[VEHIDCODE]],CONTROL[VEHIDCODE],CONTROL[ENGLISH])</f>
        <v>Porter 2-8-2 Class 200 'Katanga Mikado'</v>
      </c>
      <c r="F791" t="s">
        <v>567</v>
      </c>
      <c r="G791" s="40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17</v>
      </c>
      <c r="J791">
        <v>0</v>
      </c>
      <c r="K791">
        <v>7</v>
      </c>
      <c r="L791">
        <v>0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3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0">
        <v>143.31725222</v>
      </c>
      <c r="AA791" s="19">
        <f>IFERROR(PROPERTIES[[#This Row],[TE_STARTING_KN]]/(PROPERTIES[[#This Row],[WEIGHT]]*9.81),0)</f>
        <v>0.21804928297351164</v>
      </c>
      <c r="AB791" s="19">
        <v>0</v>
      </c>
      <c r="AC791" s="16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6">
        <v>0</v>
      </c>
      <c r="AF791" s="6">
        <v>5</v>
      </c>
      <c r="AG791" t="s">
        <v>233</v>
      </c>
      <c r="AH791" t="s">
        <v>229</v>
      </c>
      <c r="AI791" t="s">
        <v>229</v>
      </c>
      <c r="AJ791" s="2" t="s">
        <v>229</v>
      </c>
      <c r="AK791" s="2" t="s">
        <v>244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44" t="b">
        <v>0</v>
      </c>
      <c r="AP791" s="48" t="b">
        <v>0</v>
      </c>
      <c r="AQ791" s="48" t="b">
        <v>0</v>
      </c>
      <c r="AR791" s="48">
        <v>0</v>
      </c>
      <c r="AS791" s="48" t="b">
        <v>0</v>
      </c>
      <c r="AT791" s="7" t="b">
        <v>0</v>
      </c>
      <c r="AU791" s="40" t="str" cm="1">
        <f t="array" ref="AU791">_xlfn.XLOOKUP(PROPERTIES[[#This Row],[VEHIDCODE]],GRAPHICS_PROPERTIES[VEHIDCODE],GRAPHICS_PROPERTIES[TEMPLATE_ID]&amp;GRAPHICS_PROPERTIES[TEMPLATE_AMENDMENT_CODE])</f>
        <v>TPL_03A</v>
      </c>
    </row>
    <row r="792" spans="1:47" x14ac:dyDescent="0.35">
      <c r="A792" s="2" t="s">
        <v>3268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0" t="str">
        <f>_xlfn.XLOOKUP(PROPERTIES[[#This Row],[VEHIDCODE]],CONTROL[VEHIDCODE],CONTROL[ENGLISH])</f>
        <v>Kawasaki/Nippon Sharyo/Toshiba M250</v>
      </c>
      <c r="F792" t="s">
        <v>640</v>
      </c>
      <c r="G792" s="40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24</v>
      </c>
      <c r="J792">
        <v>60</v>
      </c>
      <c r="K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3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0">
        <f>98/2</f>
        <v>49</v>
      </c>
      <c r="AA792" s="19">
        <f>IFERROR(PROPERTIES[[#This Row],[TE_STARTING_KN]]/(PROPERTIES[[#This Row],[WEIGHT]]*9.81),0)</f>
        <v>0.19587855529571666</v>
      </c>
      <c r="AB792" s="19">
        <v>0</v>
      </c>
      <c r="AC792" s="16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6">
        <v>60</v>
      </c>
      <c r="AF792" s="6">
        <v>8</v>
      </c>
      <c r="AG792" t="s">
        <v>238</v>
      </c>
      <c r="AH792" t="s">
        <v>229</v>
      </c>
      <c r="AI792" t="s">
        <v>229</v>
      </c>
      <c r="AJ792" s="2" t="s">
        <v>229</v>
      </c>
      <c r="AK792" s="7" t="s">
        <v>244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44" t="b">
        <v>0</v>
      </c>
      <c r="AP792" s="48" t="b">
        <v>0</v>
      </c>
      <c r="AQ792" s="48" t="b">
        <v>0</v>
      </c>
      <c r="AR792" s="48">
        <v>0</v>
      </c>
      <c r="AS792" s="48" t="b">
        <v>0</v>
      </c>
      <c r="AT792" s="7" t="b">
        <v>0</v>
      </c>
      <c r="AU792" s="40" t="str" cm="1">
        <f t="array" ref="AU792">_xlfn.XLOOKUP(PROPERTIES[[#This Row],[VEHIDCODE]],GRAPHICS_PROPERTIES[VEHIDCODE],GRAPHICS_PROPERTIES[TEMPLATE_ID]&amp;GRAPHICS_PROPERTIES[TEMPLATE_AMENDMENT_CODE])</f>
        <v>TPL_42B</v>
      </c>
    </row>
    <row r="793" spans="1:47" x14ac:dyDescent="0.35">
      <c r="A793" s="2" t="s">
        <v>3269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0" t="str">
        <f>_xlfn.XLOOKUP(PROPERTIES[[#This Row],[VEHIDCODE]],CONTROL[VEHIDCODE],CONTROL[ENGLISH])</f>
        <v>Esslingen/MAN/Hohenzollern 'Thomas'</v>
      </c>
      <c r="F793" t="s">
        <v>584</v>
      </c>
      <c r="G793" s="40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15</v>
      </c>
      <c r="J793">
        <v>80</v>
      </c>
      <c r="K793">
        <v>6</v>
      </c>
      <c r="L793">
        <v>0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3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0">
        <v>13.4</v>
      </c>
      <c r="AA793" s="19">
        <f>IFERROR(PROPERTIES[[#This Row],[TE_STARTING_KN]]/(PROPERTIES[[#This Row],[WEIGHT]]*9.81),0)</f>
        <v>4.7101831347323278E-2</v>
      </c>
      <c r="AB793" s="19">
        <v>0</v>
      </c>
      <c r="AC793" s="16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6">
        <v>0</v>
      </c>
      <c r="AF793" s="6">
        <v>0</v>
      </c>
      <c r="AG793" t="s">
        <v>1950</v>
      </c>
      <c r="AH793" t="s">
        <v>229</v>
      </c>
      <c r="AI793" t="s">
        <v>229</v>
      </c>
      <c r="AJ793" s="2" t="s">
        <v>229</v>
      </c>
      <c r="AK793" s="2" t="s">
        <v>244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44" t="b">
        <v>0</v>
      </c>
      <c r="AP793" s="48" t="b">
        <v>0</v>
      </c>
      <c r="AQ793" s="48" t="b">
        <v>0</v>
      </c>
      <c r="AR793" s="48">
        <v>0</v>
      </c>
      <c r="AS793" s="48" t="b">
        <v>0</v>
      </c>
      <c r="AT793" s="7" t="b">
        <v>0</v>
      </c>
      <c r="AU793" s="40" t="str" cm="1">
        <f t="array" ref="AU793">_xlfn.XLOOKUP(PROPERTIES[[#This Row],[VEHIDCODE]],GRAPHICS_PROPERTIES[VEHIDCODE],GRAPHICS_PROPERTIES[TEMPLATE_ID]&amp;GRAPHICS_PROPERTIES[TEMPLATE_AMENDMENT_CODE])</f>
        <v>TPL_03C</v>
      </c>
    </row>
    <row r="794" spans="1:47" x14ac:dyDescent="0.35">
      <c r="A794" s="2" t="s">
        <v>3270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0" t="str">
        <f>_xlfn.XLOOKUP(PROPERTIES[[#This Row],[VEHIDCODE]],CONTROL[VEHIDCODE],CONTROL[ENGLISH])</f>
        <v>Komarek NOLB 30-33</v>
      </c>
      <c r="F794" t="s">
        <v>540</v>
      </c>
      <c r="G794" s="40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15</v>
      </c>
      <c r="J794">
        <v>30</v>
      </c>
      <c r="K794">
        <v>5</v>
      </c>
      <c r="L794">
        <v>0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3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0">
        <v>23.3576116216</v>
      </c>
      <c r="AA794" s="19">
        <f>IFERROR(PROPERTIES[[#This Row],[TE_STARTING_KN]]/(PROPERTIES[[#This Row],[WEIGHT]]*9.81),0)</f>
        <v>9.920834022086307E-2</v>
      </c>
      <c r="AB794" s="19">
        <v>0</v>
      </c>
      <c r="AC794" s="16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6">
        <v>0</v>
      </c>
      <c r="AF794" s="6">
        <v>0</v>
      </c>
      <c r="AG794" t="s">
        <v>230</v>
      </c>
      <c r="AH794" t="s">
        <v>229</v>
      </c>
      <c r="AI794" t="s">
        <v>229</v>
      </c>
      <c r="AJ794" s="2" t="s">
        <v>229</v>
      </c>
      <c r="AK794" s="7" t="s">
        <v>244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44" t="b">
        <v>0</v>
      </c>
      <c r="AP794" s="48" t="b">
        <v>0</v>
      </c>
      <c r="AQ794" s="48" t="b">
        <v>0</v>
      </c>
      <c r="AR794" s="48">
        <v>0</v>
      </c>
      <c r="AS794" s="48" t="b">
        <v>0</v>
      </c>
      <c r="AT794" s="7" t="b">
        <v>0</v>
      </c>
      <c r="AU794" s="40" t="str" cm="1">
        <f t="array" ref="AU794">_xlfn.XLOOKUP(PROPERTIES[[#This Row],[VEHIDCODE]],GRAPHICS_PROPERTIES[VEHIDCODE],GRAPHICS_PROPERTIES[TEMPLATE_ID]&amp;GRAPHICS_PROPERTIES[TEMPLATE_AMENDMENT_CODE])</f>
        <v>TPL_01B</v>
      </c>
    </row>
    <row r="795" spans="1:47" x14ac:dyDescent="0.35">
      <c r="A795" t="s">
        <v>3271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0" t="str">
        <f>_xlfn.XLOOKUP(PROPERTIES[[#This Row],[VEHIDCODE]],CONTROL[VEHIDCODE],CONTROL[ENGLISH])</f>
        <v>Henschel 4-4-2 19906</v>
      </c>
      <c r="F795" t="s">
        <v>685</v>
      </c>
      <c r="G795" s="40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17</v>
      </c>
      <c r="J795">
        <v>0</v>
      </c>
      <c r="K795">
        <v>6</v>
      </c>
      <c r="L795">
        <v>0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3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0">
        <v>103</v>
      </c>
      <c r="AA795" s="19">
        <f>IFERROR(PROPERTIES[[#This Row],[TE_STARTING_KN]]/(PROPERTIES[[#This Row],[WEIGHT]]*9.81),0)</f>
        <v>0.10395534966340671</v>
      </c>
      <c r="AB795" s="19">
        <v>0</v>
      </c>
      <c r="AC795" s="16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6">
        <v>0</v>
      </c>
      <c r="AF795" s="6">
        <v>5</v>
      </c>
      <c r="AG795" t="s">
        <v>233</v>
      </c>
      <c r="AH795" t="s">
        <v>229</v>
      </c>
      <c r="AI795" t="s">
        <v>229</v>
      </c>
      <c r="AJ795" s="2" t="s">
        <v>229</v>
      </c>
      <c r="AK795" s="2" t="s">
        <v>244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44" t="b">
        <v>0</v>
      </c>
      <c r="AP795" s="48" t="b">
        <v>0</v>
      </c>
      <c r="AQ795" s="48" t="b">
        <v>0</v>
      </c>
      <c r="AR795" s="48">
        <v>0</v>
      </c>
      <c r="AS795" s="48" t="b">
        <v>0</v>
      </c>
      <c r="AT795" s="7" t="b">
        <v>0</v>
      </c>
      <c r="AU795" s="40" t="str" cm="1">
        <f t="array" ref="AU795">_xlfn.XLOOKUP(PROPERTIES[[#This Row],[VEHIDCODE]],GRAPHICS_PROPERTIES[VEHIDCODE],GRAPHICS_PROPERTIES[TEMPLATE_ID]&amp;GRAPHICS_PROPERTIES[TEMPLATE_AMENDMENT_CODE])</f>
        <v>TPL_03A</v>
      </c>
    </row>
    <row r="796" spans="1:47" x14ac:dyDescent="0.35">
      <c r="A796" t="s">
        <v>3446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0" t="str">
        <f>_xlfn.XLOOKUP(PROPERTIES[[#This Row],[VEHIDCODE]],CONTROL[VEHIDCODE],CONTROL[ENGLISH])</f>
        <v>Haine-Saint-Pierre 2-6-0+0-6-2T 'Golwe'</v>
      </c>
      <c r="F796" t="s">
        <v>571</v>
      </c>
      <c r="G796" s="40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17</v>
      </c>
      <c r="J796">
        <v>0</v>
      </c>
      <c r="K796">
        <v>7</v>
      </c>
      <c r="L796">
        <v>0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3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0">
        <v>166</v>
      </c>
      <c r="AA796" s="20">
        <f>IFERROR(PROPERTIES[[#This Row],[TE_STARTING_KN]]/(PROPERTIES[[#This Row],[WEIGHT]]*9.81),0)</f>
        <v>0.17626571525654094</v>
      </c>
      <c r="AB796" s="20">
        <v>0</v>
      </c>
      <c r="AC796" s="16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6">
        <v>0</v>
      </c>
      <c r="AF796" s="6">
        <v>4</v>
      </c>
      <c r="AG796" t="s">
        <v>233</v>
      </c>
      <c r="AH796" t="s">
        <v>229</v>
      </c>
      <c r="AI796" t="s">
        <v>229</v>
      </c>
      <c r="AJ796" s="2" t="s">
        <v>229</v>
      </c>
      <c r="AK796" s="2" t="s">
        <v>244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44" t="b">
        <v>0</v>
      </c>
      <c r="AP796" s="48" t="b">
        <v>0</v>
      </c>
      <c r="AQ796" s="48" t="b">
        <v>0</v>
      </c>
      <c r="AR796" s="48">
        <v>0</v>
      </c>
      <c r="AS796" s="48" t="b">
        <v>0</v>
      </c>
      <c r="AT796" s="7" t="b">
        <v>0</v>
      </c>
      <c r="AU796" s="40" t="str" cm="1">
        <f t="array" ref="AU796">_xlfn.XLOOKUP(PROPERTIES[[#This Row],[VEHIDCODE]],GRAPHICS_PROPERTIES[VEHIDCODE],GRAPHICS_PROPERTIES[TEMPLATE_ID]&amp;GRAPHICS_PROPERTIES[TEMPLATE_AMENDMENT_CODE])</f>
        <v>TPL_03A</v>
      </c>
    </row>
    <row r="797" spans="1:47" x14ac:dyDescent="0.35">
      <c r="A797" t="s">
        <v>3272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0" t="str">
        <f>_xlfn.XLOOKUP(PROPERTIES[[#This Row],[VEHIDCODE]],CONTROL[VEHIDCODE],CONTROL[ENGLISH])</f>
        <v>Henschel EMD TT12</v>
      </c>
      <c r="F797" t="s">
        <v>608</v>
      </c>
      <c r="G797" s="40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17</v>
      </c>
      <c r="J797">
        <v>0</v>
      </c>
      <c r="K797">
        <v>8</v>
      </c>
      <c r="L797">
        <v>0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3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0">
        <v>240</v>
      </c>
      <c r="AA797" s="20">
        <f>IFERROR(PROPERTIES[[#This Row],[TE_STARTING_KN]]/(PROPERTIES[[#This Row],[WEIGHT]]*9.81),0)</f>
        <v>0.29475700969013668</v>
      </c>
      <c r="AB797" s="20">
        <v>0</v>
      </c>
      <c r="AC797" s="16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6">
        <v>0</v>
      </c>
      <c r="AF797" s="29">
        <v>0</v>
      </c>
      <c r="AG797" t="s">
        <v>233</v>
      </c>
      <c r="AH797" t="s">
        <v>229</v>
      </c>
      <c r="AI797" t="s">
        <v>229</v>
      </c>
      <c r="AJ797" s="2" t="s">
        <v>229</v>
      </c>
      <c r="AK797" s="28" t="s">
        <v>244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44" t="b">
        <v>0</v>
      </c>
      <c r="AP797" s="48" t="b">
        <v>0</v>
      </c>
      <c r="AQ797" s="48" t="b">
        <v>0</v>
      </c>
      <c r="AR797" s="48">
        <v>0</v>
      </c>
      <c r="AS797" s="48" t="b">
        <v>0</v>
      </c>
      <c r="AT797" s="7" t="b">
        <v>0</v>
      </c>
      <c r="AU797" s="40" t="str" cm="1">
        <f t="array" ref="AU797">_xlfn.XLOOKUP(PROPERTIES[[#This Row],[VEHIDCODE]],GRAPHICS_PROPERTIES[VEHIDCODE],GRAPHICS_PROPERTIES[TEMPLATE_ID]&amp;GRAPHICS_PROPERTIES[TEMPLATE_AMENDMENT_CODE])</f>
        <v>TPL_16A</v>
      </c>
    </row>
    <row r="798" spans="1:47" x14ac:dyDescent="0.35">
      <c r="A798" s="2" t="s">
        <v>3273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0" t="str">
        <f>_xlfn.XLOOKUP(PROPERTIES[[#This Row],[VEHIDCODE]],CONTROL[VEHIDCODE],CONTROL[ENGLISH])</f>
        <v>Henschel GE G16</v>
      </c>
      <c r="F798" t="s">
        <v>657</v>
      </c>
      <c r="G798" s="40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17</v>
      </c>
      <c r="J798">
        <v>0</v>
      </c>
      <c r="K798">
        <v>8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3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0">
        <v>512</v>
      </c>
      <c r="AA798" s="20">
        <f>IFERROR(PROPERTIES[[#This Row],[TE_STARTING_KN]]/(PROPERTIES[[#This Row],[WEIGHT]]*9.81),0)</f>
        <v>0.2965434158094708</v>
      </c>
      <c r="AB798" s="20">
        <v>0</v>
      </c>
      <c r="AC798" s="16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6">
        <v>0</v>
      </c>
      <c r="AF798" s="29">
        <v>2</v>
      </c>
      <c r="AG798" t="s">
        <v>233</v>
      </c>
      <c r="AH798" t="s">
        <v>229</v>
      </c>
      <c r="AI798" t="s">
        <v>229</v>
      </c>
      <c r="AJ798" s="2" t="s">
        <v>229</v>
      </c>
      <c r="AK798" s="28" t="s">
        <v>244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44" t="b">
        <v>0</v>
      </c>
      <c r="AP798" s="48" t="b">
        <v>0</v>
      </c>
      <c r="AQ798" s="48" t="b">
        <v>0</v>
      </c>
      <c r="AR798" s="48">
        <v>0</v>
      </c>
      <c r="AS798" s="48" t="b">
        <v>0</v>
      </c>
      <c r="AT798" s="7" t="b">
        <v>0</v>
      </c>
      <c r="AU798" s="40" t="str" cm="1">
        <f t="array" ref="AU798">_xlfn.XLOOKUP(PROPERTIES[[#This Row],[VEHIDCODE]],GRAPHICS_PROPERTIES[VEHIDCODE],GRAPHICS_PROPERTIES[TEMPLATE_ID]&amp;GRAPHICS_PROPERTIES[TEMPLATE_AMENDMENT_CODE])</f>
        <v>TPL_16A</v>
      </c>
    </row>
    <row r="799" spans="1:47" x14ac:dyDescent="0.35">
      <c r="A799" s="2" t="s">
        <v>3274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0" t="str">
        <f>_xlfn.XLOOKUP(PROPERTIES[[#This Row],[VEHIDCODE]],CONTROL[VEHIDCODE],CONTROL[ENGLISH])</f>
        <v>ACEC/BN Type 2450</v>
      </c>
      <c r="F799" t="s">
        <v>567</v>
      </c>
      <c r="G799" s="40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17</v>
      </c>
      <c r="J799">
        <v>0</v>
      </c>
      <c r="K799">
        <v>6</v>
      </c>
      <c r="L799">
        <v>0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3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0">
        <v>137</v>
      </c>
      <c r="AA799" s="19">
        <f>IFERROR(PROPERTIES[[#This Row],[TE_STARTING_KN]]/(PROPERTIES[[#This Row],[WEIGHT]]*9.81),0)</f>
        <v>0.2327556914712878</v>
      </c>
      <c r="AB799" s="20">
        <v>0</v>
      </c>
      <c r="AC799" s="16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6">
        <v>0</v>
      </c>
      <c r="AF799" s="6">
        <v>0</v>
      </c>
      <c r="AG799" t="s">
        <v>233</v>
      </c>
      <c r="AH799" t="s">
        <v>229</v>
      </c>
      <c r="AI799" t="s">
        <v>229</v>
      </c>
      <c r="AJ799" s="2" t="s">
        <v>229</v>
      </c>
      <c r="AK799" s="28" t="s">
        <v>244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44" t="b">
        <v>0</v>
      </c>
      <c r="AP799" s="48" t="b">
        <v>0</v>
      </c>
      <c r="AQ799" s="48" t="b">
        <v>0</v>
      </c>
      <c r="AR799" s="48">
        <v>0</v>
      </c>
      <c r="AS799" s="48" t="b">
        <v>0</v>
      </c>
      <c r="AT799" s="7" t="b">
        <v>0</v>
      </c>
      <c r="AU799" s="40" t="str" cm="1">
        <f t="array" ref="AU799">_xlfn.XLOOKUP(PROPERTIES[[#This Row],[VEHIDCODE]],GRAPHICS_PROPERTIES[VEHIDCODE],GRAPHICS_PROPERTIES[TEMPLATE_ID]&amp;GRAPHICS_PROPERTIES[TEMPLATE_AMENDMENT_CODE])</f>
        <v>TPL_01A</v>
      </c>
    </row>
    <row r="800" spans="1:47" x14ac:dyDescent="0.35">
      <c r="A800" s="2" t="s">
        <v>3275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0" t="str">
        <f>_xlfn.XLOOKUP(PROPERTIES[[#This Row],[VEHIDCODE]],CONTROL[VEHIDCODE],CONTROL[ENGLISH])</f>
        <v>Alsthom BB-BB 300</v>
      </c>
      <c r="F800" t="s">
        <v>569</v>
      </c>
      <c r="G800" s="40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17</v>
      </c>
      <c r="J800">
        <v>0</v>
      </c>
      <c r="K800">
        <v>8</v>
      </c>
      <c r="L800">
        <v>0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3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0">
        <v>380</v>
      </c>
      <c r="AA800" s="19">
        <f>IFERROR(PROPERTIES[[#This Row],[TE_STARTING_KN]]/(PROPERTIES[[#This Row],[WEIGHT]]*9.81),0)</f>
        <v>0.29796910530855486</v>
      </c>
      <c r="AB800" s="19">
        <v>0</v>
      </c>
      <c r="AC800" s="16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6">
        <v>0</v>
      </c>
      <c r="AF800" s="6">
        <v>0</v>
      </c>
      <c r="AG800" t="s">
        <v>233</v>
      </c>
      <c r="AH800" t="s">
        <v>229</v>
      </c>
      <c r="AI800" t="s">
        <v>229</v>
      </c>
      <c r="AJ800" s="2" t="s">
        <v>229</v>
      </c>
      <c r="AK800" s="2" t="s">
        <v>244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44" t="b">
        <v>0</v>
      </c>
      <c r="AP800" s="48" t="b">
        <v>0</v>
      </c>
      <c r="AQ800" s="48" t="b">
        <v>0</v>
      </c>
      <c r="AR800" s="48">
        <v>0</v>
      </c>
      <c r="AS800" s="48" t="b">
        <v>0</v>
      </c>
      <c r="AT800" s="7" t="b">
        <v>0</v>
      </c>
      <c r="AU800" s="40" t="str" cm="1">
        <f t="array" ref="AU800">_xlfn.XLOOKUP(PROPERTIES[[#This Row],[VEHIDCODE]],GRAPHICS_PROPERTIES[VEHIDCODE],GRAPHICS_PROPERTIES[TEMPLATE_ID]&amp;GRAPHICS_PROPERTIES[TEMPLATE_AMENDMENT_CODE])</f>
        <v>TPL_01A</v>
      </c>
    </row>
    <row r="801" spans="1:47" x14ac:dyDescent="0.35">
      <c r="A801" s="2" t="s">
        <v>3276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0" t="str">
        <f>_xlfn.XLOOKUP(PROPERTIES[[#This Row],[VEHIDCODE]],CONTROL[VEHIDCODE],CONTROL[ENGLISH])</f>
        <v>Alsthom CC 200</v>
      </c>
      <c r="F801" t="s">
        <v>773</v>
      </c>
      <c r="G801" s="40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17</v>
      </c>
      <c r="J801">
        <v>0</v>
      </c>
      <c r="K801">
        <v>8</v>
      </c>
      <c r="L801">
        <v>0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3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0">
        <v>250</v>
      </c>
      <c r="AA801" s="19">
        <f>IFERROR(PROPERTIES[[#This Row],[TE_STARTING_KN]]/(PROPERTIES[[#This Row],[WEIGHT]]*9.81),0)</f>
        <v>0.21236833163438668</v>
      </c>
      <c r="AB801" s="19">
        <v>0</v>
      </c>
      <c r="AC801" s="16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6">
        <v>0</v>
      </c>
      <c r="AF801" s="6">
        <v>0</v>
      </c>
      <c r="AG801" t="s">
        <v>233</v>
      </c>
      <c r="AH801" t="s">
        <v>229</v>
      </c>
      <c r="AI801" t="s">
        <v>229</v>
      </c>
      <c r="AJ801" s="2" t="s">
        <v>229</v>
      </c>
      <c r="AK801" s="2" t="s">
        <v>244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44" t="b">
        <v>0</v>
      </c>
      <c r="AP801" s="48" t="b">
        <v>0</v>
      </c>
      <c r="AQ801" s="48" t="b">
        <v>0</v>
      </c>
      <c r="AR801" s="48">
        <v>0</v>
      </c>
      <c r="AS801" s="48" t="b">
        <v>0</v>
      </c>
      <c r="AT801" s="7" t="b">
        <v>0</v>
      </c>
      <c r="AU801" s="40" t="str" cm="1">
        <f t="array" ref="AU801">_xlfn.XLOOKUP(PROPERTIES[[#This Row],[VEHIDCODE]],GRAPHICS_PROPERTIES[VEHIDCODE],GRAPHICS_PROPERTIES[TEMPLATE_ID]&amp;GRAPHICS_PROPERTIES[TEMPLATE_AMENDMENT_CODE])</f>
        <v>TPL_01A</v>
      </c>
    </row>
    <row r="802" spans="1:47" x14ac:dyDescent="0.35">
      <c r="A802" s="2" t="s">
        <v>3277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0" t="str">
        <f>_xlfn.XLOOKUP(PROPERTIES[[#This Row],[VEHIDCODE]],CONTROL[VEHIDCODE],CONTROL[ENGLISH])</f>
        <v>GMD GT22LC-2</v>
      </c>
      <c r="F802" t="s">
        <v>571</v>
      </c>
      <c r="G802" s="40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17</v>
      </c>
      <c r="J802">
        <v>0</v>
      </c>
      <c r="K802">
        <v>7</v>
      </c>
      <c r="L802">
        <v>0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3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0">
        <v>231</v>
      </c>
      <c r="AA802" s="20">
        <f>IFERROR(PROPERTIES[[#This Row],[TE_STARTING_KN]]/(PROPERTIES[[#This Row],[WEIGHT]]*9.81),0)</f>
        <v>0.24786737485916624</v>
      </c>
      <c r="AB802" s="20">
        <v>0</v>
      </c>
      <c r="AC802" s="16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6">
        <v>0</v>
      </c>
      <c r="AF802" s="6">
        <v>0</v>
      </c>
      <c r="AG802" t="s">
        <v>233</v>
      </c>
      <c r="AH802" t="s">
        <v>229</v>
      </c>
      <c r="AI802" t="s">
        <v>229</v>
      </c>
      <c r="AJ802" s="2" t="s">
        <v>229</v>
      </c>
      <c r="AK802" s="2" t="s">
        <v>244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44" t="b">
        <v>0</v>
      </c>
      <c r="AP802" s="48" t="b">
        <v>0</v>
      </c>
      <c r="AQ802" s="48" t="b">
        <v>0</v>
      </c>
      <c r="AR802" s="48">
        <v>0</v>
      </c>
      <c r="AS802" s="48" t="b">
        <v>0</v>
      </c>
      <c r="AT802" s="7" t="b">
        <v>0</v>
      </c>
      <c r="AU802" s="40" t="str" cm="1">
        <f t="array" ref="AU802">_xlfn.XLOOKUP(PROPERTIES[[#This Row],[VEHIDCODE]],GRAPHICS_PROPERTIES[VEHIDCODE],GRAPHICS_PROPERTIES[TEMPLATE_ID]&amp;GRAPHICS_PROPERTIES[TEMPLATE_AMENDMENT_CODE])</f>
        <v>TPL_01A</v>
      </c>
    </row>
    <row r="803" spans="1:47" x14ac:dyDescent="0.35">
      <c r="A803" s="2" t="s">
        <v>3278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0" t="str">
        <f>_xlfn.XLOOKUP(PROPERTIES[[#This Row],[VEHIDCODE]],CONTROL[VEHIDCODE],CONTROL[ENGLISH])</f>
        <v>TRC E6800</v>
      </c>
      <c r="F803" t="s">
        <v>753</v>
      </c>
      <c r="G803" s="40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17</v>
      </c>
      <c r="J803">
        <v>0</v>
      </c>
      <c r="K803">
        <v>8</v>
      </c>
      <c r="L803">
        <v>0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3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0">
        <v>285</v>
      </c>
      <c r="AA803" s="20">
        <f>IFERROR(PROPERTIES[[#This Row],[TE_STARTING_KN]]/(PROPERTIES[[#This Row],[WEIGHT]]*9.81),0)</f>
        <v>0.33781381125097787</v>
      </c>
      <c r="AB803" s="20">
        <v>0</v>
      </c>
      <c r="AC803" s="16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6">
        <v>0</v>
      </c>
      <c r="AF803" s="6">
        <v>0</v>
      </c>
      <c r="AG803" t="s">
        <v>233</v>
      </c>
      <c r="AH803" t="s">
        <v>229</v>
      </c>
      <c r="AI803" t="s">
        <v>229</v>
      </c>
      <c r="AJ803" s="2" t="s">
        <v>229</v>
      </c>
      <c r="AK803" s="2" t="s">
        <v>244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44" t="b">
        <v>0</v>
      </c>
      <c r="AP803" s="48" t="b">
        <v>0</v>
      </c>
      <c r="AQ803" s="48" t="b">
        <v>0</v>
      </c>
      <c r="AR803" s="48">
        <v>0</v>
      </c>
      <c r="AS803" s="48" t="b">
        <v>0</v>
      </c>
      <c r="AT803" s="7" t="b">
        <v>0</v>
      </c>
      <c r="AU803" s="40" t="str" cm="1">
        <f t="array" ref="AU803">_xlfn.XLOOKUP(PROPERTIES[[#This Row],[VEHIDCODE]],GRAPHICS_PROPERTIES[VEHIDCODE],GRAPHICS_PROPERTIES[TEMPLATE_ID]&amp;GRAPHICS_PROPERTIES[TEMPLATE_AMENDMENT_CODE])</f>
        <v>TPL_01A</v>
      </c>
    </row>
    <row r="804" spans="1:47" x14ac:dyDescent="0.35">
      <c r="A804" s="2" t="s">
        <v>3279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0" t="str">
        <f>_xlfn.XLOOKUP(PROPERTIES[[#This Row],[VEHIDCODE]],CONTROL[VEHIDCODE],CONTROL[ENGLISH])</f>
        <v>Brooklyn Union Gate Elevated</v>
      </c>
      <c r="F804" t="s">
        <v>757</v>
      </c>
      <c r="G804" s="40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22</v>
      </c>
      <c r="J804">
        <v>48</v>
      </c>
      <c r="K804">
        <v>7</v>
      </c>
      <c r="L804">
        <v>0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3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0">
        <v>25</v>
      </c>
      <c r="AA804" s="19">
        <f>IFERROR(PROPERTIES[[#This Row],[TE_STARTING_KN]]/(PROPERTIES[[#This Row],[WEIGHT]]*9.81),0)</f>
        <v>9.1014999271880004E-2</v>
      </c>
      <c r="AB804" s="19">
        <v>0</v>
      </c>
      <c r="AC804" s="16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6">
        <v>48</v>
      </c>
      <c r="AF804" s="6">
        <v>7</v>
      </c>
      <c r="AG804" t="s">
        <v>235</v>
      </c>
      <c r="AH804" t="s">
        <v>229</v>
      </c>
      <c r="AI804" t="s">
        <v>229</v>
      </c>
      <c r="AJ804" s="2" t="s">
        <v>229</v>
      </c>
      <c r="AK804" s="7" t="s">
        <v>244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44" t="b">
        <v>0</v>
      </c>
      <c r="AP804" s="48" t="b">
        <v>0</v>
      </c>
      <c r="AQ804" s="48" t="b">
        <v>0</v>
      </c>
      <c r="AR804" s="48">
        <v>0</v>
      </c>
      <c r="AS804" s="48" t="b">
        <v>0</v>
      </c>
      <c r="AT804" s="7" t="b">
        <v>0</v>
      </c>
      <c r="AU804" s="40" t="str" cm="1">
        <f t="array" ref="AU804">_xlfn.XLOOKUP(PROPERTIES[[#This Row],[VEHIDCODE]],GRAPHICS_PROPERTIES[VEHIDCODE],GRAPHICS_PROPERTIES[TEMPLATE_ID]&amp;GRAPHICS_PROPERTIES[TEMPLATE_AMENDMENT_CODE])</f>
        <v>TPL_02C</v>
      </c>
    </row>
    <row r="805" spans="1:47" x14ac:dyDescent="0.35">
      <c r="A805" s="2" t="s">
        <v>1729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0" t="str">
        <f>_xlfn.XLOOKUP(PROPERTIES[[#This Row],[VEHIDCODE]],CONTROL[VEHIDCODE],CONTROL[ENGLISH])</f>
        <v>'CityNightLine' Sleeper</v>
      </c>
      <c r="G805" s="40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22</v>
      </c>
      <c r="J805">
        <v>60</v>
      </c>
      <c r="K805">
        <v>8</v>
      </c>
      <c r="L805">
        <v>0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3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0">
        <v>0</v>
      </c>
      <c r="AA805" s="20">
        <f>IFERROR(PROPERTIES[[#This Row],[TE_STARTING_KN]]/(PROPERTIES[[#This Row],[WEIGHT]]*9.81),0)</f>
        <v>0</v>
      </c>
      <c r="AB805" s="20">
        <v>0.3</v>
      </c>
      <c r="AC805" s="16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6">
        <v>0</v>
      </c>
      <c r="AF805" s="6">
        <v>0</v>
      </c>
      <c r="AG805" t="s">
        <v>241</v>
      </c>
      <c r="AH805" t="s">
        <v>229</v>
      </c>
      <c r="AI805" t="s">
        <v>229</v>
      </c>
      <c r="AJ805" s="2" t="s">
        <v>229</v>
      </c>
      <c r="AK805" s="2" t="s">
        <v>244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44" t="b">
        <v>0</v>
      </c>
      <c r="AP805" s="48" t="b">
        <v>0</v>
      </c>
      <c r="AQ805" s="48" t="b">
        <v>0</v>
      </c>
      <c r="AR805" s="48">
        <v>0</v>
      </c>
      <c r="AS805" s="48" t="b">
        <v>0</v>
      </c>
      <c r="AT805" s="7" t="b">
        <v>0</v>
      </c>
      <c r="AU805" s="40" t="str" cm="1">
        <f t="array" ref="AU805">_xlfn.XLOOKUP(PROPERTIES[[#This Row],[VEHIDCODE]],GRAPHICS_PROPERTIES[VEHIDCODE],GRAPHICS_PROPERTIES[TEMPLATE_ID]&amp;GRAPHICS_PROPERTIES[TEMPLATE_AMENDMENT_CODE])</f>
        <v>TPL_04A</v>
      </c>
    </row>
    <row r="806" spans="1:47" x14ac:dyDescent="0.35">
      <c r="A806" s="2" t="s">
        <v>1730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0" t="str">
        <f>_xlfn.XLOOKUP(PROPERTIES[[#This Row],[VEHIDCODE]],CONTROL[VEHIDCODE],CONTROL[ENGLISH])</f>
        <v>'Trans Euro Night' Sleeper</v>
      </c>
      <c r="G806" s="40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22</v>
      </c>
      <c r="J806">
        <v>50</v>
      </c>
      <c r="K806">
        <v>8</v>
      </c>
      <c r="L806">
        <v>0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3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0">
        <v>0</v>
      </c>
      <c r="AA806" s="20">
        <f>IFERROR(PROPERTIES[[#This Row],[TE_STARTING_KN]]/(PROPERTIES[[#This Row],[WEIGHT]]*9.81),0)</f>
        <v>0</v>
      </c>
      <c r="AB806" s="20">
        <v>0.3</v>
      </c>
      <c r="AC806" s="16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6">
        <v>0</v>
      </c>
      <c r="AF806" s="6">
        <v>0</v>
      </c>
      <c r="AG806" t="s">
        <v>241</v>
      </c>
      <c r="AH806" t="s">
        <v>229</v>
      </c>
      <c r="AI806" t="s">
        <v>229</v>
      </c>
      <c r="AJ806" s="2" t="s">
        <v>229</v>
      </c>
      <c r="AK806" s="2" t="s">
        <v>244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44" t="b">
        <v>0</v>
      </c>
      <c r="AP806" s="48" t="b">
        <v>0</v>
      </c>
      <c r="AQ806" s="48" t="b">
        <v>0</v>
      </c>
      <c r="AR806" s="48">
        <v>0</v>
      </c>
      <c r="AS806" s="48" t="b">
        <v>0</v>
      </c>
      <c r="AT806" s="7" t="b">
        <v>0</v>
      </c>
      <c r="AU806" s="40" t="str" cm="1">
        <f t="array" ref="AU806">_xlfn.XLOOKUP(PROPERTIES[[#This Row],[VEHIDCODE]],GRAPHICS_PROPERTIES[VEHIDCODE],GRAPHICS_PROPERTIES[TEMPLATE_ID]&amp;GRAPHICS_PROPERTIES[TEMPLATE_AMENDMENT_CODE])</f>
        <v>TPL_04A</v>
      </c>
    </row>
    <row r="807" spans="1:47" x14ac:dyDescent="0.35">
      <c r="A807" s="2" t="s">
        <v>1715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0" t="str">
        <f>_xlfn.XLOOKUP(PROPERTIES[[#This Row],[VEHIDCODE]],CONTROL[VEHIDCODE],CONTROL[ENGLISH])</f>
        <v>1st Gen Livestock Van</v>
      </c>
      <c r="G807" s="40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1723</v>
      </c>
      <c r="J807">
        <v>20</v>
      </c>
      <c r="K807">
        <v>4</v>
      </c>
      <c r="L807">
        <v>0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3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0">
        <v>0</v>
      </c>
      <c r="AA807" s="19">
        <f>IFERROR(PROPERTIES[[#This Row],[TE_STARTING_KN]]/(PROPERTIES[[#This Row],[WEIGHT]]*9.81),0)</f>
        <v>0</v>
      </c>
      <c r="AB807" s="19">
        <v>0.3</v>
      </c>
      <c r="AC807" s="16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6">
        <v>0</v>
      </c>
      <c r="AF807" s="6">
        <v>0</v>
      </c>
      <c r="AG807" t="s">
        <v>241</v>
      </c>
      <c r="AH807" t="s">
        <v>229</v>
      </c>
      <c r="AI807" t="s">
        <v>229</v>
      </c>
      <c r="AJ807" s="2" t="s">
        <v>229</v>
      </c>
      <c r="AK807" s="2" t="s">
        <v>244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44" t="b">
        <v>0</v>
      </c>
      <c r="AP807" s="48" t="b">
        <v>0</v>
      </c>
      <c r="AQ807" s="48" t="b">
        <v>0</v>
      </c>
      <c r="AR807" s="48">
        <v>2</v>
      </c>
      <c r="AS807" s="48" t="b">
        <v>0</v>
      </c>
      <c r="AT807" s="7" t="b">
        <v>0</v>
      </c>
      <c r="AU807" s="40" t="str" cm="1">
        <f t="array" ref="AU807">_xlfn.XLOOKUP(PROPERTIES[[#This Row],[VEHIDCODE]],GRAPHICS_PROPERTIES[VEHIDCODE],GRAPHICS_PROPERTIES[TEMPLATE_ID]&amp;GRAPHICS_PROPERTIES[TEMPLATE_AMENDMENT_CODE])</f>
        <v>TPL_04B</v>
      </c>
    </row>
    <row r="808" spans="1:47" x14ac:dyDescent="0.35">
      <c r="A808" s="2" t="s">
        <v>1710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0" t="str">
        <f>_xlfn.XLOOKUP(PROPERTIES[[#This Row],[VEHIDCODE]],CONTROL[VEHIDCODE],CONTROL[ENGLISH])</f>
        <v>2nd Gen Livestock Van</v>
      </c>
      <c r="G808" s="40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1723</v>
      </c>
      <c r="J808">
        <v>25</v>
      </c>
      <c r="K808">
        <v>5</v>
      </c>
      <c r="L808">
        <v>0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3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0">
        <v>0</v>
      </c>
      <c r="AA808" s="19">
        <f>IFERROR(PROPERTIES[[#This Row],[TE_STARTING_KN]]/(PROPERTIES[[#This Row],[WEIGHT]]*9.81),0)</f>
        <v>0</v>
      </c>
      <c r="AB808" s="19">
        <v>0.3</v>
      </c>
      <c r="AC808" s="16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6">
        <v>0</v>
      </c>
      <c r="AF808" s="6">
        <v>0</v>
      </c>
      <c r="AG808" t="s">
        <v>241</v>
      </c>
      <c r="AH808" t="s">
        <v>229</v>
      </c>
      <c r="AI808" t="s">
        <v>229</v>
      </c>
      <c r="AJ808" s="2" t="s">
        <v>229</v>
      </c>
      <c r="AK808" s="2" t="s">
        <v>244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44" t="b">
        <v>0</v>
      </c>
      <c r="AP808" s="48" t="b">
        <v>0</v>
      </c>
      <c r="AQ808" s="48" t="b">
        <v>0</v>
      </c>
      <c r="AR808" s="48">
        <v>2</v>
      </c>
      <c r="AS808" s="48" t="b">
        <v>0</v>
      </c>
      <c r="AT808" s="7" t="b">
        <v>0</v>
      </c>
      <c r="AU808" s="40" t="str" cm="1">
        <f t="array" ref="AU808">_xlfn.XLOOKUP(PROPERTIES[[#This Row],[VEHIDCODE]],GRAPHICS_PROPERTIES[VEHIDCODE],GRAPHICS_PROPERTIES[TEMPLATE_ID]&amp;GRAPHICS_PROPERTIES[TEMPLATE_AMENDMENT_CODE])</f>
        <v>TPL_04B</v>
      </c>
    </row>
    <row r="809" spans="1:47" x14ac:dyDescent="0.35">
      <c r="A809" s="2" t="s">
        <v>1711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0" t="str">
        <f>_xlfn.XLOOKUP(PROPERTIES[[#This Row],[VEHIDCODE]],CONTROL[VEHIDCODE],CONTROL[ENGLISH])</f>
        <v>3rd Gen Livestock Van</v>
      </c>
      <c r="G809" s="40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1723</v>
      </c>
      <c r="J809">
        <v>40</v>
      </c>
      <c r="K809">
        <v>6</v>
      </c>
      <c r="L809">
        <v>0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3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0">
        <v>0</v>
      </c>
      <c r="AA809" s="19">
        <f>IFERROR(PROPERTIES[[#This Row],[TE_STARTING_KN]]/(PROPERTIES[[#This Row],[WEIGHT]]*9.81),0)</f>
        <v>0</v>
      </c>
      <c r="AB809" s="19">
        <v>0.3</v>
      </c>
      <c r="AC809" s="16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6">
        <v>0</v>
      </c>
      <c r="AF809" s="6">
        <v>0</v>
      </c>
      <c r="AG809" t="s">
        <v>241</v>
      </c>
      <c r="AH809" t="s">
        <v>229</v>
      </c>
      <c r="AI809" t="s">
        <v>229</v>
      </c>
      <c r="AJ809" s="2" t="s">
        <v>229</v>
      </c>
      <c r="AK809" s="2" t="s">
        <v>244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44" t="b">
        <v>0</v>
      </c>
      <c r="AP809" s="48" t="b">
        <v>0</v>
      </c>
      <c r="AQ809" s="48" t="b">
        <v>0</v>
      </c>
      <c r="AR809" s="48">
        <v>2</v>
      </c>
      <c r="AS809" s="48" t="b">
        <v>0</v>
      </c>
      <c r="AT809" s="7" t="b">
        <v>0</v>
      </c>
      <c r="AU809" s="40" t="str" cm="1">
        <f t="array" ref="AU809">_xlfn.XLOOKUP(PROPERTIES[[#This Row],[VEHIDCODE]],GRAPHICS_PROPERTIES[VEHIDCODE],GRAPHICS_PROPERTIES[TEMPLATE_ID]&amp;GRAPHICS_PROPERTIES[TEMPLATE_AMENDMENT_CODE])</f>
        <v>TPL_04B</v>
      </c>
    </row>
    <row r="810" spans="1:47" x14ac:dyDescent="0.35">
      <c r="A810" s="2" t="s">
        <v>1712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0" t="str">
        <f>_xlfn.XLOOKUP(PROPERTIES[[#This Row],[VEHIDCODE]],CONTROL[VEHIDCODE],CONTROL[ENGLISH])</f>
        <v>4th Gen Livestock Van</v>
      </c>
      <c r="G810" s="40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1723</v>
      </c>
      <c r="J810">
        <v>42</v>
      </c>
      <c r="K810">
        <v>7</v>
      </c>
      <c r="L810">
        <v>0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3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0">
        <v>0</v>
      </c>
      <c r="AA810" s="19">
        <f>IFERROR(PROPERTIES[[#This Row],[TE_STARTING_KN]]/(PROPERTIES[[#This Row],[WEIGHT]]*9.81),0)</f>
        <v>0</v>
      </c>
      <c r="AB810" s="19">
        <v>0.3</v>
      </c>
      <c r="AC810" s="16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6">
        <v>0</v>
      </c>
      <c r="AF810" s="6">
        <v>0</v>
      </c>
      <c r="AG810" t="s">
        <v>241</v>
      </c>
      <c r="AH810" t="s">
        <v>229</v>
      </c>
      <c r="AI810" t="s">
        <v>229</v>
      </c>
      <c r="AJ810" s="2" t="s">
        <v>229</v>
      </c>
      <c r="AK810" s="2" t="s">
        <v>244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44" t="b">
        <v>0</v>
      </c>
      <c r="AP810" s="48" t="b">
        <v>0</v>
      </c>
      <c r="AQ810" s="48" t="b">
        <v>0</v>
      </c>
      <c r="AR810" s="48">
        <v>2</v>
      </c>
      <c r="AS810" s="48" t="b">
        <v>0</v>
      </c>
      <c r="AT810" s="7" t="b">
        <v>0</v>
      </c>
      <c r="AU810" s="40" t="str" cm="1">
        <f t="array" ref="AU810">_xlfn.XLOOKUP(PROPERTIES[[#This Row],[VEHIDCODE]],GRAPHICS_PROPERTIES[VEHIDCODE],GRAPHICS_PROPERTIES[TEMPLATE_ID]&amp;GRAPHICS_PROPERTIES[TEMPLATE_AMENDMENT_CODE])</f>
        <v>TPL_04B</v>
      </c>
    </row>
    <row r="811" spans="1:47" x14ac:dyDescent="0.35">
      <c r="A811" s="2" t="s">
        <v>1713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0" t="str">
        <f>_xlfn.XLOOKUP(PROPERTIES[[#This Row],[VEHIDCODE]],CONTROL[VEHIDCODE],CONTROL[ENGLISH])</f>
        <v>5th Gen Livestock Van</v>
      </c>
      <c r="G811" s="40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1723</v>
      </c>
      <c r="J811">
        <v>63</v>
      </c>
      <c r="K811">
        <v>8</v>
      </c>
      <c r="L811">
        <v>0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3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0">
        <v>0</v>
      </c>
      <c r="AA811" s="19">
        <f>IFERROR(PROPERTIES[[#This Row],[TE_STARTING_KN]]/(PROPERTIES[[#This Row],[WEIGHT]]*9.81),0)</f>
        <v>0</v>
      </c>
      <c r="AB811" s="19">
        <v>0.3</v>
      </c>
      <c r="AC811" s="16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6">
        <v>0</v>
      </c>
      <c r="AF811" s="6">
        <v>0</v>
      </c>
      <c r="AG811" t="s">
        <v>241</v>
      </c>
      <c r="AH811" t="s">
        <v>229</v>
      </c>
      <c r="AI811" t="s">
        <v>229</v>
      </c>
      <c r="AJ811" s="2" t="s">
        <v>229</v>
      </c>
      <c r="AK811" s="2" t="s">
        <v>244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44" t="b">
        <v>0</v>
      </c>
      <c r="AP811" s="48" t="b">
        <v>0</v>
      </c>
      <c r="AQ811" s="48" t="b">
        <v>0</v>
      </c>
      <c r="AR811" s="48">
        <v>2</v>
      </c>
      <c r="AS811" s="48" t="b">
        <v>0</v>
      </c>
      <c r="AT811" s="7" t="b">
        <v>0</v>
      </c>
      <c r="AU811" s="40" t="str" cm="1">
        <f t="array" ref="AU811">_xlfn.XLOOKUP(PROPERTIES[[#This Row],[VEHIDCODE]],GRAPHICS_PROPERTIES[VEHIDCODE],GRAPHICS_PROPERTIES[TEMPLATE_ID]&amp;GRAPHICS_PROPERTIES[TEMPLATE_AMENDMENT_CODE])</f>
        <v>TPL_04B</v>
      </c>
    </row>
    <row r="812" spans="1:47" x14ac:dyDescent="0.35">
      <c r="A812" s="2" t="s">
        <v>1714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0" t="str">
        <f>_xlfn.XLOOKUP(PROPERTIES[[#This Row],[VEHIDCODE]],CONTROL[VEHIDCODE],CONTROL[ENGLISH])</f>
        <v>6th Gen Livestock Van</v>
      </c>
      <c r="G812" s="40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1723</v>
      </c>
      <c r="J812">
        <v>74</v>
      </c>
      <c r="K812">
        <v>8</v>
      </c>
      <c r="L812">
        <v>0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3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0">
        <v>0</v>
      </c>
      <c r="AA812" s="19">
        <f>IFERROR(PROPERTIES[[#This Row],[TE_STARTING_KN]]/(PROPERTIES[[#This Row],[WEIGHT]]*9.81),0)</f>
        <v>0</v>
      </c>
      <c r="AB812" s="19">
        <v>0.3</v>
      </c>
      <c r="AC812" s="16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6">
        <v>0</v>
      </c>
      <c r="AF812" s="6">
        <v>0</v>
      </c>
      <c r="AG812" t="s">
        <v>241</v>
      </c>
      <c r="AH812" t="s">
        <v>229</v>
      </c>
      <c r="AI812" t="s">
        <v>229</v>
      </c>
      <c r="AJ812" s="2" t="s">
        <v>229</v>
      </c>
      <c r="AK812" s="2" t="s">
        <v>244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44" t="b">
        <v>0</v>
      </c>
      <c r="AP812" s="48" t="b">
        <v>0</v>
      </c>
      <c r="AQ812" s="48" t="b">
        <v>0</v>
      </c>
      <c r="AR812" s="48">
        <v>2</v>
      </c>
      <c r="AS812" s="48" t="b">
        <v>0</v>
      </c>
      <c r="AT812" s="7" t="b">
        <v>0</v>
      </c>
      <c r="AU812" s="40" t="str" cm="1">
        <f t="array" ref="AU812">_xlfn.XLOOKUP(PROPERTIES[[#This Row],[VEHIDCODE]],GRAPHICS_PROPERTIES[VEHIDCODE],GRAPHICS_PROPERTIES[TEMPLATE_ID]&amp;GRAPHICS_PROPERTIES[TEMPLATE_AMENDMENT_CODE])</f>
        <v>TPL_04B</v>
      </c>
    </row>
    <row r="813" spans="1:47" x14ac:dyDescent="0.35">
      <c r="A813" s="2" t="s">
        <v>1733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0" t="str">
        <f>_xlfn.XLOOKUP(PROPERTIES[[#This Row],[VEHIDCODE]],CONTROL[VEHIDCODE],CONTROL[ENGLISH])</f>
        <v>7th Gen Livestock Van</v>
      </c>
      <c r="G813" s="40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1723</v>
      </c>
      <c r="J813">
        <v>74</v>
      </c>
      <c r="K813">
        <v>8</v>
      </c>
      <c r="L813">
        <v>0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3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0">
        <v>0</v>
      </c>
      <c r="AA813" s="19">
        <f>IFERROR(PROPERTIES[[#This Row],[TE_STARTING_KN]]/(PROPERTIES[[#This Row],[WEIGHT]]*9.81),0)</f>
        <v>0</v>
      </c>
      <c r="AB813" s="19">
        <v>0.3</v>
      </c>
      <c r="AC813" s="16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6">
        <v>0</v>
      </c>
      <c r="AF813" s="6">
        <v>0</v>
      </c>
      <c r="AG813" t="s">
        <v>241</v>
      </c>
      <c r="AH813" t="s">
        <v>229</v>
      </c>
      <c r="AI813" t="s">
        <v>229</v>
      </c>
      <c r="AJ813" s="2" t="s">
        <v>229</v>
      </c>
      <c r="AK813" s="2" t="s">
        <v>245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44" t="b">
        <v>0</v>
      </c>
      <c r="AP813" s="48" t="b">
        <v>0</v>
      </c>
      <c r="AQ813" s="48" t="b">
        <v>0</v>
      </c>
      <c r="AR813" s="48">
        <v>2</v>
      </c>
      <c r="AS813" s="48" t="b">
        <v>0</v>
      </c>
      <c r="AT813" s="7" t="b">
        <v>0</v>
      </c>
      <c r="AU813" s="40" t="str" cm="1">
        <f t="array" ref="AU813">_xlfn.XLOOKUP(PROPERTIES[[#This Row],[VEHIDCODE]],GRAPHICS_PROPERTIES[VEHIDCODE],GRAPHICS_PROPERTIES[TEMPLATE_ID]&amp;GRAPHICS_PROPERTIES[TEMPLATE_AMENDMENT_CODE])</f>
        <v>TPL_04B</v>
      </c>
    </row>
    <row r="814" spans="1:47" x14ac:dyDescent="0.35">
      <c r="A814" s="2" t="s">
        <v>3280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0" t="str">
        <f>_xlfn.XLOOKUP(PROPERTIES[[#This Row],[VEHIDCODE]],CONTROL[VEHIDCODE],CONTROL[ENGLISH])</f>
        <v>Ganz-MAVAG VM15 'V63'</v>
      </c>
      <c r="F814" t="s">
        <v>626</v>
      </c>
      <c r="G814" s="40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17</v>
      </c>
      <c r="J814">
        <v>0</v>
      </c>
      <c r="K814">
        <v>8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3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0">
        <v>415</v>
      </c>
      <c r="AA814" s="19">
        <f>IFERROR(PROPERTIES[[#This Row],[TE_STARTING_KN]]/(PROPERTIES[[#This Row],[WEIGHT]]*9.81),0)</f>
        <v>0.35850653950482897</v>
      </c>
      <c r="AB814" s="19">
        <v>0</v>
      </c>
      <c r="AC814" s="16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6">
        <v>0</v>
      </c>
      <c r="AF814" s="6">
        <v>2</v>
      </c>
      <c r="AG814" t="s">
        <v>236</v>
      </c>
      <c r="AH814" t="s">
        <v>229</v>
      </c>
      <c r="AI814" t="s">
        <v>229</v>
      </c>
      <c r="AJ814" s="2" t="s">
        <v>229</v>
      </c>
      <c r="AK814" s="2" t="s">
        <v>244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44" t="b">
        <v>0</v>
      </c>
      <c r="AP814" s="48" t="b">
        <v>0</v>
      </c>
      <c r="AQ814" s="48" t="b">
        <v>0</v>
      </c>
      <c r="AR814" s="48">
        <v>0</v>
      </c>
      <c r="AS814" s="48" t="b">
        <v>0</v>
      </c>
      <c r="AT814" s="7" t="b">
        <v>0</v>
      </c>
      <c r="AU814" s="40" t="str" cm="1">
        <f t="array" ref="AU814">_xlfn.XLOOKUP(PROPERTIES[[#This Row],[VEHIDCODE]],GRAPHICS_PROPERTIES[VEHIDCODE],GRAPHICS_PROPERTIES[TEMPLATE_ID]&amp;GRAPHICS_PROPERTIES[TEMPLATE_AMENDMENT_CODE])</f>
        <v>TPL_16A</v>
      </c>
    </row>
    <row r="815" spans="1:47" x14ac:dyDescent="0.35">
      <c r="A815" s="2" t="s">
        <v>3281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0" t="str">
        <f>_xlfn.XLOOKUP(PROPERTIES[[#This Row],[VEHIDCODE]],CONTROL[VEHIDCODE],CONTROL[ENGLISH])</f>
        <v>BREL/ABB London 1992 Stock</v>
      </c>
      <c r="F815" t="s">
        <v>603</v>
      </c>
      <c r="G815" s="40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22</v>
      </c>
      <c r="J815">
        <f>INT(1047/8)</f>
        <v>130</v>
      </c>
      <c r="K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3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0">
        <v>0</v>
      </c>
      <c r="AA815" s="19">
        <f>IFERROR(PROPERTIES[[#This Row],[TE_STARTING_KN]]/(PROPERTIES[[#This Row],[WEIGHT]]*9.81),0)</f>
        <v>0</v>
      </c>
      <c r="AB815" s="19">
        <v>0.3</v>
      </c>
      <c r="AC815" s="16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6">
        <v>125</v>
      </c>
      <c r="AF815" s="6">
        <v>8</v>
      </c>
      <c r="AG815" t="s">
        <v>234</v>
      </c>
      <c r="AH815" t="s">
        <v>229</v>
      </c>
      <c r="AI815" t="s">
        <v>229</v>
      </c>
      <c r="AJ815" s="2" t="s">
        <v>229</v>
      </c>
      <c r="AK815" s="2" t="s">
        <v>244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44" t="b">
        <v>0</v>
      </c>
      <c r="AP815" s="48" t="b">
        <v>0</v>
      </c>
      <c r="AQ815" s="48" t="b">
        <v>0</v>
      </c>
      <c r="AR815" s="48">
        <v>0</v>
      </c>
      <c r="AS815" s="48" t="b">
        <v>0</v>
      </c>
      <c r="AT815" s="7" t="b">
        <v>0</v>
      </c>
      <c r="AU815" s="40" t="str" cm="1">
        <f t="array" ref="AU815">_xlfn.XLOOKUP(PROPERTIES[[#This Row],[VEHIDCODE]],GRAPHICS_PROPERTIES[VEHIDCODE],GRAPHICS_PROPERTIES[TEMPLATE_ID]&amp;GRAPHICS_PROPERTIES[TEMPLATE_AMENDMENT_CODE])</f>
        <v>TPL_02C</v>
      </c>
    </row>
    <row r="816" spans="1:47" x14ac:dyDescent="0.35">
      <c r="A816" s="2" t="s">
        <v>3282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0" t="str">
        <f>_xlfn.XLOOKUP(PROPERTIES[[#This Row],[VEHIDCODE]],CONTROL[VEHIDCODE],CONTROL[ENGLISH])</f>
        <v>Bombardier Movia London S Stock</v>
      </c>
      <c r="F816" t="s">
        <v>603</v>
      </c>
      <c r="G816" s="40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22</v>
      </c>
      <c r="J816">
        <f>INT(1350/8)</f>
        <v>168</v>
      </c>
      <c r="K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3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0">
        <v>0</v>
      </c>
      <c r="AA816" s="19">
        <f>IFERROR(PROPERTIES[[#This Row],[TE_STARTING_KN]]/(PROPERTIES[[#This Row],[WEIGHT]]*9.81),0)</f>
        <v>0</v>
      </c>
      <c r="AB816" s="19">
        <v>0.3</v>
      </c>
      <c r="AC816" s="16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6">
        <v>160</v>
      </c>
      <c r="AF816" s="6">
        <v>8</v>
      </c>
      <c r="AG816" t="s">
        <v>234</v>
      </c>
      <c r="AH816" t="s">
        <v>229</v>
      </c>
      <c r="AI816" t="s">
        <v>229</v>
      </c>
      <c r="AJ816" s="2" t="s">
        <v>229</v>
      </c>
      <c r="AK816" s="2" t="s">
        <v>244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44" t="b">
        <v>0</v>
      </c>
      <c r="AP816" s="48" t="b">
        <v>0</v>
      </c>
      <c r="AQ816" s="48" t="b">
        <v>0</v>
      </c>
      <c r="AR816" s="48">
        <v>0</v>
      </c>
      <c r="AS816" s="48" t="b">
        <v>0</v>
      </c>
      <c r="AT816" s="7" t="b">
        <v>0</v>
      </c>
      <c r="AU816" s="40" t="str" cm="1">
        <f t="array" ref="AU816">_xlfn.XLOOKUP(PROPERTIES[[#This Row],[VEHIDCODE]],GRAPHICS_PROPERTIES[VEHIDCODE],GRAPHICS_PROPERTIES[TEMPLATE_ID]&amp;GRAPHICS_PROPERTIES[TEMPLATE_AMENDMENT_CODE])</f>
        <v>TPL_02C</v>
      </c>
    </row>
    <row r="817" spans="1:47" x14ac:dyDescent="0.35">
      <c r="A817" s="2" t="s">
        <v>3283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0" t="str">
        <f>_xlfn.XLOOKUP(PROPERTIES[[#This Row],[VEHIDCODE]],CONTROL[VEHIDCODE],CONTROL[ENGLISH])</f>
        <v>Metro-Cammell London 1972 Stock</v>
      </c>
      <c r="F817" t="s">
        <v>603</v>
      </c>
      <c r="G817" s="40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22</v>
      </c>
      <c r="J817">
        <f>INT(851/7)</f>
        <v>121</v>
      </c>
      <c r="K817">
        <v>7</v>
      </c>
      <c r="L817">
        <v>0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3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0">
        <v>0</v>
      </c>
      <c r="AA817" s="19">
        <f>IFERROR(PROPERTIES[[#This Row],[TE_STARTING_KN]]/(PROPERTIES[[#This Row],[WEIGHT]]*9.81),0)</f>
        <v>0</v>
      </c>
      <c r="AB817" s="19">
        <v>0.25</v>
      </c>
      <c r="AC817" s="16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6">
        <v>120</v>
      </c>
      <c r="AF817" s="6">
        <v>7</v>
      </c>
      <c r="AG817" t="s">
        <v>234</v>
      </c>
      <c r="AH817" t="s">
        <v>229</v>
      </c>
      <c r="AI817" t="s">
        <v>229</v>
      </c>
      <c r="AJ817" s="2" t="s">
        <v>229</v>
      </c>
      <c r="AK817" s="2" t="s">
        <v>244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44" t="b">
        <v>0</v>
      </c>
      <c r="AP817" s="48" t="b">
        <v>0</v>
      </c>
      <c r="AQ817" s="48" t="b">
        <v>0</v>
      </c>
      <c r="AR817" s="48">
        <v>0</v>
      </c>
      <c r="AS817" s="48" t="b">
        <v>0</v>
      </c>
      <c r="AT817" s="7" t="b">
        <v>0</v>
      </c>
      <c r="AU817" s="40" t="str" cm="1">
        <f t="array" ref="AU817">_xlfn.XLOOKUP(PROPERTIES[[#This Row],[VEHIDCODE]],GRAPHICS_PROPERTIES[VEHIDCODE],GRAPHICS_PROPERTIES[TEMPLATE_ID]&amp;GRAPHICS_PROPERTIES[TEMPLATE_AMENDMENT_CODE])</f>
        <v>TPL_02C</v>
      </c>
    </row>
    <row r="818" spans="1:47" x14ac:dyDescent="0.35">
      <c r="A818" s="2" t="s">
        <v>3284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0" t="str">
        <f>_xlfn.XLOOKUP(PROPERTIES[[#This Row],[VEHIDCODE]],CONTROL[VEHIDCODE],CONTROL[ENGLISH])</f>
        <v>Metro-Cammell London 1959 Stock</v>
      </c>
      <c r="F818" t="s">
        <v>603</v>
      </c>
      <c r="G818" s="40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22</v>
      </c>
      <c r="J818">
        <v>105</v>
      </c>
      <c r="K818">
        <v>7</v>
      </c>
      <c r="L818">
        <v>0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3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0">
        <v>0</v>
      </c>
      <c r="AA818" s="19">
        <f>IFERROR(PROPERTIES[[#This Row],[TE_STARTING_KN]]/(PROPERTIES[[#This Row],[WEIGHT]]*9.81),0)</f>
        <v>0</v>
      </c>
      <c r="AB818" s="19">
        <v>0.22</v>
      </c>
      <c r="AC818" s="16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6">
        <v>120</v>
      </c>
      <c r="AF818" s="6">
        <v>7</v>
      </c>
      <c r="AG818" t="s">
        <v>234</v>
      </c>
      <c r="AH818" t="s">
        <v>229</v>
      </c>
      <c r="AI818" t="s">
        <v>229</v>
      </c>
      <c r="AJ818" s="2" t="s">
        <v>229</v>
      </c>
      <c r="AK818" s="2" t="s">
        <v>244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44" t="b">
        <v>0</v>
      </c>
      <c r="AP818" s="48" t="b">
        <v>0</v>
      </c>
      <c r="AQ818" s="48" t="b">
        <v>0</v>
      </c>
      <c r="AR818" s="48">
        <v>0</v>
      </c>
      <c r="AS818" s="48" t="b">
        <v>0</v>
      </c>
      <c r="AT818" s="7" t="b">
        <v>0</v>
      </c>
      <c r="AU818" s="40" t="str" cm="1">
        <f t="array" ref="AU818">_xlfn.XLOOKUP(PROPERTIES[[#This Row],[VEHIDCODE]],GRAPHICS_PROPERTIES[VEHIDCODE],GRAPHICS_PROPERTIES[TEMPLATE_ID]&amp;GRAPHICS_PROPERTIES[TEMPLATE_AMENDMENT_CODE])</f>
        <v>TPL_02C</v>
      </c>
    </row>
    <row r="819" spans="1:47" x14ac:dyDescent="0.35">
      <c r="A819" s="2" t="s">
        <v>3285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0" t="str">
        <f>_xlfn.XLOOKUP(PROPERTIES[[#This Row],[VEHIDCODE]],CONTROL[VEHIDCODE],CONTROL[ENGLISH])</f>
        <v>Kawasaki HI C151</v>
      </c>
      <c r="F819" t="s">
        <v>723</v>
      </c>
      <c r="G819" s="40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22</v>
      </c>
      <c r="J819">
        <v>160</v>
      </c>
      <c r="K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3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0">
        <v>0</v>
      </c>
      <c r="AA819" s="19">
        <f>IFERROR(PROPERTIES[[#This Row],[TE_STARTING_KN]]/(PROPERTIES[[#This Row],[WEIGHT]]*9.81),0)</f>
        <v>0</v>
      </c>
      <c r="AB819" s="19">
        <v>0.3</v>
      </c>
      <c r="AC819" s="16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6">
        <v>160</v>
      </c>
      <c r="AF819" s="6">
        <v>8</v>
      </c>
      <c r="AG819" t="s">
        <v>238</v>
      </c>
      <c r="AH819" t="s">
        <v>229</v>
      </c>
      <c r="AI819" t="s">
        <v>229</v>
      </c>
      <c r="AJ819" s="2" t="s">
        <v>229</v>
      </c>
      <c r="AK819" s="2" t="s">
        <v>244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44" t="b">
        <v>0</v>
      </c>
      <c r="AP819" s="48" t="b">
        <v>0</v>
      </c>
      <c r="AQ819" s="48" t="b">
        <v>0</v>
      </c>
      <c r="AR819" s="48">
        <v>0</v>
      </c>
      <c r="AS819" s="48" t="b">
        <v>0</v>
      </c>
      <c r="AT819" s="7" t="b">
        <v>0</v>
      </c>
      <c r="AU819" s="40" t="str" cm="1">
        <f t="array" ref="AU819">_xlfn.XLOOKUP(PROPERTIES[[#This Row],[VEHIDCODE]],GRAPHICS_PROPERTIES[VEHIDCODE],GRAPHICS_PROPERTIES[TEMPLATE_ID]&amp;GRAPHICS_PROPERTIES[TEMPLATE_AMENDMENT_CODE])</f>
        <v>TPL_02C</v>
      </c>
    </row>
    <row r="820" spans="1:47" x14ac:dyDescent="0.35">
      <c r="A820" s="2" t="s">
        <v>3286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0" t="str">
        <f>_xlfn.XLOOKUP(PROPERTIES[[#This Row],[VEHIDCODE]],CONTROL[VEHIDCODE],CONTROL[ENGLISH])</f>
        <v>Kawasaki HI &amp; Nippon Sharyo C751B</v>
      </c>
      <c r="F820" t="s">
        <v>723</v>
      </c>
      <c r="G820" s="40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22</v>
      </c>
      <c r="J820">
        <v>160</v>
      </c>
      <c r="K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3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0">
        <v>0</v>
      </c>
      <c r="AA820" s="19">
        <f>IFERROR(PROPERTIES[[#This Row],[TE_STARTING_KN]]/(PROPERTIES[[#This Row],[WEIGHT]]*9.81),0)</f>
        <v>0</v>
      </c>
      <c r="AB820" s="19">
        <v>0.3</v>
      </c>
      <c r="AC820" s="16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6">
        <v>160</v>
      </c>
      <c r="AF820" s="6">
        <v>8</v>
      </c>
      <c r="AG820" t="s">
        <v>238</v>
      </c>
      <c r="AH820" t="s">
        <v>229</v>
      </c>
      <c r="AI820" t="s">
        <v>229</v>
      </c>
      <c r="AJ820" s="2" t="s">
        <v>229</v>
      </c>
      <c r="AK820" s="2" t="s">
        <v>244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44" t="b">
        <v>0</v>
      </c>
      <c r="AP820" s="48" t="b">
        <v>0</v>
      </c>
      <c r="AQ820" s="48" t="b">
        <v>0</v>
      </c>
      <c r="AR820" s="48">
        <v>0</v>
      </c>
      <c r="AS820" s="48" t="b">
        <v>0</v>
      </c>
      <c r="AT820" s="7" t="b">
        <v>0</v>
      </c>
      <c r="AU820" s="40" t="str" cm="1">
        <f t="array" ref="AU820">_xlfn.XLOOKUP(PROPERTIES[[#This Row],[VEHIDCODE]],GRAPHICS_PROPERTIES[VEHIDCODE],GRAPHICS_PROPERTIES[TEMPLATE_ID]&amp;GRAPHICS_PROPERTIES[TEMPLATE_AMENDMENT_CODE])</f>
        <v>TPL_02C</v>
      </c>
    </row>
    <row r="821" spans="1:47" x14ac:dyDescent="0.35">
      <c r="A821" s="2" t="s">
        <v>3287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0" t="str">
        <f>_xlfn.XLOOKUP(PROPERTIES[[#This Row],[VEHIDCODE]],CONTROL[VEHIDCODE],CONTROL[ENGLISH])</f>
        <v>Comeng Light Metro Prototype</v>
      </c>
      <c r="F821" t="s">
        <v>541</v>
      </c>
      <c r="G821" s="40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22</v>
      </c>
      <c r="J821">
        <v>100</v>
      </c>
      <c r="K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3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0">
        <v>0</v>
      </c>
      <c r="AA821" s="19">
        <f>IFERROR(PROPERTIES[[#This Row],[TE_STARTING_KN]]/(PROPERTIES[[#This Row],[WEIGHT]]*9.81),0)</f>
        <v>0</v>
      </c>
      <c r="AB821" s="19">
        <v>0.25</v>
      </c>
      <c r="AC821" s="16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6">
        <v>80</v>
      </c>
      <c r="AF821" s="6">
        <v>8</v>
      </c>
      <c r="AG821" t="s">
        <v>232</v>
      </c>
      <c r="AH821" t="s">
        <v>229</v>
      </c>
      <c r="AI821" t="s">
        <v>229</v>
      </c>
      <c r="AJ821" s="2" t="s">
        <v>229</v>
      </c>
      <c r="AK821" s="2" t="s">
        <v>245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44" t="b">
        <v>0</v>
      </c>
      <c r="AP821" s="48" t="b">
        <v>0</v>
      </c>
      <c r="AQ821" s="48" t="b">
        <v>0</v>
      </c>
      <c r="AR821" s="48">
        <v>0</v>
      </c>
      <c r="AS821" s="48" t="b">
        <v>0</v>
      </c>
      <c r="AT821" s="7" t="b">
        <v>0</v>
      </c>
      <c r="AU821" s="40" t="str" cm="1">
        <f t="array" ref="AU821">_xlfn.XLOOKUP(PROPERTIES[[#This Row],[VEHIDCODE]],GRAPHICS_PROPERTIES[VEHIDCODE],GRAPHICS_PROPERTIES[TEMPLATE_ID]&amp;GRAPHICS_PROPERTIES[TEMPLATE_AMENDMENT_CODE])</f>
        <v>TPL_02C</v>
      </c>
    </row>
    <row r="822" spans="1:47" x14ac:dyDescent="0.35">
      <c r="A822" t="s">
        <v>3288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0" t="str">
        <f>_xlfn.XLOOKUP(PROPERTIES[[#This Row],[VEHIDCODE]],CONTROL[VEHIDCODE],CONTROL[ENGLISH])</f>
        <v>Comeng EMU</v>
      </c>
      <c r="F822" t="s">
        <v>541</v>
      </c>
      <c r="G822" s="40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22</v>
      </c>
      <c r="J822">
        <v>127</v>
      </c>
      <c r="K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3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0">
        <v>0</v>
      </c>
      <c r="AA822" s="20">
        <f>IFERROR(PROPERTIES[[#This Row],[TE_STARTING_KN]]/(PROPERTIES[[#This Row],[WEIGHT]]*9.81),0)</f>
        <v>0</v>
      </c>
      <c r="AB822" s="20">
        <v>0.3</v>
      </c>
      <c r="AC822" s="16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6">
        <v>127</v>
      </c>
      <c r="AF822" s="6">
        <v>8</v>
      </c>
      <c r="AG822" t="s">
        <v>232</v>
      </c>
      <c r="AH822" t="s">
        <v>229</v>
      </c>
      <c r="AI822" t="s">
        <v>229</v>
      </c>
      <c r="AJ822" s="2" t="s">
        <v>229</v>
      </c>
      <c r="AK822" s="2" t="s">
        <v>244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44" t="b">
        <v>0</v>
      </c>
      <c r="AP822" s="48" t="b">
        <v>0</v>
      </c>
      <c r="AQ822" s="48" t="b">
        <v>0</v>
      </c>
      <c r="AR822" s="48">
        <v>0</v>
      </c>
      <c r="AS822" s="48" t="b">
        <v>0</v>
      </c>
      <c r="AT822" s="7" t="b">
        <v>0</v>
      </c>
      <c r="AU822" s="40" t="str" cm="1">
        <f t="array" ref="AU822">_xlfn.XLOOKUP(PROPERTIES[[#This Row],[VEHIDCODE]],GRAPHICS_PROPERTIES[VEHIDCODE],GRAPHICS_PROPERTIES[TEMPLATE_ID]&amp;GRAPHICS_PROPERTIES[TEMPLATE_AMENDMENT_CODE])</f>
        <v>TPL_02A</v>
      </c>
    </row>
    <row r="823" spans="1:47" x14ac:dyDescent="0.35">
      <c r="A823" s="2" t="s">
        <v>3289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0" t="str">
        <f>_xlfn.XLOOKUP(PROPERTIES[[#This Row],[VEHIDCODE]],CONTROL[VEHIDCODE],CONTROL[ENGLISH])</f>
        <v>Evolution Rail HCMT Munnel</v>
      </c>
      <c r="F823" t="s">
        <v>541</v>
      </c>
      <c r="G823" s="40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22</v>
      </c>
      <c r="J823">
        <v>160</v>
      </c>
      <c r="K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3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0">
        <v>0</v>
      </c>
      <c r="AA823" s="20">
        <f>IFERROR(PROPERTIES[[#This Row],[TE_STARTING_KN]]/(PROPERTIES[[#This Row],[WEIGHT]]*9.81),0)</f>
        <v>0</v>
      </c>
      <c r="AB823" s="20">
        <v>0.3</v>
      </c>
      <c r="AC823" s="16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6">
        <v>160</v>
      </c>
      <c r="AF823" s="6">
        <v>8</v>
      </c>
      <c r="AG823" t="s">
        <v>232</v>
      </c>
      <c r="AH823" t="s">
        <v>229</v>
      </c>
      <c r="AI823" t="s">
        <v>229</v>
      </c>
      <c r="AJ823" s="2" t="s">
        <v>229</v>
      </c>
      <c r="AK823" s="2" t="s">
        <v>244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44" t="b">
        <v>0</v>
      </c>
      <c r="AP823" s="48" t="b">
        <v>0</v>
      </c>
      <c r="AQ823" s="48" t="b">
        <v>0</v>
      </c>
      <c r="AR823" s="48">
        <v>0</v>
      </c>
      <c r="AS823" s="48" t="b">
        <v>0</v>
      </c>
      <c r="AT823" s="7" t="b">
        <v>0</v>
      </c>
      <c r="AU823" s="40" t="str" cm="1">
        <f t="array" ref="AU823">_xlfn.XLOOKUP(PROPERTIES[[#This Row],[VEHIDCODE]],GRAPHICS_PROPERTIES[VEHIDCODE],GRAPHICS_PROPERTIES[TEMPLATE_ID]&amp;GRAPHICS_PROPERTIES[TEMPLATE_AMENDMENT_CODE])</f>
        <v>TPL_02A</v>
      </c>
    </row>
    <row r="824" spans="1:47" x14ac:dyDescent="0.35">
      <c r="A824" s="2" t="s">
        <v>3290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0" t="str">
        <f>_xlfn.XLOOKUP(PROPERTIES[[#This Row],[VEHIDCODE]],CONTROL[VEHIDCODE],CONTROL[ENGLISH])</f>
        <v>LTZ DR 130</v>
      </c>
      <c r="F824" t="s">
        <v>584</v>
      </c>
      <c r="G824" s="40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17</v>
      </c>
      <c r="J824">
        <v>0</v>
      </c>
      <c r="K824">
        <v>8</v>
      </c>
      <c r="L824">
        <v>0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3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0">
        <v>265</v>
      </c>
      <c r="AA824" s="19">
        <f>IFERROR(PROPERTIES[[#This Row],[TE_STARTING_KN]]/(PROPERTIES[[#This Row],[WEIGHT]]*9.81),0)</f>
        <v>0.23287286020598263</v>
      </c>
      <c r="AB824" s="19">
        <v>0</v>
      </c>
      <c r="AC824" s="16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6">
        <v>0</v>
      </c>
      <c r="AF824" s="6">
        <v>0</v>
      </c>
      <c r="AG824" t="s">
        <v>230</v>
      </c>
      <c r="AH824" t="s">
        <v>1948</v>
      </c>
      <c r="AI824" t="s">
        <v>229</v>
      </c>
      <c r="AJ824" s="2" t="s">
        <v>229</v>
      </c>
      <c r="AK824" s="2" t="s">
        <v>244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44" t="b">
        <v>0</v>
      </c>
      <c r="AP824" s="48" t="b">
        <v>0</v>
      </c>
      <c r="AQ824" s="48" t="b">
        <v>1</v>
      </c>
      <c r="AR824" s="48">
        <v>0</v>
      </c>
      <c r="AS824" s="48" t="b">
        <v>0</v>
      </c>
      <c r="AT824" s="7" t="b">
        <v>1</v>
      </c>
      <c r="AU824" s="40" t="str" cm="1">
        <f t="array" ref="AU824">_xlfn.XLOOKUP(PROPERTIES[[#This Row],[VEHIDCODE]],GRAPHICS_PROPERTIES[VEHIDCODE],GRAPHICS_PROPERTIES[TEMPLATE_ID]&amp;GRAPHICS_PROPERTIES[TEMPLATE_AMENDMENT_CODE])</f>
        <v>TPL_01A</v>
      </c>
    </row>
    <row r="825" spans="1:47" x14ac:dyDescent="0.35">
      <c r="A825" t="s">
        <v>3291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0" t="str">
        <f>_xlfn.XLOOKUP(PROPERTIES[[#This Row],[VEHIDCODE]],CONTROL[VEHIDCODE],CONTROL[ENGLISH])</f>
        <v>GE AC6044CW</v>
      </c>
      <c r="F825" t="s">
        <v>757</v>
      </c>
      <c r="G825" s="40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17</v>
      </c>
      <c r="J825">
        <v>0</v>
      </c>
      <c r="K825">
        <v>8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3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0">
        <v>840</v>
      </c>
      <c r="AA825" s="20">
        <f>IFERROR(PROPERTIES[[#This Row],[TE_STARTING_KN]]/(PROPERTIES[[#This Row],[WEIGHT]]*9.81),0)</f>
        <v>0.43687199650502401</v>
      </c>
      <c r="AB825" s="20">
        <v>0</v>
      </c>
      <c r="AC825" s="16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6">
        <v>0</v>
      </c>
      <c r="AF825" s="6">
        <v>1</v>
      </c>
      <c r="AG825" t="s">
        <v>240</v>
      </c>
      <c r="AH825" t="s">
        <v>232</v>
      </c>
      <c r="AI825" t="s">
        <v>229</v>
      </c>
      <c r="AJ825" s="2" t="s">
        <v>229</v>
      </c>
      <c r="AK825" s="2" t="s">
        <v>244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44" t="b">
        <v>0</v>
      </c>
      <c r="AP825" s="48" t="b">
        <v>0</v>
      </c>
      <c r="AQ825" s="48" t="b">
        <v>1</v>
      </c>
      <c r="AR825" s="48">
        <v>0</v>
      </c>
      <c r="AS825" s="48" t="b">
        <v>0</v>
      </c>
      <c r="AT825" s="7" t="b">
        <v>1</v>
      </c>
      <c r="AU825" s="40" t="str" cm="1">
        <f t="array" ref="AU825">_xlfn.XLOOKUP(PROPERTIES[[#This Row],[VEHIDCODE]],GRAPHICS_PROPERTIES[VEHIDCODE],GRAPHICS_PROPERTIES[TEMPLATE_ID]&amp;GRAPHICS_PROPERTIES[TEMPLATE_AMENDMENT_CODE])</f>
        <v>TPL_16A</v>
      </c>
    </row>
    <row r="826" spans="1:47" x14ac:dyDescent="0.35">
      <c r="A826" s="2" t="s">
        <v>3609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0" t="str">
        <f>_xlfn.XLOOKUP(PROPERTIES[[#This Row],[VEHIDCODE]],CONTROL[VEHIDCODE],CONTROL[ENGLISH])</f>
        <v>GE AC6000CW</v>
      </c>
      <c r="F826" t="s">
        <v>757</v>
      </c>
      <c r="G826" s="40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17</v>
      </c>
      <c r="J826">
        <v>0</v>
      </c>
      <c r="K826">
        <v>8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3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0">
        <v>840</v>
      </c>
      <c r="AA826" s="20">
        <f>IFERROR(PROPERTIES[[#This Row],[TE_STARTING_KN]]/(PROPERTIES[[#This Row],[WEIGHT]]*9.81),0)</f>
        <v>0.43687199650502401</v>
      </c>
      <c r="AB826" s="20">
        <v>0</v>
      </c>
      <c r="AC826" s="16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6">
        <v>0</v>
      </c>
      <c r="AF826" s="6">
        <v>1</v>
      </c>
      <c r="AG826" t="s">
        <v>240</v>
      </c>
      <c r="AH826" t="s">
        <v>232</v>
      </c>
      <c r="AI826" t="s">
        <v>229</v>
      </c>
      <c r="AJ826" s="2" t="s">
        <v>229</v>
      </c>
      <c r="AK826" s="2" t="s">
        <v>244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44" t="b">
        <v>0</v>
      </c>
      <c r="AP826" s="48" t="b">
        <v>0</v>
      </c>
      <c r="AQ826" s="48" t="b">
        <v>0</v>
      </c>
      <c r="AR826" s="48">
        <v>0</v>
      </c>
      <c r="AS826" s="48" t="b">
        <v>0</v>
      </c>
      <c r="AT826" s="7" t="b">
        <v>0</v>
      </c>
      <c r="AU826" s="40" t="str" cm="1">
        <f t="array" ref="AU826">_xlfn.XLOOKUP(PROPERTIES[[#This Row],[VEHIDCODE]],GRAPHICS_PROPERTIES[VEHIDCODE],GRAPHICS_PROPERTIES[TEMPLATE_ID]&amp;GRAPHICS_PROPERTIES[TEMPLATE_AMENDMENT_CODE])</f>
        <v>TPL_16A</v>
      </c>
    </row>
    <row r="827" spans="1:47" x14ac:dyDescent="0.35">
      <c r="A827" s="2" t="s">
        <v>3292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0" t="str">
        <f>_xlfn.XLOOKUP(PROPERTIES[[#This Row],[VEHIDCODE]],CONTROL[VEHIDCODE],CONTROL[ENGLISH])</f>
        <v>Robert Stephenson and Co 2-2-2 192</v>
      </c>
      <c r="F827" t="s">
        <v>592</v>
      </c>
      <c r="G827" s="40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17</v>
      </c>
      <c r="J827">
        <v>0</v>
      </c>
      <c r="K827">
        <v>4</v>
      </c>
      <c r="L827">
        <v>0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3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0">
        <v>33</v>
      </c>
      <c r="AA827" s="19">
        <f>IFERROR(PROPERTIES[[#This Row],[TE_STARTING_KN]]/(PROPERTIES[[#This Row],[WEIGHT]]*9.81),0)</f>
        <v>5.6065239551478081E-2</v>
      </c>
      <c r="AB827" s="19">
        <v>0</v>
      </c>
      <c r="AC827" s="16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6">
        <v>0</v>
      </c>
      <c r="AF827" s="6">
        <v>3</v>
      </c>
      <c r="AG827" t="s">
        <v>233</v>
      </c>
      <c r="AH827" t="s">
        <v>229</v>
      </c>
      <c r="AI827" t="s">
        <v>229</v>
      </c>
      <c r="AJ827" s="2" t="s">
        <v>229</v>
      </c>
      <c r="AK827" s="2" t="s">
        <v>244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44" t="b">
        <v>0</v>
      </c>
      <c r="AP827" s="48" t="b">
        <v>0</v>
      </c>
      <c r="AQ827" s="48" t="b">
        <v>0</v>
      </c>
      <c r="AR827" s="48">
        <v>0</v>
      </c>
      <c r="AS827" s="48" t="b">
        <v>0</v>
      </c>
      <c r="AT827" s="7" t="b">
        <v>0</v>
      </c>
      <c r="AU827" s="40" t="str" cm="1">
        <f t="array" ref="AU827">_xlfn.XLOOKUP(PROPERTIES[[#This Row],[VEHIDCODE]],GRAPHICS_PROPERTIES[VEHIDCODE],GRAPHICS_PROPERTIES[TEMPLATE_ID]&amp;GRAPHICS_PROPERTIES[TEMPLATE_AMENDMENT_CODE])</f>
        <v>TPL_03A</v>
      </c>
    </row>
    <row r="828" spans="1:47" x14ac:dyDescent="0.35">
      <c r="A828" s="2" t="s">
        <v>3293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0" t="str">
        <f>_xlfn.XLOOKUP(PROPERTIES[[#This Row],[VEHIDCODE]],CONTROL[VEHIDCODE],CONTROL[ENGLISH])</f>
        <v>Comeng/MK Hitachi Trains</v>
      </c>
      <c r="F828" t="s">
        <v>541</v>
      </c>
      <c r="G828" s="40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22</v>
      </c>
      <c r="J828">
        <v>160</v>
      </c>
      <c r="K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3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0">
        <v>0</v>
      </c>
      <c r="AA828" s="20">
        <f>IFERROR(PROPERTIES[[#This Row],[TE_STARTING_KN]]/(PROPERTIES[[#This Row],[WEIGHT]]*9.81),0)</f>
        <v>0</v>
      </c>
      <c r="AB828" s="20">
        <v>0.3</v>
      </c>
      <c r="AC828" s="16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6">
        <v>160</v>
      </c>
      <c r="AF828" s="6">
        <v>8</v>
      </c>
      <c r="AG828" t="s">
        <v>232</v>
      </c>
      <c r="AH828" t="s">
        <v>229</v>
      </c>
      <c r="AI828" t="s">
        <v>229</v>
      </c>
      <c r="AJ828" s="2" t="s">
        <v>229</v>
      </c>
      <c r="AK828" s="2" t="s">
        <v>244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44" t="b">
        <v>0</v>
      </c>
      <c r="AP828" s="48" t="b">
        <v>0</v>
      </c>
      <c r="AQ828" s="48" t="b">
        <v>0</v>
      </c>
      <c r="AR828" s="48">
        <v>0</v>
      </c>
      <c r="AS828" s="48" t="b">
        <v>0</v>
      </c>
      <c r="AT828" s="7" t="b">
        <v>0</v>
      </c>
      <c r="AU828" s="40" t="str" cm="1">
        <f t="array" ref="AU828">_xlfn.XLOOKUP(PROPERTIES[[#This Row],[VEHIDCODE]],GRAPHICS_PROPERTIES[VEHIDCODE],GRAPHICS_PROPERTIES[TEMPLATE_ID]&amp;GRAPHICS_PROPERTIES[TEMPLATE_AMENDMENT_CODE])</f>
        <v>TPL_02A</v>
      </c>
    </row>
    <row r="829" spans="1:47" x14ac:dyDescent="0.35">
      <c r="A829" s="2" t="s">
        <v>3294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0" t="str">
        <f>_xlfn.XLOOKUP(PROPERTIES[[#This Row],[VEHIDCODE]],CONTROL[VEHIDCODE],CONTROL[ENGLISH])</f>
        <v>GRC&amp;W Harris Trains</v>
      </c>
      <c r="F829" t="s">
        <v>541</v>
      </c>
      <c r="G829" s="40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22</v>
      </c>
      <c r="J829">
        <v>101</v>
      </c>
      <c r="K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3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0">
        <v>0</v>
      </c>
      <c r="AA829" s="20">
        <f>IFERROR(PROPERTIES[[#This Row],[TE_STARTING_KN]]/(PROPERTIES[[#This Row],[WEIGHT]]*9.81),0)</f>
        <v>0</v>
      </c>
      <c r="AB829" s="20">
        <v>0.3</v>
      </c>
      <c r="AC829" s="16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6">
        <v>100</v>
      </c>
      <c r="AF829" s="6">
        <v>8</v>
      </c>
      <c r="AG829" t="s">
        <v>232</v>
      </c>
      <c r="AH829" t="s">
        <v>229</v>
      </c>
      <c r="AI829" t="s">
        <v>229</v>
      </c>
      <c r="AJ829" s="2" t="s">
        <v>229</v>
      </c>
      <c r="AK829" s="2" t="s">
        <v>244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44" t="b">
        <v>0</v>
      </c>
      <c r="AP829" s="48" t="b">
        <v>0</v>
      </c>
      <c r="AQ829" s="48" t="b">
        <v>0</v>
      </c>
      <c r="AR829" s="48">
        <v>0</v>
      </c>
      <c r="AS829" s="48" t="b">
        <v>0</v>
      </c>
      <c r="AT829" s="7" t="b">
        <v>0</v>
      </c>
      <c r="AU829" s="40" t="str" cm="1">
        <f t="array" ref="AU829">_xlfn.XLOOKUP(PROPERTIES[[#This Row],[VEHIDCODE]],GRAPHICS_PROPERTIES[VEHIDCODE],GRAPHICS_PROPERTIES[TEMPLATE_ID]&amp;GRAPHICS_PROPERTIES[TEMPLATE_AMENDMENT_CODE])</f>
        <v>TPL_02A</v>
      </c>
    </row>
    <row r="830" spans="1:47" x14ac:dyDescent="0.35">
      <c r="A830" s="2" t="s">
        <v>3295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0" t="str">
        <f>_xlfn.XLOOKUP(PROPERTIES[[#This Row],[VEHIDCODE]],CONTROL[VEHIDCODE],CONTROL[ENGLISH])</f>
        <v>Siemens Nexas</v>
      </c>
      <c r="F830" t="s">
        <v>541</v>
      </c>
      <c r="G830" s="40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22</v>
      </c>
      <c r="J830">
        <v>142</v>
      </c>
      <c r="K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3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0">
        <v>0</v>
      </c>
      <c r="AA830" s="20">
        <f>IFERROR(PROPERTIES[[#This Row],[TE_STARTING_KN]]/(PROPERTIES[[#This Row],[WEIGHT]]*9.81),0)</f>
        <v>0</v>
      </c>
      <c r="AB830" s="20">
        <v>0.3</v>
      </c>
      <c r="AC830" s="16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6">
        <v>140</v>
      </c>
      <c r="AF830" s="6">
        <v>8</v>
      </c>
      <c r="AG830" t="s">
        <v>232</v>
      </c>
      <c r="AH830" t="s">
        <v>229</v>
      </c>
      <c r="AI830" t="s">
        <v>229</v>
      </c>
      <c r="AJ830" s="2" t="s">
        <v>229</v>
      </c>
      <c r="AK830" s="2" t="s">
        <v>244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44" t="b">
        <v>0</v>
      </c>
      <c r="AP830" s="48" t="b">
        <v>0</v>
      </c>
      <c r="AQ830" s="48" t="b">
        <v>0</v>
      </c>
      <c r="AR830" s="48">
        <v>0</v>
      </c>
      <c r="AS830" s="48" t="b">
        <v>0</v>
      </c>
      <c r="AT830" s="7" t="b">
        <v>0</v>
      </c>
      <c r="AU830" s="40" t="str" cm="1">
        <f t="array" ref="AU830">_xlfn.XLOOKUP(PROPERTIES[[#This Row],[VEHIDCODE]],GRAPHICS_PROPERTIES[VEHIDCODE],GRAPHICS_PROPERTIES[TEMPLATE_ID]&amp;GRAPHICS_PROPERTIES[TEMPLATE_AMENDMENT_CODE])</f>
        <v>TPL_02A</v>
      </c>
    </row>
    <row r="831" spans="1:47" x14ac:dyDescent="0.35">
      <c r="A831" s="2" t="s">
        <v>3296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0" t="str">
        <f>_xlfn.XLOOKUP(PROPERTIES[[#This Row],[VEHIDCODE]],CONTROL[VEHIDCODE],CONTROL[ENGLISH])</f>
        <v>Victorian Railways Tait Trains</v>
      </c>
      <c r="F831" t="s">
        <v>541</v>
      </c>
      <c r="G831" s="40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22</v>
      </c>
      <c r="J831">
        <v>72</v>
      </c>
      <c r="K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3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0">
        <v>0</v>
      </c>
      <c r="AA831" s="20">
        <f>IFERROR(PROPERTIES[[#This Row],[TE_STARTING_KN]]/(PROPERTIES[[#This Row],[WEIGHT]]*9.81),0)</f>
        <v>0</v>
      </c>
      <c r="AB831" s="20">
        <v>0.2</v>
      </c>
      <c r="AC831" s="16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6">
        <v>72</v>
      </c>
      <c r="AF831" s="6">
        <v>8</v>
      </c>
      <c r="AG831" t="s">
        <v>232</v>
      </c>
      <c r="AH831" t="s">
        <v>229</v>
      </c>
      <c r="AI831" t="s">
        <v>229</v>
      </c>
      <c r="AJ831" s="2" t="s">
        <v>229</v>
      </c>
      <c r="AK831" s="2" t="s">
        <v>244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44" t="b">
        <v>0</v>
      </c>
      <c r="AP831" s="48" t="b">
        <v>0</v>
      </c>
      <c r="AQ831" s="48" t="b">
        <v>0</v>
      </c>
      <c r="AR831" s="48">
        <v>0</v>
      </c>
      <c r="AS831" s="48" t="b">
        <v>0</v>
      </c>
      <c r="AT831" s="7" t="b">
        <v>0</v>
      </c>
      <c r="AU831" s="40" t="str" cm="1">
        <f t="array" ref="AU831">_xlfn.XLOOKUP(PROPERTIES[[#This Row],[VEHIDCODE]],GRAPHICS_PROPERTIES[VEHIDCODE],GRAPHICS_PROPERTIES[TEMPLATE_ID]&amp;GRAPHICS_PROPERTIES[TEMPLATE_AMENDMENT_CODE])</f>
        <v>TPL_02A</v>
      </c>
    </row>
    <row r="832" spans="1:47" x14ac:dyDescent="0.35">
      <c r="A832" s="2" t="s">
        <v>3297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0" t="str">
        <f>_xlfn.XLOOKUP(PROPERTIES[[#This Row],[VEHIDCODE]],CONTROL[VEHIDCODE],CONTROL[ENGLISH])</f>
        <v>ABB Henschel Berlin BVG F74</v>
      </c>
      <c r="F832" t="s">
        <v>584</v>
      </c>
      <c r="G832" s="40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22</v>
      </c>
      <c r="J832">
        <f>234/2</f>
        <v>117</v>
      </c>
      <c r="K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3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0">
        <v>0</v>
      </c>
      <c r="AA832" s="19">
        <f>IFERROR(PROPERTIES[[#This Row],[TE_STARTING_KN]]/(PROPERTIES[[#This Row],[WEIGHT]]*9.81),0)</f>
        <v>0</v>
      </c>
      <c r="AB832" s="19">
        <v>0.25</v>
      </c>
      <c r="AC832" s="16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6">
        <v>117</v>
      </c>
      <c r="AF832" s="6">
        <v>8</v>
      </c>
      <c r="AG832" t="s">
        <v>230</v>
      </c>
      <c r="AH832" t="s">
        <v>229</v>
      </c>
      <c r="AI832" t="s">
        <v>229</v>
      </c>
      <c r="AJ832" s="2" t="s">
        <v>229</v>
      </c>
      <c r="AK832" s="2" t="s">
        <v>244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44" t="b">
        <v>0</v>
      </c>
      <c r="AP832" s="48" t="b">
        <v>0</v>
      </c>
      <c r="AQ832" s="48" t="b">
        <v>0</v>
      </c>
      <c r="AR832" s="48">
        <v>0</v>
      </c>
      <c r="AS832" s="48" t="b">
        <v>0</v>
      </c>
      <c r="AT832" s="7" t="b">
        <v>0</v>
      </c>
      <c r="AU832" s="40" t="str" cm="1">
        <f t="array" ref="AU832">_xlfn.XLOOKUP(PROPERTIES[[#This Row],[VEHIDCODE]],GRAPHICS_PROPERTIES[VEHIDCODE],GRAPHICS_PROPERTIES[TEMPLATE_ID]&amp;GRAPHICS_PROPERTIES[TEMPLATE_AMENDMENT_CODE])</f>
        <v>TPL_02C</v>
      </c>
    </row>
    <row r="833" spans="1:47" x14ac:dyDescent="0.35">
      <c r="A833" s="2" t="s">
        <v>3298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0" t="str">
        <f>_xlfn.XLOOKUP(PROPERTIES[[#This Row],[VEHIDCODE]],CONTROL[VEHIDCODE],CONTROL[ENGLISH])</f>
        <v>Adtranz Berlin BVG H</v>
      </c>
      <c r="F833" t="s">
        <v>584</v>
      </c>
      <c r="G833" s="40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22</v>
      </c>
      <c r="J833">
        <f>INT((168+580)/6)</f>
        <v>124</v>
      </c>
      <c r="K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3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0">
        <v>0</v>
      </c>
      <c r="AA833" s="20">
        <f>IFERROR(PROPERTIES[[#This Row],[TE_STARTING_KN]]/(PROPERTIES[[#This Row],[WEIGHT]]*9.81),0)</f>
        <v>0</v>
      </c>
      <c r="AB833" s="20">
        <v>0.3</v>
      </c>
      <c r="AC833" s="16">
        <f>ROUND(IF(IFERROR(PROPERTIES[[#This Row],[TE_COEFFICIENT_CALC]],0)=0,PROPERTIES[[#This Row],[TE_COEFFICIENT_MANUAL]],PROPERTIES[[#This Row],[TE_COEFFICIENT_CALC]]),3)</f>
        <v>0.3</v>
      </c>
      <c r="AD833" s="27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5">
        <f>INT((168+580)/6)</f>
        <v>124</v>
      </c>
      <c r="AF833" s="6">
        <v>8</v>
      </c>
      <c r="AG833" t="s">
        <v>230</v>
      </c>
      <c r="AH833" t="s">
        <v>229</v>
      </c>
      <c r="AI833" t="s">
        <v>229</v>
      </c>
      <c r="AJ833" s="2" t="s">
        <v>229</v>
      </c>
      <c r="AK833" s="2" t="s">
        <v>244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44" t="b">
        <v>0</v>
      </c>
      <c r="AP833" s="48" t="b">
        <v>0</v>
      </c>
      <c r="AQ833" s="48" t="b">
        <v>0</v>
      </c>
      <c r="AR833" s="48">
        <v>0</v>
      </c>
      <c r="AS833" s="48" t="b">
        <v>0</v>
      </c>
      <c r="AT833" s="7" t="b">
        <v>0</v>
      </c>
      <c r="AU833" s="40" t="str" cm="1">
        <f t="array" ref="AU833">_xlfn.XLOOKUP(PROPERTIES[[#This Row],[VEHIDCODE]],GRAPHICS_PROPERTIES[VEHIDCODE],GRAPHICS_PROPERTIES[TEMPLATE_ID]&amp;GRAPHICS_PROPERTIES[TEMPLATE_AMENDMENT_CODE])</f>
        <v>TPL_02C</v>
      </c>
    </row>
    <row r="834" spans="1:47" x14ac:dyDescent="0.35">
      <c r="A834" s="2" t="s">
        <v>3299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0" t="str">
        <f>_xlfn.XLOOKUP(PROPERTIES[[#This Row],[VEHIDCODE]],CONTROL[VEHIDCODE],CONTROL[ENGLISH])</f>
        <v>LB&amp;SCR BRW 0-6-0T 'A1'</v>
      </c>
      <c r="F834" t="s">
        <v>603</v>
      </c>
      <c r="G834" s="40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17</v>
      </c>
      <c r="J834">
        <v>0</v>
      </c>
      <c r="K834">
        <v>5</v>
      </c>
      <c r="L834">
        <v>0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3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0">
        <v>34</v>
      </c>
      <c r="AA834" s="20">
        <f>IFERROR(PROPERTIES[[#This Row],[TE_STARTING_KN]]/(PROPERTIES[[#This Row],[WEIGHT]]*9.81),0)</f>
        <v>0.12378039900975681</v>
      </c>
      <c r="AB834" s="20">
        <v>0</v>
      </c>
      <c r="AC834" s="16">
        <f>ROUND(IF(IFERROR(PROPERTIES[[#This Row],[TE_COEFFICIENT_CALC]],0)=0,PROPERTIES[[#This Row],[TE_COEFFICIENT_MANUAL]],PROPERTIES[[#This Row],[TE_COEFFICIENT_CALC]]),3)</f>
        <v>0.124</v>
      </c>
      <c r="AD834" s="27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6">
        <v>0</v>
      </c>
      <c r="AF834" s="6">
        <v>0</v>
      </c>
      <c r="AG834" t="s">
        <v>234</v>
      </c>
      <c r="AH834" t="s">
        <v>232</v>
      </c>
      <c r="AI834" t="s">
        <v>229</v>
      </c>
      <c r="AJ834" s="2" t="s">
        <v>229</v>
      </c>
      <c r="AK834" s="2" t="s">
        <v>244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44" t="b">
        <v>0</v>
      </c>
      <c r="AP834" s="48" t="b">
        <v>0</v>
      </c>
      <c r="AQ834" s="48" t="b">
        <v>0</v>
      </c>
      <c r="AR834" s="48">
        <v>0</v>
      </c>
      <c r="AS834" s="48" t="b">
        <v>0</v>
      </c>
      <c r="AT834" s="7" t="b">
        <v>0</v>
      </c>
      <c r="AU834" s="40" t="str" cm="1">
        <f t="array" ref="AU834">_xlfn.XLOOKUP(PROPERTIES[[#This Row],[VEHIDCODE]],GRAPHICS_PROPERTIES[VEHIDCODE],GRAPHICS_PROPERTIES[TEMPLATE_ID]&amp;GRAPHICS_PROPERTIES[TEMPLATE_AMENDMENT_CODE])</f>
        <v>TPL_03C</v>
      </c>
    </row>
    <row r="835" spans="1:47" x14ac:dyDescent="0.35">
      <c r="A835" s="2" t="s">
        <v>3300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0" t="str">
        <f>_xlfn.XLOOKUP(PROPERTIES[[#This Row],[VEHIDCODE]],CONTROL[VEHIDCODE],CONTROL[ENGLISH])</f>
        <v>BP 4-6-4T 4444-4478 'C30'</v>
      </c>
      <c r="F835" t="s">
        <v>541</v>
      </c>
      <c r="G835" s="40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17</v>
      </c>
      <c r="J835">
        <v>0</v>
      </c>
      <c r="K835">
        <v>6</v>
      </c>
      <c r="L835">
        <v>0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3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0">
        <v>95</v>
      </c>
      <c r="AA835" s="20">
        <f>IFERROR(PROPERTIES[[#This Row],[TE_STARTING_KN]]/(PROPERTIES[[#This Row],[WEIGHT]]*9.81),0)</f>
        <v>0.2252092075006519</v>
      </c>
      <c r="AB835" s="20">
        <v>0</v>
      </c>
      <c r="AC835" s="16">
        <f>ROUND(IF(IFERROR(PROPERTIES[[#This Row],[TE_COEFFICIENT_CALC]],0)=0,PROPERTIES[[#This Row],[TE_COEFFICIENT_MANUAL]],PROPERTIES[[#This Row],[TE_COEFFICIENT_CALC]]),3)</f>
        <v>0.22500000000000001</v>
      </c>
      <c r="AD835" s="27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6">
        <v>0</v>
      </c>
      <c r="AF835" s="6">
        <v>0</v>
      </c>
      <c r="AG835" t="s">
        <v>232</v>
      </c>
      <c r="AH835" t="s">
        <v>229</v>
      </c>
      <c r="AI835" t="s">
        <v>229</v>
      </c>
      <c r="AJ835" s="2" t="s">
        <v>229</v>
      </c>
      <c r="AK835" s="2" t="s">
        <v>244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44" t="b">
        <v>0</v>
      </c>
      <c r="AP835" s="48" t="b">
        <v>0</v>
      </c>
      <c r="AQ835" s="48" t="b">
        <v>0</v>
      </c>
      <c r="AR835" s="48">
        <v>0</v>
      </c>
      <c r="AS835" s="48" t="b">
        <v>0</v>
      </c>
      <c r="AT835" s="7" t="b">
        <v>0</v>
      </c>
      <c r="AU835" s="40" t="str" cm="1">
        <f t="array" ref="AU835">_xlfn.XLOOKUP(PROPERTIES[[#This Row],[VEHIDCODE]],GRAPHICS_PROPERTIES[VEHIDCODE],GRAPHICS_PROPERTIES[TEMPLATE_ID]&amp;GRAPHICS_PROPERTIES[TEMPLATE_AMENDMENT_CODE])</f>
        <v>TPL_03C</v>
      </c>
    </row>
    <row r="836" spans="1:47" x14ac:dyDescent="0.35">
      <c r="A836" s="2" t="s">
        <v>3301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0" t="str">
        <f>_xlfn.XLOOKUP(PROPERTIES[[#This Row],[VEHIDCODE]],CONTROL[VEHIDCODE],CONTROL[ENGLISH])</f>
        <v>BP/Baldwin/Clyde 4-6-0 'C32'</v>
      </c>
      <c r="F836" t="s">
        <v>541</v>
      </c>
      <c r="G836" s="40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17</v>
      </c>
      <c r="J836">
        <v>0</v>
      </c>
      <c r="K836">
        <v>5</v>
      </c>
      <c r="L836">
        <v>0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3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0">
        <v>115</v>
      </c>
      <c r="AA836" s="20">
        <f>IFERROR(PROPERTIES[[#This Row],[TE_STARTING_KN]]/(PROPERTIES[[#This Row],[WEIGHT]]*9.81),0)</f>
        <v>0.18316768603465849</v>
      </c>
      <c r="AB836" s="20">
        <v>0</v>
      </c>
      <c r="AC836" s="16">
        <f>ROUND(IF(IFERROR(PROPERTIES[[#This Row],[TE_COEFFICIENT_CALC]],0)=0,PROPERTIES[[#This Row],[TE_COEFFICIENT_MANUAL]],PROPERTIES[[#This Row],[TE_COEFFICIENT_CALC]]),3)</f>
        <v>0.183</v>
      </c>
      <c r="AD836" s="27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6">
        <v>0</v>
      </c>
      <c r="AF836" s="6">
        <v>4</v>
      </c>
      <c r="AG836" t="s">
        <v>232</v>
      </c>
      <c r="AH836" t="s">
        <v>229</v>
      </c>
      <c r="AI836" t="s">
        <v>229</v>
      </c>
      <c r="AJ836" s="2" t="s">
        <v>229</v>
      </c>
      <c r="AK836" s="2" t="s">
        <v>244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44" t="b">
        <v>0</v>
      </c>
      <c r="AP836" s="48" t="b">
        <v>0</v>
      </c>
      <c r="AQ836" s="48" t="b">
        <v>0</v>
      </c>
      <c r="AR836" s="48">
        <v>0</v>
      </c>
      <c r="AS836" s="48" t="b">
        <v>0</v>
      </c>
      <c r="AT836" s="7" t="b">
        <v>0</v>
      </c>
      <c r="AU836" s="40" t="str" cm="1">
        <f t="array" ref="AU836">_xlfn.XLOOKUP(PROPERTIES[[#This Row],[VEHIDCODE]],GRAPHICS_PROPERTIES[VEHIDCODE],GRAPHICS_PROPERTIES[TEMPLATE_ID]&amp;GRAPHICS_PROPERTIES[TEMPLATE_AMENDMENT_CODE])</f>
        <v>TPL_03A</v>
      </c>
    </row>
    <row r="837" spans="1:47" x14ac:dyDescent="0.35">
      <c r="A837" s="2" t="s">
        <v>3302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0" t="str">
        <f>_xlfn.XLOOKUP(PROPERTIES[[#This Row],[VEHIDCODE]],CONTROL[VEHIDCODE],CONTROL[ENGLISH])</f>
        <v>BP/NBLC 2-8-0 'D50'</v>
      </c>
      <c r="F837" t="s">
        <v>541</v>
      </c>
      <c r="G837" s="40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17</v>
      </c>
      <c r="J837">
        <v>0</v>
      </c>
      <c r="K837">
        <v>5</v>
      </c>
      <c r="L837">
        <v>0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3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0">
        <v>136</v>
      </c>
      <c r="AA837" s="20">
        <f>IFERROR(PROPERTIES[[#This Row],[TE_STARTING_KN]]/(PROPERTIES[[#This Row],[WEIGHT]]*9.81),0)</f>
        <v>0.22005404268401207</v>
      </c>
      <c r="AB837" s="20">
        <v>0</v>
      </c>
      <c r="AC837" s="16">
        <f>ROUND(IF(IFERROR(PROPERTIES[[#This Row],[TE_COEFFICIENT_CALC]],0)=0,PROPERTIES[[#This Row],[TE_COEFFICIENT_MANUAL]],PROPERTIES[[#This Row],[TE_COEFFICIENT_CALC]]),3)</f>
        <v>0.22</v>
      </c>
      <c r="AD837" s="27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6">
        <v>0</v>
      </c>
      <c r="AF837" s="6">
        <v>4</v>
      </c>
      <c r="AG837" t="s">
        <v>232</v>
      </c>
      <c r="AH837" t="s">
        <v>229</v>
      </c>
      <c r="AI837" t="s">
        <v>229</v>
      </c>
      <c r="AJ837" s="2" t="s">
        <v>229</v>
      </c>
      <c r="AK837" s="2" t="s">
        <v>244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44" t="b">
        <v>0</v>
      </c>
      <c r="AP837" s="48" t="b">
        <v>0</v>
      </c>
      <c r="AQ837" s="48" t="b">
        <v>0</v>
      </c>
      <c r="AR837" s="48">
        <v>0</v>
      </c>
      <c r="AS837" s="48" t="b">
        <v>0</v>
      </c>
      <c r="AT837" s="7" t="b">
        <v>0</v>
      </c>
      <c r="AU837" s="40" t="str" cm="1">
        <f t="array" ref="AU837">_xlfn.XLOOKUP(PROPERTIES[[#This Row],[VEHIDCODE]],GRAPHICS_PROPERTIES[VEHIDCODE],GRAPHICS_PROPERTIES[TEMPLATE_ID]&amp;GRAPHICS_PROPERTIES[TEMPLATE_AMENDMENT_CODE])</f>
        <v>TPL_03A</v>
      </c>
    </row>
    <row r="838" spans="1:47" x14ac:dyDescent="0.35">
      <c r="A838" s="2" t="s">
        <v>3303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0" t="str">
        <f>_xlfn.XLOOKUP(PROPERTIES[[#This Row],[VEHIDCODE]],CONTROL[VEHIDCODE],CONTROL[ENGLISH])</f>
        <v>BP/Dubs 4-4-0 'Z12'</v>
      </c>
      <c r="F838" t="s">
        <v>541</v>
      </c>
      <c r="G838" s="40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17</v>
      </c>
      <c r="J838">
        <v>0</v>
      </c>
      <c r="K838">
        <v>5</v>
      </c>
      <c r="L838">
        <v>0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3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0">
        <v>62.4</v>
      </c>
      <c r="AA838" s="20">
        <f>IFERROR(PROPERTIES[[#This Row],[TE_STARTING_KN]]/(PROPERTIES[[#This Row],[WEIGHT]]*9.81),0)</f>
        <v>0.15902140672782872</v>
      </c>
      <c r="AB838" s="20">
        <v>0</v>
      </c>
      <c r="AC838" s="16">
        <f>ROUND(IF(IFERROR(PROPERTIES[[#This Row],[TE_COEFFICIENT_CALC]],0)=0,PROPERTIES[[#This Row],[TE_COEFFICIENT_MANUAL]],PROPERTIES[[#This Row],[TE_COEFFICIENT_CALC]]),3)</f>
        <v>0.159</v>
      </c>
      <c r="AD838" s="27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6">
        <v>0</v>
      </c>
      <c r="AF838" s="6">
        <v>3</v>
      </c>
      <c r="AG838" t="s">
        <v>232</v>
      </c>
      <c r="AH838" t="s">
        <v>229</v>
      </c>
      <c r="AI838" t="s">
        <v>229</v>
      </c>
      <c r="AJ838" s="2" t="s">
        <v>229</v>
      </c>
      <c r="AK838" s="2" t="s">
        <v>244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44" t="b">
        <v>0</v>
      </c>
      <c r="AP838" s="48" t="b">
        <v>0</v>
      </c>
      <c r="AQ838" s="48" t="b">
        <v>0</v>
      </c>
      <c r="AR838" s="48">
        <v>0</v>
      </c>
      <c r="AS838" s="48" t="b">
        <v>0</v>
      </c>
      <c r="AT838" s="7" t="b">
        <v>0</v>
      </c>
      <c r="AU838" s="40" t="str" cm="1">
        <f t="array" ref="AU838">_xlfn.XLOOKUP(PROPERTIES[[#This Row],[VEHIDCODE]],GRAPHICS_PROPERTIES[VEHIDCODE],GRAPHICS_PROPERTIES[TEMPLATE_ID]&amp;GRAPHICS_PROPERTIES[TEMPLATE_AMENDMENT_CODE])</f>
        <v>TPL_03A</v>
      </c>
    </row>
    <row r="839" spans="1:47" x14ac:dyDescent="0.35">
      <c r="A839" s="2" t="s">
        <v>3304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0" t="str">
        <f>_xlfn.XLOOKUP(PROPERTIES[[#This Row],[VEHIDCODE]],CONTROL[VEHIDCODE],CONTROL[ENGLISH])</f>
        <v>BP 0-6-0 'Z19'</v>
      </c>
      <c r="F839" t="s">
        <v>541</v>
      </c>
      <c r="G839" s="40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17</v>
      </c>
      <c r="J839">
        <v>0</v>
      </c>
      <c r="K839">
        <v>5</v>
      </c>
      <c r="L839">
        <v>0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3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0">
        <v>79.599999999999994</v>
      </c>
      <c r="AA839" s="20">
        <f>IFERROR(PROPERTIES[[#This Row],[TE_STARTING_KN]]/(PROPERTIES[[#This Row],[WEIGHT]]*9.81),0)</f>
        <v>0.23865203573784249</v>
      </c>
      <c r="AB839" s="20">
        <v>0</v>
      </c>
      <c r="AC839" s="16">
        <f>ROUND(IF(IFERROR(PROPERTIES[[#This Row],[TE_COEFFICIENT_CALC]],0)=0,PROPERTIES[[#This Row],[TE_COEFFICIENT_MANUAL]],PROPERTIES[[#This Row],[TE_COEFFICIENT_CALC]]),3)</f>
        <v>0.23899999999999999</v>
      </c>
      <c r="AD839" s="27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6">
        <v>0</v>
      </c>
      <c r="AF839" s="6">
        <v>3</v>
      </c>
      <c r="AG839" t="s">
        <v>232</v>
      </c>
      <c r="AH839" t="s">
        <v>229</v>
      </c>
      <c r="AI839" t="s">
        <v>229</v>
      </c>
      <c r="AJ839" s="2" t="s">
        <v>229</v>
      </c>
      <c r="AK839" s="2" t="s">
        <v>244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44" t="b">
        <v>0</v>
      </c>
      <c r="AP839" s="48" t="b">
        <v>0</v>
      </c>
      <c r="AQ839" s="48" t="b">
        <v>0</v>
      </c>
      <c r="AR839" s="48">
        <v>0</v>
      </c>
      <c r="AS839" s="48" t="b">
        <v>0</v>
      </c>
      <c r="AT839" s="7" t="b">
        <v>0</v>
      </c>
      <c r="AU839" s="40" t="str" cm="1">
        <f t="array" ref="AU839">_xlfn.XLOOKUP(PROPERTIES[[#This Row],[VEHIDCODE]],GRAPHICS_PROPERTIES[VEHIDCODE],GRAPHICS_PROPERTIES[TEMPLATE_ID]&amp;GRAPHICS_PROPERTIES[TEMPLATE_AMENDMENT_CODE])</f>
        <v>TPL_03A</v>
      </c>
    </row>
    <row r="840" spans="1:47" x14ac:dyDescent="0.35">
      <c r="A840" s="2" t="s">
        <v>3305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0" t="str">
        <f>_xlfn.XLOOKUP(PROPERTIES[[#This Row],[VEHIDCODE]],CONTROL[VEHIDCODE],CONTROL[ENGLISH])</f>
        <v>Dubs 2-6-2ST 'Z26'</v>
      </c>
      <c r="F840" t="s">
        <v>541</v>
      </c>
      <c r="G840" s="40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17</v>
      </c>
      <c r="J840">
        <v>0</v>
      </c>
      <c r="K840">
        <v>6</v>
      </c>
      <c r="L840">
        <v>0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3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0">
        <v>99.6</v>
      </c>
      <c r="AA840" s="20">
        <f>IFERROR(PROPERTIES[[#This Row],[TE_STARTING_KN]]/(PROPERTIES[[#This Row],[WEIGHT]]*9.81),0)</f>
        <v>0.15383189695116298</v>
      </c>
      <c r="AB840" s="20">
        <v>0</v>
      </c>
      <c r="AC840" s="16">
        <f>ROUND(IF(IFERROR(PROPERTIES[[#This Row],[TE_COEFFICIENT_CALC]],0)=0,PROPERTIES[[#This Row],[TE_COEFFICIENT_MANUAL]],PROPERTIES[[#This Row],[TE_COEFFICIENT_CALC]]),3)</f>
        <v>0.154</v>
      </c>
      <c r="AD840" s="27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6">
        <v>0</v>
      </c>
      <c r="AF840" s="6">
        <v>0</v>
      </c>
      <c r="AG840" t="s">
        <v>232</v>
      </c>
      <c r="AH840" t="s">
        <v>229</v>
      </c>
      <c r="AI840" t="s">
        <v>229</v>
      </c>
      <c r="AJ840" s="2" t="s">
        <v>229</v>
      </c>
      <c r="AK840" s="2" t="s">
        <v>244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44" t="b">
        <v>0</v>
      </c>
      <c r="AP840" s="48" t="b">
        <v>0</v>
      </c>
      <c r="AQ840" s="48" t="b">
        <v>0</v>
      </c>
      <c r="AR840" s="48">
        <v>0</v>
      </c>
      <c r="AS840" s="48" t="b">
        <v>0</v>
      </c>
      <c r="AT840" s="7" t="b">
        <v>0</v>
      </c>
      <c r="AU840" s="40" t="str" cm="1">
        <f t="array" ref="AU840">_xlfn.XLOOKUP(PROPERTIES[[#This Row],[VEHIDCODE]],GRAPHICS_PROPERTIES[VEHIDCODE],GRAPHICS_PROPERTIES[TEMPLATE_ID]&amp;GRAPHICS_PROPERTIES[TEMPLATE_AMENDMENT_CODE])</f>
        <v>TPL_03C</v>
      </c>
    </row>
    <row r="841" spans="1:47" x14ac:dyDescent="0.35">
      <c r="A841" s="2" t="s">
        <v>3306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0" t="str">
        <f>_xlfn.XLOOKUP(PROPERTIES[[#This Row],[VEHIDCODE]],CONTROL[VEHIDCODE],CONTROL[ENGLISH])</f>
        <v>GCR/Kitson/NBLC ROD 2-8-0 '8K'</v>
      </c>
      <c r="F841" t="s">
        <v>603</v>
      </c>
      <c r="G841" s="40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17</v>
      </c>
      <c r="J841">
        <v>0</v>
      </c>
      <c r="K841">
        <v>6</v>
      </c>
      <c r="L841">
        <v>0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3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0">
        <v>139.4</v>
      </c>
      <c r="AA841" s="20">
        <f>IFERROR(PROPERTIES[[#This Row],[TE_STARTING_KN]]/(PROPERTIES[[#This Row],[WEIGHT]]*9.81),0)</f>
        <v>0.19202688927459569</v>
      </c>
      <c r="AB841" s="20">
        <v>0</v>
      </c>
      <c r="AC841" s="16">
        <f>ROUND(IF(IFERROR(PROPERTIES[[#This Row],[TE_COEFFICIENT_CALC]],0)=0,PROPERTIES[[#This Row],[TE_COEFFICIENT_MANUAL]],PROPERTIES[[#This Row],[TE_COEFFICIENT_CALC]]),3)</f>
        <v>0.192</v>
      </c>
      <c r="AD841" s="27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6">
        <v>0</v>
      </c>
      <c r="AF841" s="6">
        <v>3</v>
      </c>
      <c r="AG841" t="s">
        <v>234</v>
      </c>
      <c r="AH841" t="s">
        <v>232</v>
      </c>
      <c r="AI841" t="s">
        <v>229</v>
      </c>
      <c r="AJ841" s="2" t="s">
        <v>229</v>
      </c>
      <c r="AK841" s="2" t="s">
        <v>244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44" t="b">
        <v>0</v>
      </c>
      <c r="AP841" s="48" t="b">
        <v>0</v>
      </c>
      <c r="AQ841" s="48" t="b">
        <v>0</v>
      </c>
      <c r="AR841" s="48">
        <v>0</v>
      </c>
      <c r="AS841" s="48" t="b">
        <v>0</v>
      </c>
      <c r="AT841" s="7" t="b">
        <v>0</v>
      </c>
      <c r="AU841" s="40" t="str" cm="1">
        <f t="array" ref="AU841">_xlfn.XLOOKUP(PROPERTIES[[#This Row],[VEHIDCODE]],GRAPHICS_PROPERTIES[VEHIDCODE],GRAPHICS_PROPERTIES[TEMPLATE_ID]&amp;GRAPHICS_PROPERTIES[TEMPLATE_AMENDMENT_CODE])</f>
        <v>TPL_03A</v>
      </c>
    </row>
    <row r="842" spans="1:47" x14ac:dyDescent="0.35">
      <c r="A842" s="2" t="s">
        <v>3307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0" t="str">
        <f>_xlfn.XLOOKUP(PROPERTIES[[#This Row],[VEHIDCODE]],CONTROL[VEHIDCODE],CONTROL[ENGLISH])</f>
        <v>ALCO 4-6-2 SAR 600</v>
      </c>
      <c r="F842" t="s">
        <v>541</v>
      </c>
      <c r="G842" s="40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17</v>
      </c>
      <c r="J842">
        <v>0</v>
      </c>
      <c r="K842">
        <v>6</v>
      </c>
      <c r="L842">
        <v>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3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0">
        <v>162.80000000000001</v>
      </c>
      <c r="AA842" s="20">
        <f>IFERROR(PROPERTIES[[#This Row],[TE_STARTING_KN]]/(PROPERTIES[[#This Row],[WEIGHT]]*9.81),0)</f>
        <v>8.175030003565277E-2</v>
      </c>
      <c r="AB842" s="20">
        <v>0</v>
      </c>
      <c r="AC842" s="16">
        <f>ROUND(IF(IFERROR(PROPERTIES[[#This Row],[TE_COEFFICIENT_CALC]],0)=0,PROPERTIES[[#This Row],[TE_COEFFICIENT_MANUAL]],PROPERTIES[[#This Row],[TE_COEFFICIENT_CALC]]),3)</f>
        <v>8.2000000000000003E-2</v>
      </c>
      <c r="AD842" s="27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6">
        <v>0</v>
      </c>
      <c r="AF842" s="6">
        <v>4</v>
      </c>
      <c r="AG842" t="s">
        <v>232</v>
      </c>
      <c r="AH842" t="s">
        <v>229</v>
      </c>
      <c r="AI842" t="s">
        <v>229</v>
      </c>
      <c r="AJ842" s="2" t="s">
        <v>229</v>
      </c>
      <c r="AK842" s="2" t="s">
        <v>244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44" t="b">
        <v>0</v>
      </c>
      <c r="AP842" s="48" t="b">
        <v>0</v>
      </c>
      <c r="AQ842" s="48" t="b">
        <v>0</v>
      </c>
      <c r="AR842" s="48">
        <v>0</v>
      </c>
      <c r="AS842" s="48" t="b">
        <v>0</v>
      </c>
      <c r="AT842" s="7" t="b">
        <v>0</v>
      </c>
      <c r="AU842" s="40" t="str" cm="1">
        <f t="array" ref="AU842">_xlfn.XLOOKUP(PROPERTIES[[#This Row],[VEHIDCODE]],GRAPHICS_PROPERTIES[VEHIDCODE],GRAPHICS_PROPERTIES[TEMPLATE_ID]&amp;GRAPHICS_PROPERTIES[TEMPLATE_AMENDMENT_CODE])</f>
        <v>TPL_03A</v>
      </c>
    </row>
    <row r="843" spans="1:47" x14ac:dyDescent="0.35">
      <c r="A843" s="2" t="s">
        <v>3308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0" t="str">
        <f>_xlfn.XLOOKUP(PROPERTIES[[#This Row],[VEHIDCODE]],CONTROL[VEHIDCODE],CONTROL[ENGLISH])</f>
        <v>BP 2-8-2T South Maitland 10</v>
      </c>
      <c r="F843" t="s">
        <v>541</v>
      </c>
      <c r="G843" s="40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17</v>
      </c>
      <c r="J843">
        <v>0</v>
      </c>
      <c r="K843">
        <v>7</v>
      </c>
      <c r="L843">
        <v>0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3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0">
        <v>138.83000000000001</v>
      </c>
      <c r="AA843" s="20">
        <f>IFERROR(PROPERTIES[[#This Row],[TE_STARTING_KN]]/(PROPERTIES[[#This Row],[WEIGHT]]*9.81),0)</f>
        <v>0.17050464856367367</v>
      </c>
      <c r="AB843" s="20">
        <v>0</v>
      </c>
      <c r="AC843" s="16">
        <f>ROUND(IF(IFERROR(PROPERTIES[[#This Row],[TE_COEFFICIENT_CALC]],0)=0,PROPERTIES[[#This Row],[TE_COEFFICIENT_MANUAL]],PROPERTIES[[#This Row],[TE_COEFFICIENT_CALC]]),3)</f>
        <v>0.17100000000000001</v>
      </c>
      <c r="AD843" s="27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6">
        <v>0</v>
      </c>
      <c r="AF843" s="6">
        <v>0</v>
      </c>
      <c r="AG843" t="s">
        <v>232</v>
      </c>
      <c r="AH843" t="s">
        <v>229</v>
      </c>
      <c r="AI843" t="s">
        <v>229</v>
      </c>
      <c r="AJ843" s="2" t="s">
        <v>229</v>
      </c>
      <c r="AK843" s="2" t="s">
        <v>244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44" t="b">
        <v>0</v>
      </c>
      <c r="AP843" s="48" t="b">
        <v>0</v>
      </c>
      <c r="AQ843" s="48" t="b">
        <v>0</v>
      </c>
      <c r="AR843" s="48">
        <v>0</v>
      </c>
      <c r="AS843" s="48" t="b">
        <v>0</v>
      </c>
      <c r="AT843" s="7" t="b">
        <v>0</v>
      </c>
      <c r="AU843" s="40" t="str" cm="1">
        <f t="array" ref="AU843">_xlfn.XLOOKUP(PROPERTIES[[#This Row],[VEHIDCODE]],GRAPHICS_PROPERTIES[VEHIDCODE],GRAPHICS_PROPERTIES[TEMPLATE_ID]&amp;GRAPHICS_PROPERTIES[TEMPLATE_AMENDMENT_CODE])</f>
        <v>TPL_03C</v>
      </c>
    </row>
    <row r="844" spans="1:47" x14ac:dyDescent="0.35">
      <c r="A844" s="2" t="s">
        <v>3309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0" t="str">
        <f>_xlfn.XLOOKUP(PROPERTIES[[#This Row],[VEHIDCODE]],CONTROL[VEHIDCODE],CONTROL[ENGLISH])</f>
        <v>Victorian Railways H</v>
      </c>
      <c r="F844" t="s">
        <v>541</v>
      </c>
      <c r="G844" s="40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17</v>
      </c>
      <c r="J844">
        <v>0</v>
      </c>
      <c r="K844">
        <v>7</v>
      </c>
      <c r="L844">
        <v>0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3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0">
        <v>245</v>
      </c>
      <c r="AA844" s="20">
        <f>IFERROR(PROPERTIES[[#This Row],[TE_STARTING_KN]]/(PROPERTIES[[#This Row],[WEIGHT]]*9.81),0)</f>
        <v>9.6055830000784131E-2</v>
      </c>
      <c r="AB844" s="20">
        <v>0</v>
      </c>
      <c r="AC844" s="16">
        <f>ROUND(IF(IFERROR(PROPERTIES[[#This Row],[TE_COEFFICIENT_CALC]],0)=0,PROPERTIES[[#This Row],[TE_COEFFICIENT_MANUAL]],PROPERTIES[[#This Row],[TE_COEFFICIENT_CALC]]),3)</f>
        <v>9.6000000000000002E-2</v>
      </c>
      <c r="AD844" s="27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6">
        <v>0</v>
      </c>
      <c r="AF844" s="6">
        <v>5</v>
      </c>
      <c r="AG844" t="s">
        <v>232</v>
      </c>
      <c r="AH844" t="s">
        <v>229</v>
      </c>
      <c r="AI844" t="s">
        <v>229</v>
      </c>
      <c r="AJ844" s="2" t="s">
        <v>229</v>
      </c>
      <c r="AK844" s="2" t="s">
        <v>244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44" t="b">
        <v>0</v>
      </c>
      <c r="AP844" s="48" t="b">
        <v>0</v>
      </c>
      <c r="AQ844" s="48" t="b">
        <v>0</v>
      </c>
      <c r="AR844" s="48">
        <v>0</v>
      </c>
      <c r="AS844" s="48" t="b">
        <v>0</v>
      </c>
      <c r="AT844" s="7" t="b">
        <v>0</v>
      </c>
      <c r="AU844" s="40" t="str" cm="1">
        <f t="array" ref="AU844">_xlfn.XLOOKUP(PROPERTIES[[#This Row],[VEHIDCODE]],GRAPHICS_PROPERTIES[VEHIDCODE],GRAPHICS_PROPERTIES[TEMPLATE_ID]&amp;GRAPHICS_PROPERTIES[TEMPLATE_AMENDMENT_CODE])</f>
        <v>TPL_03A</v>
      </c>
    </row>
    <row r="845" spans="1:47" x14ac:dyDescent="0.35">
      <c r="A845" s="2" t="s">
        <v>3310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0" t="str">
        <f>_xlfn.XLOOKUP(PROPERTIES[[#This Row],[VEHIDCODE]],CONTROL[VEHIDCODE],CONTROL[ENGLISH])</f>
        <v>BTH 41 Class</v>
      </c>
      <c r="F845" t="s">
        <v>541</v>
      </c>
      <c r="G845" s="40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17</v>
      </c>
      <c r="J845">
        <v>0</v>
      </c>
      <c r="K845">
        <v>6</v>
      </c>
      <c r="L845">
        <v>0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3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0">
        <v>150</v>
      </c>
      <c r="AA845" s="20">
        <f>IFERROR(PROPERTIES[[#This Row],[TE_STARTING_KN]]/(PROPERTIES[[#This Row],[WEIGHT]]*9.81),0)</f>
        <v>0.18422313105633542</v>
      </c>
      <c r="AB845" s="20">
        <v>0</v>
      </c>
      <c r="AC845" s="16">
        <f>ROUND(IF(IFERROR(PROPERTIES[[#This Row],[TE_COEFFICIENT_CALC]],0)=0,PROPERTIES[[#This Row],[TE_COEFFICIENT_MANUAL]],PROPERTIES[[#This Row],[TE_COEFFICIENT_CALC]]),3)</f>
        <v>0.184</v>
      </c>
      <c r="AD845" s="27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6">
        <v>0</v>
      </c>
      <c r="AF845" s="6">
        <v>0</v>
      </c>
      <c r="AG845" t="s">
        <v>232</v>
      </c>
      <c r="AH845" t="s">
        <v>229</v>
      </c>
      <c r="AI845" t="s">
        <v>229</v>
      </c>
      <c r="AJ845" s="2" t="s">
        <v>229</v>
      </c>
      <c r="AK845" s="2" t="s">
        <v>244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44" t="b">
        <v>0</v>
      </c>
      <c r="AP845" s="48" t="b">
        <v>0</v>
      </c>
      <c r="AQ845" s="48" t="b">
        <v>0</v>
      </c>
      <c r="AR845" s="48">
        <v>0</v>
      </c>
      <c r="AS845" s="48" t="b">
        <v>0</v>
      </c>
      <c r="AT845" s="7" t="b">
        <v>0</v>
      </c>
      <c r="AU845" s="40" t="str" cm="1">
        <f t="array" ref="AU845">_xlfn.XLOOKUP(PROPERTIES[[#This Row],[VEHIDCODE]],GRAPHICS_PROPERTIES[VEHIDCODE],GRAPHICS_PROPERTIES[TEMPLATE_ID]&amp;GRAPHICS_PROPERTIES[TEMPLATE_AMENDMENT_CODE])</f>
        <v>TPL_01A</v>
      </c>
    </row>
    <row r="846" spans="1:47" x14ac:dyDescent="0.35">
      <c r="A846" s="2" t="s">
        <v>3311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0" t="str">
        <f>_xlfn.XLOOKUP(PROPERTIES[[#This Row],[VEHIDCODE]],CONTROL[VEHIDCODE],CONTROL[ENGLISH])</f>
        <v>ALCO/AE Goodwin DL531/532</v>
      </c>
      <c r="F846" t="s">
        <v>541</v>
      </c>
      <c r="G846" s="40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17</v>
      </c>
      <c r="J846">
        <v>0</v>
      </c>
      <c r="K846">
        <v>6</v>
      </c>
      <c r="L846">
        <v>0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3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0">
        <v>178.82</v>
      </c>
      <c r="AA846" s="20">
        <f>IFERROR(PROPERTIES[[#This Row],[TE_STARTING_KN]]/(PROPERTIES[[#This Row],[WEIGHT]]*9.81),0)</f>
        <v>0.24239811742251716</v>
      </c>
      <c r="AB846" s="20">
        <v>0</v>
      </c>
      <c r="AC846" s="16">
        <f>ROUND(IF(IFERROR(PROPERTIES[[#This Row],[TE_COEFFICIENT_CALC]],0)=0,PROPERTIES[[#This Row],[TE_COEFFICIENT_MANUAL]],PROPERTIES[[#This Row],[TE_COEFFICIENT_CALC]]),3)</f>
        <v>0.24199999999999999</v>
      </c>
      <c r="AD846" s="27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6">
        <v>0</v>
      </c>
      <c r="AF846" s="6">
        <v>0</v>
      </c>
      <c r="AG846" t="s">
        <v>1948</v>
      </c>
      <c r="AH846" t="s">
        <v>1947</v>
      </c>
      <c r="AI846" t="s">
        <v>229</v>
      </c>
      <c r="AJ846" s="2" t="s">
        <v>229</v>
      </c>
      <c r="AK846" s="2" t="s">
        <v>244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44" t="b">
        <v>0</v>
      </c>
      <c r="AP846" s="48" t="b">
        <v>0</v>
      </c>
      <c r="AQ846" s="48" t="b">
        <v>0</v>
      </c>
      <c r="AR846" s="48">
        <v>0</v>
      </c>
      <c r="AS846" s="48" t="b">
        <v>0</v>
      </c>
      <c r="AT846" s="7" t="b">
        <v>0</v>
      </c>
      <c r="AU846" s="40" t="str" cm="1">
        <f t="array" ref="AU846">_xlfn.XLOOKUP(PROPERTIES[[#This Row],[VEHIDCODE]],GRAPHICS_PROPERTIES[VEHIDCODE],GRAPHICS_PROPERTIES[TEMPLATE_ID]&amp;GRAPHICS_PROPERTIES[TEMPLATE_AMENDMENT_CODE])</f>
        <v>TPL_01A</v>
      </c>
    </row>
    <row r="847" spans="1:47" x14ac:dyDescent="0.35">
      <c r="A847" s="2" t="s">
        <v>3312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0" t="str">
        <f>_xlfn.XLOOKUP(PROPERTIES[[#This Row],[VEHIDCODE]],CONTROL[VEHIDCODE],CONTROL[ENGLISH])</f>
        <v>ALCO/AE Goodwin DL500</v>
      </c>
      <c r="F847" t="s">
        <v>757</v>
      </c>
      <c r="G847" s="40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17</v>
      </c>
      <c r="J847">
        <v>0</v>
      </c>
      <c r="K847">
        <v>7</v>
      </c>
      <c r="L847">
        <v>0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3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0">
        <v>270.8</v>
      </c>
      <c r="AA847" s="20">
        <f>IFERROR(PROPERTIES[[#This Row],[TE_STARTING_KN]]/(PROPERTIES[[#This Row],[WEIGHT]]*9.81),0)</f>
        <v>0.2509498656287647</v>
      </c>
      <c r="AB847" s="20">
        <v>0</v>
      </c>
      <c r="AC847" s="16">
        <f>ROUND(IF(IFERROR(PROPERTIES[[#This Row],[TE_COEFFICIENT_CALC]],0)=0,PROPERTIES[[#This Row],[TE_COEFFICIENT_MANUAL]],PROPERTIES[[#This Row],[TE_COEFFICIENT_CALC]]),3)</f>
        <v>0.251</v>
      </c>
      <c r="AD847" s="27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6">
        <v>0</v>
      </c>
      <c r="AF847" s="6">
        <v>0</v>
      </c>
      <c r="AG847" t="s">
        <v>237</v>
      </c>
      <c r="AH847" t="s">
        <v>234</v>
      </c>
      <c r="AI847" t="s">
        <v>231</v>
      </c>
      <c r="AJ847" s="2" t="s">
        <v>1947</v>
      </c>
      <c r="AK847" s="2" t="s">
        <v>244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44" t="b">
        <v>0</v>
      </c>
      <c r="AP847" s="48" t="b">
        <v>0</v>
      </c>
      <c r="AQ847" s="48" t="b">
        <v>0</v>
      </c>
      <c r="AR847" s="48">
        <v>0</v>
      </c>
      <c r="AS847" s="48" t="b">
        <v>0</v>
      </c>
      <c r="AT847" s="7" t="b">
        <v>0</v>
      </c>
      <c r="AU847" s="40" t="str" cm="1">
        <f t="array" ref="AU847">_xlfn.XLOOKUP(PROPERTIES[[#This Row],[VEHIDCODE]],GRAPHICS_PROPERTIES[VEHIDCODE],GRAPHICS_PROPERTIES[TEMPLATE_ID]&amp;GRAPHICS_PROPERTIES[TEMPLATE_AMENDMENT_CODE])</f>
        <v>TPL_01A</v>
      </c>
    </row>
    <row r="848" spans="1:47" x14ac:dyDescent="0.35">
      <c r="A848" s="2" t="s">
        <v>3313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0" t="str">
        <f>_xlfn.XLOOKUP(PROPERTIES[[#This Row],[VEHIDCODE]],CONTROL[VEHIDCODE],CONTROL[ENGLISH])</f>
        <v>EMD/Clyde A16C</v>
      </c>
      <c r="F848" t="s">
        <v>541</v>
      </c>
      <c r="G848" s="40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17</v>
      </c>
      <c r="J848">
        <v>0</v>
      </c>
      <c r="K848">
        <v>8</v>
      </c>
      <c r="L848">
        <v>0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3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0">
        <v>251</v>
      </c>
      <c r="AA848" s="20">
        <f>IFERROR(PROPERTIES[[#This Row],[TE_STARTING_KN]]/(PROPERTIES[[#This Row],[WEIGHT]]*9.81),0)</f>
        <v>0.22443979469570968</v>
      </c>
      <c r="AB848" s="20">
        <v>0</v>
      </c>
      <c r="AC848" s="16">
        <f>ROUND(IF(IFERROR(PROPERTIES[[#This Row],[TE_COEFFICIENT_CALC]],0)=0,PROPERTIES[[#This Row],[TE_COEFFICIENT_MANUAL]],PROPERTIES[[#This Row],[TE_COEFFICIENT_CALC]]),3)</f>
        <v>0.224</v>
      </c>
      <c r="AD848" s="27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6">
        <v>0</v>
      </c>
      <c r="AF848" s="6">
        <v>0</v>
      </c>
      <c r="AG848" t="s">
        <v>232</v>
      </c>
      <c r="AH848" t="s">
        <v>229</v>
      </c>
      <c r="AI848" t="s">
        <v>229</v>
      </c>
      <c r="AJ848" s="2" t="s">
        <v>229</v>
      </c>
      <c r="AK848" s="2" t="s">
        <v>244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44" t="b">
        <v>0</v>
      </c>
      <c r="AP848" s="48" t="b">
        <v>0</v>
      </c>
      <c r="AQ848" s="48" t="b">
        <v>0</v>
      </c>
      <c r="AR848" s="48">
        <v>0</v>
      </c>
      <c r="AS848" s="48" t="b">
        <v>0</v>
      </c>
      <c r="AT848" s="7" t="b">
        <v>0</v>
      </c>
      <c r="AU848" s="40" t="str" cm="1">
        <f t="array" ref="AU848">_xlfn.XLOOKUP(PROPERTIES[[#This Row],[VEHIDCODE]],GRAPHICS_PROPERTIES[VEHIDCODE],GRAPHICS_PROPERTIES[TEMPLATE_ID]&amp;GRAPHICS_PROPERTIES[TEMPLATE_AMENDMENT_CODE])</f>
        <v>TPL_01A</v>
      </c>
    </row>
    <row r="849" spans="1:47" x14ac:dyDescent="0.35">
      <c r="A849" s="2" t="s">
        <v>3457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0" t="str">
        <f>_xlfn.XLOOKUP(PROPERTIES[[#This Row],[VEHIDCODE]],CONTROL[VEHIDCODE],CONTROL[ENGLISH])</f>
        <v>EMD/Clyde AAT22C-2R</v>
      </c>
      <c r="F849" t="s">
        <v>541</v>
      </c>
      <c r="G849" s="40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17</v>
      </c>
      <c r="J849">
        <v>0</v>
      </c>
      <c r="K849">
        <v>8</v>
      </c>
      <c r="L849">
        <v>0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3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0">
        <v>294</v>
      </c>
      <c r="AA849" s="20">
        <f>IFERROR(PROPERTIES[[#This Row],[TE_STARTING_KN]]/(PROPERTIES[[#This Row],[WEIGHT]]*9.81),0)</f>
        <v>0.24974515800203873</v>
      </c>
      <c r="AB849" s="20">
        <v>0</v>
      </c>
      <c r="AC849" s="16">
        <f>ROUND(IF(IFERROR(PROPERTIES[[#This Row],[TE_COEFFICIENT_CALC]],0)=0,PROPERTIES[[#This Row],[TE_COEFFICIENT_MANUAL]],PROPERTIES[[#This Row],[TE_COEFFICIENT_CALC]]),3)</f>
        <v>0.25</v>
      </c>
      <c r="AD849" s="27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6">
        <v>0</v>
      </c>
      <c r="AF849" s="6">
        <v>0</v>
      </c>
      <c r="AG849" t="s">
        <v>232</v>
      </c>
      <c r="AH849" t="s">
        <v>229</v>
      </c>
      <c r="AI849" t="s">
        <v>229</v>
      </c>
      <c r="AJ849" s="2" t="s">
        <v>229</v>
      </c>
      <c r="AK849" s="2" t="s">
        <v>244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44" t="b">
        <v>0</v>
      </c>
      <c r="AP849" s="48" t="b">
        <v>0</v>
      </c>
      <c r="AQ849" s="48" t="b">
        <v>1</v>
      </c>
      <c r="AR849" s="48">
        <v>0</v>
      </c>
      <c r="AS849" s="48" t="b">
        <v>0</v>
      </c>
      <c r="AT849" s="7" t="b">
        <v>1</v>
      </c>
      <c r="AU849" s="40" t="str" cm="1">
        <f t="array" ref="AU849">_xlfn.XLOOKUP(PROPERTIES[[#This Row],[VEHIDCODE]],GRAPHICS_PROPERTIES[VEHIDCODE],GRAPHICS_PROPERTIES[TEMPLATE_ID]&amp;GRAPHICS_PROPERTIES[TEMPLATE_AMENDMENT_CODE])</f>
        <v>TPL_01A</v>
      </c>
    </row>
    <row r="850" spans="1:47" x14ac:dyDescent="0.35">
      <c r="A850" s="2" t="s">
        <v>3314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0" t="str">
        <f>_xlfn.XLOOKUP(PROPERTIES[[#This Row],[VEHIDCODE]],CONTROL[VEHIDCODE],CONTROL[ENGLISH])</f>
        <v>EMD/Clyde A7</v>
      </c>
      <c r="F850" t="s">
        <v>541</v>
      </c>
      <c r="G850" s="40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17</v>
      </c>
      <c r="J850">
        <v>0</v>
      </c>
      <c r="K850">
        <v>8</v>
      </c>
      <c r="L850">
        <v>0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3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0">
        <v>300</v>
      </c>
      <c r="AA850" s="20">
        <f>IFERROR(PROPERTIES[[#This Row],[TE_STARTING_KN]]/(PROPERTIES[[#This Row],[WEIGHT]]*9.81),0)</f>
        <v>0.25066426028976785</v>
      </c>
      <c r="AB850" s="20">
        <v>0</v>
      </c>
      <c r="AC850" s="16">
        <f>ROUND(IF(IFERROR(PROPERTIES[[#This Row],[TE_COEFFICIENT_CALC]],0)=0,PROPERTIES[[#This Row],[TE_COEFFICIENT_MANUAL]],PROPERTIES[[#This Row],[TE_COEFFICIENT_CALC]]),3)</f>
        <v>0.251</v>
      </c>
      <c r="AD850" s="27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6">
        <v>0</v>
      </c>
      <c r="AF850" s="6">
        <v>0</v>
      </c>
      <c r="AG850" t="s">
        <v>232</v>
      </c>
      <c r="AH850" t="s">
        <v>229</v>
      </c>
      <c r="AI850" t="s">
        <v>229</v>
      </c>
      <c r="AJ850" s="2" t="s">
        <v>229</v>
      </c>
      <c r="AK850" s="2" t="s">
        <v>244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44" t="b">
        <v>0</v>
      </c>
      <c r="AP850" s="48" t="b">
        <v>0</v>
      </c>
      <c r="AQ850" s="48" t="b">
        <v>0</v>
      </c>
      <c r="AR850" s="48">
        <v>0</v>
      </c>
      <c r="AS850" s="48" t="b">
        <v>0</v>
      </c>
      <c r="AT850" s="7" t="b">
        <v>0</v>
      </c>
      <c r="AU850" s="40" t="str" cm="1">
        <f t="array" ref="AU850">_xlfn.XLOOKUP(PROPERTIES[[#This Row],[VEHIDCODE]],GRAPHICS_PROPERTIES[VEHIDCODE],GRAPHICS_PROPERTIES[TEMPLATE_ID]&amp;GRAPHICS_PROPERTIES[TEMPLATE_AMENDMENT_CODE])</f>
        <v>TPL_01A</v>
      </c>
    </row>
    <row r="851" spans="1:47" x14ac:dyDescent="0.35">
      <c r="A851" s="2" t="s">
        <v>3315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0" t="str">
        <f>_xlfn.XLOOKUP(PROPERTIES[[#This Row],[VEHIDCODE]],CONTROL[VEHIDCODE],CONTROL[ENGLISH])</f>
        <v xml:space="preserve">EMD/Clyde AT42C </v>
      </c>
      <c r="F851" t="s">
        <v>541</v>
      </c>
      <c r="G851" s="40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17</v>
      </c>
      <c r="J851">
        <v>0</v>
      </c>
      <c r="K851">
        <v>8</v>
      </c>
      <c r="L851">
        <v>0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3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0">
        <v>370</v>
      </c>
      <c r="AA851" s="20">
        <f>IFERROR(PROPERTIES[[#This Row],[TE_STARTING_KN]]/(PROPERTIES[[#This Row],[WEIGHT]]*9.81),0)</f>
        <v>0.31170756775427333</v>
      </c>
      <c r="AB851" s="20">
        <v>0</v>
      </c>
      <c r="AC851" s="16">
        <f>ROUND(IF(IFERROR(PROPERTIES[[#This Row],[TE_COEFFICIENT_CALC]],0)=0,PROPERTIES[[#This Row],[TE_COEFFICIENT_MANUAL]],PROPERTIES[[#This Row],[TE_COEFFICIENT_CALC]]),3)</f>
        <v>0.312</v>
      </c>
      <c r="AD851" s="27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6">
        <v>0</v>
      </c>
      <c r="AF851" s="6">
        <v>0</v>
      </c>
      <c r="AG851" t="s">
        <v>232</v>
      </c>
      <c r="AH851" t="s">
        <v>229</v>
      </c>
      <c r="AI851" t="s">
        <v>229</v>
      </c>
      <c r="AJ851" s="2" t="s">
        <v>229</v>
      </c>
      <c r="AK851" s="2" t="s">
        <v>244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44" t="b">
        <v>0</v>
      </c>
      <c r="AP851" s="48" t="b">
        <v>0</v>
      </c>
      <c r="AQ851" s="48" t="b">
        <v>0</v>
      </c>
      <c r="AR851" s="48">
        <v>0</v>
      </c>
      <c r="AS851" s="48" t="b">
        <v>0</v>
      </c>
      <c r="AT851" s="7" t="b">
        <v>0</v>
      </c>
      <c r="AU851" s="40" t="str" cm="1">
        <f t="array" ref="AU851">_xlfn.XLOOKUP(PROPERTIES[[#This Row],[VEHIDCODE]],GRAPHICS_PROPERTIES[VEHIDCODE],GRAPHICS_PROPERTIES[TEMPLATE_ID]&amp;GRAPHICS_PROPERTIES[TEMPLATE_AMENDMENT_CODE])</f>
        <v>TPL_01A</v>
      </c>
    </row>
    <row r="852" spans="1:47" x14ac:dyDescent="0.35">
      <c r="A852" s="2" t="s">
        <v>3316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0" t="str">
        <f>_xlfn.XLOOKUP(PROPERTIES[[#This Row],[VEHIDCODE]],CONTROL[VEHIDCODE],CONTROL[ENGLISH])</f>
        <v>Clyde-ASEA CF48</v>
      </c>
      <c r="F852" t="s">
        <v>541</v>
      </c>
      <c r="G852" s="40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17</v>
      </c>
      <c r="J852">
        <v>0</v>
      </c>
      <c r="K852">
        <v>8</v>
      </c>
      <c r="L852">
        <v>0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3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0">
        <v>341</v>
      </c>
      <c r="AA852" s="20">
        <f>IFERROR(PROPERTIES[[#This Row],[TE_STARTING_KN]]/(PROPERTIES[[#This Row],[WEIGHT]]*9.81),0)</f>
        <v>0.31657967688448463</v>
      </c>
      <c r="AB852" s="20">
        <v>0</v>
      </c>
      <c r="AC852" s="16">
        <f>ROUND(IF(IFERROR(PROPERTIES[[#This Row],[TE_COEFFICIENT_CALC]],0)=0,PROPERTIES[[#This Row],[TE_COEFFICIENT_MANUAL]],PROPERTIES[[#This Row],[TE_COEFFICIENT_CALC]]),3)</f>
        <v>0.317</v>
      </c>
      <c r="AD852" s="27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6">
        <v>0</v>
      </c>
      <c r="AF852" s="6">
        <v>0</v>
      </c>
      <c r="AG852" t="s">
        <v>232</v>
      </c>
      <c r="AH852" t="s">
        <v>229</v>
      </c>
      <c r="AI852" t="s">
        <v>229</v>
      </c>
      <c r="AJ852" s="2" t="s">
        <v>229</v>
      </c>
      <c r="AK852" s="2" t="s">
        <v>244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44" t="b">
        <v>0</v>
      </c>
      <c r="AP852" s="48" t="b">
        <v>0</v>
      </c>
      <c r="AQ852" s="48" t="b">
        <v>0</v>
      </c>
      <c r="AR852" s="48">
        <v>0</v>
      </c>
      <c r="AS852" s="48" t="b">
        <v>0</v>
      </c>
      <c r="AT852" s="7" t="b">
        <v>0</v>
      </c>
      <c r="AU852" s="40" t="str" cm="1">
        <f t="array" ref="AU852">_xlfn.XLOOKUP(PROPERTIES[[#This Row],[VEHIDCODE]],GRAPHICS_PROPERTIES[VEHIDCODE],GRAPHICS_PROPERTIES[TEMPLATE_ID]&amp;GRAPHICS_PROPERTIES[TEMPLATE_AMENDMENT_CODE])</f>
        <v>TPL_01A</v>
      </c>
    </row>
    <row r="853" spans="1:47" x14ac:dyDescent="0.35">
      <c r="A853" s="2" t="s">
        <v>3317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0" t="str">
        <f>_xlfn.XLOOKUP(PROPERTIES[[#This Row],[VEHIDCODE]],CONTROL[VEHIDCODE],CONTROL[ENGLISH])</f>
        <v>EMD GT46CWM</v>
      </c>
      <c r="F853" t="s">
        <v>541</v>
      </c>
      <c r="G853" s="40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17</v>
      </c>
      <c r="J853">
        <v>0</v>
      </c>
      <c r="K853">
        <v>8</v>
      </c>
      <c r="L853">
        <v>0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3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0">
        <v>470</v>
      </c>
      <c r="AA853" s="20">
        <f>IFERROR(PROPERTIES[[#This Row],[TE_STARTING_KN]]/(PROPERTIES[[#This Row],[WEIGHT]]*9.81),0)</f>
        <v>0.29036542798010684</v>
      </c>
      <c r="AB853" s="20">
        <v>0</v>
      </c>
      <c r="AC853" s="16">
        <f>ROUND(IF(IFERROR(PROPERTIES[[#This Row],[TE_COEFFICIENT_CALC]],0)=0,PROPERTIES[[#This Row],[TE_COEFFICIENT_MANUAL]],PROPERTIES[[#This Row],[TE_COEFFICIENT_CALC]]),3)</f>
        <v>0.28999999999999998</v>
      </c>
      <c r="AD853" s="27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6">
        <v>0</v>
      </c>
      <c r="AF853" s="6">
        <v>0</v>
      </c>
      <c r="AG853" t="s">
        <v>232</v>
      </c>
      <c r="AH853" t="s">
        <v>229</v>
      </c>
      <c r="AI853" t="s">
        <v>229</v>
      </c>
      <c r="AJ853" s="2" t="s">
        <v>229</v>
      </c>
      <c r="AK853" s="2" t="s">
        <v>244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44" t="b">
        <v>0</v>
      </c>
      <c r="AP853" s="48" t="b">
        <v>0</v>
      </c>
      <c r="AQ853" s="48" t="b">
        <v>0</v>
      </c>
      <c r="AR853" s="48">
        <v>0</v>
      </c>
      <c r="AS853" s="48" t="b">
        <v>0</v>
      </c>
      <c r="AT853" s="7" t="b">
        <v>0</v>
      </c>
      <c r="AU853" s="40" t="str" cm="1">
        <f t="array" ref="AU853">_xlfn.XLOOKUP(PROPERTIES[[#This Row],[VEHIDCODE]],GRAPHICS_PROPERTIES[VEHIDCODE],GRAPHICS_PROPERTIES[TEMPLATE_ID]&amp;GRAPHICS_PROPERTIES[TEMPLATE_AMENDMENT_CODE])</f>
        <v>TPL_01A</v>
      </c>
    </row>
    <row r="854" spans="1:47" x14ac:dyDescent="0.35">
      <c r="A854" s="2" t="s">
        <v>3318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0" t="str">
        <f>_xlfn.XLOOKUP(PROPERTIES[[#This Row],[VEHIDCODE]],CONTROL[VEHIDCODE],CONTROL[ENGLISH])</f>
        <v>Clyde-EMD GT46CW NR Concept</v>
      </c>
      <c r="F854" t="s">
        <v>541</v>
      </c>
      <c r="G854" s="40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17</v>
      </c>
      <c r="J854">
        <v>0</v>
      </c>
      <c r="K854">
        <v>8</v>
      </c>
      <c r="L854">
        <v>0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3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0">
        <v>450</v>
      </c>
      <c r="AA854" s="20">
        <f>IFERROR(PROPERTIES[[#This Row],[TE_STARTING_KN]]/(PROPERTIES[[#This Row],[WEIGHT]]*9.81),0)</f>
        <v>0.34751181540172366</v>
      </c>
      <c r="AB854" s="20">
        <v>0</v>
      </c>
      <c r="AC854" s="16">
        <f>ROUND(IF(IFERROR(PROPERTIES[[#This Row],[TE_COEFFICIENT_CALC]],0)=0,PROPERTIES[[#This Row],[TE_COEFFICIENT_MANUAL]],PROPERTIES[[#This Row],[TE_COEFFICIENT_CALC]]),3)</f>
        <v>0.34799999999999998</v>
      </c>
      <c r="AD854" s="27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6">
        <v>0</v>
      </c>
      <c r="AF854" s="6">
        <v>0</v>
      </c>
      <c r="AG854" t="s">
        <v>232</v>
      </c>
      <c r="AH854" t="s">
        <v>229</v>
      </c>
      <c r="AI854" t="s">
        <v>229</v>
      </c>
      <c r="AJ854" s="2" t="s">
        <v>229</v>
      </c>
      <c r="AK854" s="2" t="s">
        <v>245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44" t="b">
        <v>0</v>
      </c>
      <c r="AP854" s="48" t="b">
        <v>0</v>
      </c>
      <c r="AQ854" s="48" t="b">
        <v>0</v>
      </c>
      <c r="AR854" s="48">
        <v>0</v>
      </c>
      <c r="AS854" s="48" t="b">
        <v>0</v>
      </c>
      <c r="AT854" s="7" t="b">
        <v>0</v>
      </c>
      <c r="AU854" s="40" t="str" cm="1">
        <f t="array" ref="AU854">_xlfn.XLOOKUP(PROPERTIES[[#This Row],[VEHIDCODE]],GRAPHICS_PROPERTIES[VEHIDCODE],GRAPHICS_PROPERTIES[TEMPLATE_ID]&amp;GRAPHICS_PROPERTIES[TEMPLATE_AMENDMENT_CODE])</f>
        <v>TPL_01A</v>
      </c>
    </row>
    <row r="855" spans="1:47" x14ac:dyDescent="0.35">
      <c r="A855" s="2" t="s">
        <v>3319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0" t="str">
        <f>_xlfn.XLOOKUP(PROPERTIES[[#This Row],[VEHIDCODE]],CONTROL[VEHIDCODE],CONTROL[ENGLISH])</f>
        <v>Clyde JE28C PTC 73 Class Concept</v>
      </c>
      <c r="F855" t="s">
        <v>541</v>
      </c>
      <c r="G855" s="40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17</v>
      </c>
      <c r="J855">
        <v>0</v>
      </c>
      <c r="K855">
        <v>8</v>
      </c>
      <c r="L855">
        <v>0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3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0">
        <v>310</v>
      </c>
      <c r="AA855" s="20">
        <f>IFERROR(PROPERTIES[[#This Row],[TE_STARTING_KN]]/(PROPERTIES[[#This Row],[WEIGHT]]*9.81),0)</f>
        <v>0.29259636802959943</v>
      </c>
      <c r="AB855" s="20">
        <v>0</v>
      </c>
      <c r="AC855" s="16">
        <f>ROUND(IF(IFERROR(PROPERTIES[[#This Row],[TE_COEFFICIENT_CALC]],0)=0,PROPERTIES[[#This Row],[TE_COEFFICIENT_MANUAL]],PROPERTIES[[#This Row],[TE_COEFFICIENT_CALC]]),3)</f>
        <v>0.29299999999999998</v>
      </c>
      <c r="AD855" s="27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6">
        <v>0</v>
      </c>
      <c r="AF855" s="6">
        <v>0</v>
      </c>
      <c r="AG855" t="s">
        <v>232</v>
      </c>
      <c r="AH855" t="s">
        <v>229</v>
      </c>
      <c r="AI855" t="s">
        <v>229</v>
      </c>
      <c r="AJ855" s="2" t="s">
        <v>229</v>
      </c>
      <c r="AK855" s="2" t="s">
        <v>245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44" t="b">
        <v>0</v>
      </c>
      <c r="AP855" s="48" t="b">
        <v>0</v>
      </c>
      <c r="AQ855" s="48" t="b">
        <v>0</v>
      </c>
      <c r="AR855" s="48">
        <v>0</v>
      </c>
      <c r="AS855" s="48" t="b">
        <v>0</v>
      </c>
      <c r="AT855" s="7" t="b">
        <v>0</v>
      </c>
      <c r="AU855" s="40" t="str" cm="1">
        <f t="array" ref="AU855">_xlfn.XLOOKUP(PROPERTIES[[#This Row],[VEHIDCODE]],GRAPHICS_PROPERTIES[VEHIDCODE],GRAPHICS_PROPERTIES[TEMPLATE_ID]&amp;GRAPHICS_PROPERTIES[TEMPLATE_AMENDMENT_CODE])</f>
        <v>TPL_01A</v>
      </c>
    </row>
    <row r="856" spans="1:47" x14ac:dyDescent="0.35">
      <c r="A856" s="2" t="s">
        <v>3320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0" t="str">
        <f>_xlfn.XLOOKUP(PROPERTIES[[#This Row],[VEHIDCODE]],CONTROL[VEHIDCODE],CONTROL[ENGLISH])</f>
        <v>EMD/Clyde JT22HC-2</v>
      </c>
      <c r="F856" t="s">
        <v>541</v>
      </c>
      <c r="G856" s="40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17</v>
      </c>
      <c r="J856">
        <v>0</v>
      </c>
      <c r="K856">
        <v>8</v>
      </c>
      <c r="L856">
        <v>0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3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0">
        <v>289</v>
      </c>
      <c r="AA856" s="20">
        <f>IFERROR(PROPERTIES[[#This Row],[TE_STARTING_KN]]/(PROPERTIES[[#This Row],[WEIGHT]]*9.81),0)</f>
        <v>0.23951004036034243</v>
      </c>
      <c r="AB856" s="20">
        <v>0</v>
      </c>
      <c r="AC856" s="16">
        <f>ROUND(IF(IFERROR(PROPERTIES[[#This Row],[TE_COEFFICIENT_CALC]],0)=0,PROPERTIES[[#This Row],[TE_COEFFICIENT_MANUAL]],PROPERTIES[[#This Row],[TE_COEFFICIENT_CALC]]),3)</f>
        <v>0.24</v>
      </c>
      <c r="AD856" s="27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6">
        <v>0</v>
      </c>
      <c r="AF856" s="6">
        <v>0</v>
      </c>
      <c r="AG856" t="s">
        <v>232</v>
      </c>
      <c r="AH856" t="s">
        <v>229</v>
      </c>
      <c r="AI856" t="s">
        <v>229</v>
      </c>
      <c r="AJ856" s="2" t="s">
        <v>229</v>
      </c>
      <c r="AK856" s="2" t="s">
        <v>244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44" t="b">
        <v>0</v>
      </c>
      <c r="AP856" s="48" t="b">
        <v>0</v>
      </c>
      <c r="AQ856" s="48" t="b">
        <v>0</v>
      </c>
      <c r="AR856" s="48">
        <v>0</v>
      </c>
      <c r="AS856" s="48" t="b">
        <v>0</v>
      </c>
      <c r="AT856" s="7" t="b">
        <v>0</v>
      </c>
      <c r="AU856" s="40" t="str" cm="1">
        <f t="array" ref="AU856">_xlfn.XLOOKUP(PROPERTIES[[#This Row],[VEHIDCODE]],GRAPHICS_PROPERTIES[VEHIDCODE],GRAPHICS_PROPERTIES[TEMPLATE_ID]&amp;GRAPHICS_PROPERTIES[TEMPLATE_AMENDMENT_CODE])</f>
        <v>TPL_01A</v>
      </c>
    </row>
    <row r="857" spans="1:47" x14ac:dyDescent="0.35">
      <c r="A857" s="2" t="s">
        <v>3452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0" t="str">
        <f>_xlfn.XLOOKUP(PROPERTIES[[#This Row],[VEHIDCODE]],CONTROL[VEHIDCODE],CONTROL[ENGLISH])</f>
        <v>EMD/Clyde JT26C-2SS NSW 81</v>
      </c>
      <c r="F857" t="s">
        <v>541</v>
      </c>
      <c r="G857" s="40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17</v>
      </c>
      <c r="J857">
        <v>0</v>
      </c>
      <c r="K857">
        <v>8</v>
      </c>
      <c r="L857">
        <v>0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3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0">
        <v>370</v>
      </c>
      <c r="AA857" s="20">
        <f>IFERROR(PROPERTIES[[#This Row],[TE_STARTING_KN]]/(PROPERTIES[[#This Row],[WEIGHT]]*9.81),0)</f>
        <v>0.29237686587803935</v>
      </c>
      <c r="AB857" s="20">
        <v>0</v>
      </c>
      <c r="AC857" s="16">
        <f>ROUND(IF(IFERROR(PROPERTIES[[#This Row],[TE_COEFFICIENT_CALC]],0)=0,PROPERTIES[[#This Row],[TE_COEFFICIENT_MANUAL]],PROPERTIES[[#This Row],[TE_COEFFICIENT_CALC]]),3)</f>
        <v>0.29199999999999998</v>
      </c>
      <c r="AD857" s="27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6">
        <v>0</v>
      </c>
      <c r="AF857" s="6">
        <v>0</v>
      </c>
      <c r="AG857" t="s">
        <v>232</v>
      </c>
      <c r="AH857" t="s">
        <v>229</v>
      </c>
      <c r="AI857" t="s">
        <v>229</v>
      </c>
      <c r="AJ857" s="2" t="s">
        <v>229</v>
      </c>
      <c r="AK857" s="2" t="s">
        <v>244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44" t="b">
        <v>0</v>
      </c>
      <c r="AP857" s="48" t="b">
        <v>0</v>
      </c>
      <c r="AQ857" s="48" t="b">
        <v>1</v>
      </c>
      <c r="AR857" s="48">
        <v>0</v>
      </c>
      <c r="AS857" s="48" t="b">
        <v>0</v>
      </c>
      <c r="AT857" s="7" t="b">
        <v>1</v>
      </c>
      <c r="AU857" s="40" t="str" cm="1">
        <f t="array" ref="AU857">_xlfn.XLOOKUP(PROPERTIES[[#This Row],[VEHIDCODE]],GRAPHICS_PROPERTIES[VEHIDCODE],GRAPHICS_PROPERTIES[TEMPLATE_ID]&amp;GRAPHICS_PROPERTIES[TEMPLATE_AMENDMENT_CODE])</f>
        <v>TPL_01A</v>
      </c>
    </row>
    <row r="858" spans="1:47" x14ac:dyDescent="0.35">
      <c r="A858" s="2" t="s">
        <v>3453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0" t="str">
        <f>_xlfn.XLOOKUP(PROPERTIES[[#This Row],[VEHIDCODE]],CONTROL[VEHIDCODE],CONTROL[ENGLISH])</f>
        <v>EMD/Clyde JT26C-2SS V-line G</v>
      </c>
      <c r="F858" t="s">
        <v>541</v>
      </c>
      <c r="G858" s="40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17</v>
      </c>
      <c r="J858">
        <v>0</v>
      </c>
      <c r="K858">
        <v>8</v>
      </c>
      <c r="L858">
        <v>0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3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0">
        <v>337</v>
      </c>
      <c r="AA858" s="20">
        <f>IFERROR(PROPERTIES[[#This Row],[TE_STARTING_KN]]/(PROPERTIES[[#This Row],[WEIGHT]]*9.81),0)</f>
        <v>0.27049371122187704</v>
      </c>
      <c r="AB858" s="20">
        <v>0</v>
      </c>
      <c r="AC858" s="16">
        <f>ROUND(IF(IFERROR(PROPERTIES[[#This Row],[TE_COEFFICIENT_CALC]],0)=0,PROPERTIES[[#This Row],[TE_COEFFICIENT_MANUAL]],PROPERTIES[[#This Row],[TE_COEFFICIENT_CALC]]),3)</f>
        <v>0.27</v>
      </c>
      <c r="AD858" s="27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6">
        <v>0</v>
      </c>
      <c r="AF858" s="6">
        <v>0</v>
      </c>
      <c r="AG858" t="s">
        <v>232</v>
      </c>
      <c r="AH858" t="s">
        <v>229</v>
      </c>
      <c r="AI858" t="s">
        <v>229</v>
      </c>
      <c r="AJ858" s="2" t="s">
        <v>229</v>
      </c>
      <c r="AK858" s="2" t="s">
        <v>244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44" t="b">
        <v>0</v>
      </c>
      <c r="AP858" s="48" t="b">
        <v>0</v>
      </c>
      <c r="AQ858" s="48" t="b">
        <v>0</v>
      </c>
      <c r="AR858" s="48">
        <v>0</v>
      </c>
      <c r="AS858" s="48" t="b">
        <v>0</v>
      </c>
      <c r="AT858" s="7" t="b">
        <v>0</v>
      </c>
      <c r="AU858" s="40" t="str" cm="1">
        <f t="array" ref="AU858">_xlfn.XLOOKUP(PROPERTIES[[#This Row],[VEHIDCODE]],GRAPHICS_PROPERTIES[VEHIDCODE],GRAPHICS_PROPERTIES[TEMPLATE_ID]&amp;GRAPHICS_PROPERTIES[TEMPLATE_AMENDMENT_CODE])</f>
        <v>TPL_01A</v>
      </c>
    </row>
    <row r="859" spans="1:47" x14ac:dyDescent="0.35">
      <c r="A859" s="2" t="s">
        <v>3476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0" t="str">
        <f>_xlfn.XLOOKUP(PROPERTIES[[#This Row],[VEHIDCODE]],CONTROL[VEHIDCODE],CONTROL[ENGLISH])</f>
        <v>EMD/Clyde JT42C</v>
      </c>
      <c r="F859" t="s">
        <v>541</v>
      </c>
      <c r="G859" s="40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17</v>
      </c>
      <c r="J859">
        <v>0</v>
      </c>
      <c r="K859">
        <v>8</v>
      </c>
      <c r="L859">
        <v>0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3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0">
        <v>370</v>
      </c>
      <c r="AA859" s="20">
        <f>IFERROR(PROPERTIES[[#This Row],[TE_STARTING_KN]]/(PROPERTIES[[#This Row],[WEIGHT]]*9.81),0)</f>
        <v>0.28573193710808387</v>
      </c>
      <c r="AB859" s="20">
        <v>0</v>
      </c>
      <c r="AC859" s="16">
        <f>ROUND(IF(IFERROR(PROPERTIES[[#This Row],[TE_COEFFICIENT_CALC]],0)=0,PROPERTIES[[#This Row],[TE_COEFFICIENT_MANUAL]],PROPERTIES[[#This Row],[TE_COEFFICIENT_CALC]]),3)</f>
        <v>0.28599999999999998</v>
      </c>
      <c r="AD859" s="27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6">
        <v>0</v>
      </c>
      <c r="AF859" s="6">
        <v>0</v>
      </c>
      <c r="AG859" t="s">
        <v>232</v>
      </c>
      <c r="AH859" t="s">
        <v>229</v>
      </c>
      <c r="AI859" t="s">
        <v>229</v>
      </c>
      <c r="AJ859" s="2" t="s">
        <v>229</v>
      </c>
      <c r="AK859" s="2" t="s">
        <v>244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44" t="b">
        <v>0</v>
      </c>
      <c r="AP859" s="48" t="b">
        <v>0</v>
      </c>
      <c r="AQ859" s="48" t="b">
        <v>0</v>
      </c>
      <c r="AR859" s="48">
        <v>0</v>
      </c>
      <c r="AS859" s="48" t="b">
        <v>0</v>
      </c>
      <c r="AT859" s="7" t="b">
        <v>0</v>
      </c>
      <c r="AU859" s="40" t="str" cm="1">
        <f t="array" ref="AU859">_xlfn.XLOOKUP(PROPERTIES[[#This Row],[VEHIDCODE]],GRAPHICS_PROPERTIES[VEHIDCODE],GRAPHICS_PROPERTIES[TEMPLATE_ID]&amp;GRAPHICS_PROPERTIES[TEMPLATE_AMENDMENT_CODE])</f>
        <v>TPL_01A</v>
      </c>
    </row>
    <row r="860" spans="1:47" x14ac:dyDescent="0.35">
      <c r="A860" s="2" t="s">
        <v>3458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0" t="str">
        <f>_xlfn.XLOOKUP(PROPERTIES[[#This Row],[VEHIDCODE]],CONTROL[VEHIDCODE],CONTROL[ENGLISH])</f>
        <v>EMD JT42C 90-1277</v>
      </c>
      <c r="F860" t="s">
        <v>541</v>
      </c>
      <c r="G860" s="40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17</v>
      </c>
      <c r="J860">
        <v>0</v>
      </c>
      <c r="K860">
        <v>8</v>
      </c>
      <c r="L860">
        <v>0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3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0">
        <v>331</v>
      </c>
      <c r="AA860" s="20">
        <f>IFERROR(PROPERTIES[[#This Row],[TE_STARTING_KN]]/(PROPERTIES[[#This Row],[WEIGHT]]*9.81),0)</f>
        <v>0.29087138387992545</v>
      </c>
      <c r="AB860" s="20">
        <v>0</v>
      </c>
      <c r="AC860" s="16">
        <f>ROUND(IF(IFERROR(PROPERTIES[[#This Row],[TE_COEFFICIENT_CALC]],0)=0,PROPERTIES[[#This Row],[TE_COEFFICIENT_MANUAL]],PROPERTIES[[#This Row],[TE_COEFFICIENT_CALC]]),3)</f>
        <v>0.29099999999999998</v>
      </c>
      <c r="AD860" s="27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6">
        <v>0</v>
      </c>
      <c r="AF860" s="6">
        <v>0</v>
      </c>
      <c r="AG860" t="s">
        <v>232</v>
      </c>
      <c r="AH860" t="s">
        <v>229</v>
      </c>
      <c r="AI860" t="s">
        <v>229</v>
      </c>
      <c r="AJ860" s="2" t="s">
        <v>229</v>
      </c>
      <c r="AK860" s="2" t="s">
        <v>244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44" t="b">
        <v>0</v>
      </c>
      <c r="AP860" s="48" t="b">
        <v>0</v>
      </c>
      <c r="AQ860" s="48" t="b">
        <v>0</v>
      </c>
      <c r="AR860" s="48">
        <v>0</v>
      </c>
      <c r="AS860" s="48" t="b">
        <v>0</v>
      </c>
      <c r="AT860" s="7" t="b">
        <v>0</v>
      </c>
      <c r="AU860" s="40" t="str" cm="1">
        <f t="array" ref="AU860">_xlfn.XLOOKUP(PROPERTIES[[#This Row],[VEHIDCODE]],GRAPHICS_PROPERTIES[VEHIDCODE],GRAPHICS_PROPERTIES[TEMPLATE_ID]&amp;GRAPHICS_PROPERTIES[TEMPLATE_AMENDMENT_CODE])</f>
        <v>TPL_01A</v>
      </c>
    </row>
    <row r="861" spans="1:47" x14ac:dyDescent="0.35">
      <c r="A861" s="2" t="s">
        <v>3321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0" t="str">
        <f>_xlfn.XLOOKUP(PROPERTIES[[#This Row],[VEHIDCODE]],CONTROL[VEHIDCODE],CONTROL[ENGLISH])</f>
        <v>EMD/Clyde JT42C</v>
      </c>
      <c r="F861" t="s">
        <v>541</v>
      </c>
      <c r="G861" s="40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17</v>
      </c>
      <c r="J861">
        <v>0</v>
      </c>
      <c r="K861">
        <v>8</v>
      </c>
      <c r="L861">
        <v>0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3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0">
        <v>267</v>
      </c>
      <c r="AA861" s="20">
        <f>IFERROR(PROPERTIES[[#This Row],[TE_STARTING_KN]]/(PROPERTIES[[#This Row],[WEIGHT]]*9.81),0)</f>
        <v>0.23874671387949994</v>
      </c>
      <c r="AB861" s="20">
        <v>0</v>
      </c>
      <c r="AC861" s="16">
        <f>ROUND(IF(IFERROR(PROPERTIES[[#This Row],[TE_COEFFICIENT_CALC]],0)=0,PROPERTIES[[#This Row],[TE_COEFFICIENT_MANUAL]],PROPERTIES[[#This Row],[TE_COEFFICIENT_CALC]]),3)</f>
        <v>0.23899999999999999</v>
      </c>
      <c r="AD861" s="27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6">
        <v>0</v>
      </c>
      <c r="AF861" s="6">
        <v>0</v>
      </c>
      <c r="AG861" t="s">
        <v>232</v>
      </c>
      <c r="AH861" t="s">
        <v>229</v>
      </c>
      <c r="AI861" t="s">
        <v>229</v>
      </c>
      <c r="AJ861" s="2" t="s">
        <v>229</v>
      </c>
      <c r="AK861" s="2" t="s">
        <v>244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44" t="b">
        <v>0</v>
      </c>
      <c r="AP861" s="48" t="b">
        <v>0</v>
      </c>
      <c r="AQ861" s="48" t="b">
        <v>1</v>
      </c>
      <c r="AR861" s="48">
        <v>0</v>
      </c>
      <c r="AS861" s="48" t="b">
        <v>0</v>
      </c>
      <c r="AT861" s="7" t="b">
        <v>1</v>
      </c>
      <c r="AU861" s="40" t="str" cm="1">
        <f t="array" ref="AU861">_xlfn.XLOOKUP(PROPERTIES[[#This Row],[VEHIDCODE]],GRAPHICS_PROPERTIES[VEHIDCODE],GRAPHICS_PROPERTIES[TEMPLATE_ID]&amp;GRAPHICS_PROPERTIES[TEMPLATE_AMENDMENT_CODE])</f>
        <v>TPL_01A</v>
      </c>
    </row>
    <row r="862" spans="1:47" x14ac:dyDescent="0.35">
      <c r="A862" s="2" t="s">
        <v>3459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0" t="str">
        <f>_xlfn.XLOOKUP(PROPERTIES[[#This Row],[VEHIDCODE]],CONTROL[VEHIDCODE],CONTROL[ENGLISH])</f>
        <v>EMD/Clyde ML2</v>
      </c>
      <c r="F862" t="s">
        <v>541</v>
      </c>
      <c r="G862" s="40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17</v>
      </c>
      <c r="J862">
        <v>0</v>
      </c>
      <c r="K862">
        <v>8</v>
      </c>
      <c r="L862">
        <v>0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3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0">
        <v>413</v>
      </c>
      <c r="AA862" s="20">
        <f>IFERROR(PROPERTIES[[#This Row],[TE_STARTING_KN]]/(PROPERTIES[[#This Row],[WEIGHT]]*9.81),0)</f>
        <v>0.31893862169091525</v>
      </c>
      <c r="AB862" s="20">
        <v>0</v>
      </c>
      <c r="AC862" s="16">
        <f>ROUND(IF(IFERROR(PROPERTIES[[#This Row],[TE_COEFFICIENT_CALC]],0)=0,PROPERTIES[[#This Row],[TE_COEFFICIENT_MANUAL]],PROPERTIES[[#This Row],[TE_COEFFICIENT_CALC]]),3)</f>
        <v>0.31900000000000001</v>
      </c>
      <c r="AD862" s="27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6">
        <v>0</v>
      </c>
      <c r="AF862" s="6">
        <v>0</v>
      </c>
      <c r="AG862" t="s">
        <v>232</v>
      </c>
      <c r="AH862" t="s">
        <v>229</v>
      </c>
      <c r="AI862" t="s">
        <v>229</v>
      </c>
      <c r="AJ862" s="2" t="s">
        <v>229</v>
      </c>
      <c r="AK862" s="2" t="s">
        <v>244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44" t="b">
        <v>0</v>
      </c>
      <c r="AP862" s="48" t="b">
        <v>0</v>
      </c>
      <c r="AQ862" s="48" t="b">
        <v>0</v>
      </c>
      <c r="AR862" s="48">
        <v>0</v>
      </c>
      <c r="AS862" s="48" t="b">
        <v>0</v>
      </c>
      <c r="AT862" s="7" t="b">
        <v>0</v>
      </c>
      <c r="AU862" s="40" t="str" cm="1">
        <f t="array" ref="AU862">_xlfn.XLOOKUP(PROPERTIES[[#This Row],[VEHIDCODE]],GRAPHICS_PROPERTIES[VEHIDCODE],GRAPHICS_PROPERTIES[TEMPLATE_ID]&amp;GRAPHICS_PROPERTIES[TEMPLATE_AMENDMENT_CODE])</f>
        <v>TPL_01A</v>
      </c>
    </row>
    <row r="863" spans="1:47" x14ac:dyDescent="0.35">
      <c r="A863" s="2" t="s">
        <v>3322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0" t="str">
        <f>_xlfn.XLOOKUP(PROPERTIES[[#This Row],[VEHIDCODE]],CONTROL[VEHIDCODE],CONTROL[ENGLISH])</f>
        <v>EMD/Clyde G16C X1</v>
      </c>
      <c r="F863" t="s">
        <v>541</v>
      </c>
      <c r="G863" s="40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17</v>
      </c>
      <c r="J863">
        <v>0</v>
      </c>
      <c r="K863">
        <v>8</v>
      </c>
      <c r="L863">
        <v>0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3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0">
        <v>330</v>
      </c>
      <c r="AA863" s="20">
        <f>IFERROR(PROPERTIES[[#This Row],[TE_STARTING_KN]]/(PROPERTIES[[#This Row],[WEIGHT]]*9.81),0)</f>
        <v>0.2950802081656741</v>
      </c>
      <c r="AB863" s="20">
        <v>0</v>
      </c>
      <c r="AC863" s="16">
        <f>ROUND(IF(IFERROR(PROPERTIES[[#This Row],[TE_COEFFICIENT_CALC]],0)=0,PROPERTIES[[#This Row],[TE_COEFFICIENT_MANUAL]],PROPERTIES[[#This Row],[TE_COEFFICIENT_CALC]]),3)</f>
        <v>0.29499999999999998</v>
      </c>
      <c r="AD863" s="27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6">
        <v>0</v>
      </c>
      <c r="AF863" s="6">
        <v>0</v>
      </c>
      <c r="AG863" t="s">
        <v>232</v>
      </c>
      <c r="AH863" t="s">
        <v>229</v>
      </c>
      <c r="AI863" t="s">
        <v>229</v>
      </c>
      <c r="AJ863" s="2" t="s">
        <v>229</v>
      </c>
      <c r="AK863" s="2" t="s">
        <v>244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44" t="b">
        <v>0</v>
      </c>
      <c r="AP863" s="48" t="b">
        <v>0</v>
      </c>
      <c r="AQ863" s="48" t="b">
        <v>0</v>
      </c>
      <c r="AR863" s="48">
        <v>0</v>
      </c>
      <c r="AS863" s="48" t="b">
        <v>0</v>
      </c>
      <c r="AT863" s="7" t="b">
        <v>0</v>
      </c>
      <c r="AU863" s="40" t="str" cm="1">
        <f t="array" ref="AU863">_xlfn.XLOOKUP(PROPERTIES[[#This Row],[VEHIDCODE]],GRAPHICS_PROPERTIES[VEHIDCODE],GRAPHICS_PROPERTIES[TEMPLATE_ID]&amp;GRAPHICS_PROPERTIES[TEMPLATE_AMENDMENT_CODE])</f>
        <v>TPL_01A</v>
      </c>
    </row>
    <row r="864" spans="1:47" x14ac:dyDescent="0.35">
      <c r="A864" s="2" t="s">
        <v>3323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0" t="str">
        <f>_xlfn.XLOOKUP(PROPERTIES[[#This Row],[VEHIDCODE]],CONTROL[VEHIDCODE],CONTROL[ENGLISH])</f>
        <v>EMD/Clyde G26C X2</v>
      </c>
      <c r="F864" t="s">
        <v>541</v>
      </c>
      <c r="G864" s="40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17</v>
      </c>
      <c r="J864">
        <v>0</v>
      </c>
      <c r="K864">
        <v>8</v>
      </c>
      <c r="L864">
        <v>0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3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0">
        <v>350</v>
      </c>
      <c r="AA864" s="20">
        <f>IFERROR(PROPERTIES[[#This Row],[TE_STARTING_KN]]/(PROPERTIES[[#This Row],[WEIGHT]]*9.81),0)</f>
        <v>0.30756792857393933</v>
      </c>
      <c r="AB864" s="20">
        <v>0</v>
      </c>
      <c r="AC864" s="16">
        <f>ROUND(IF(IFERROR(PROPERTIES[[#This Row],[TE_COEFFICIENT_CALC]],0)=0,PROPERTIES[[#This Row],[TE_COEFFICIENT_MANUAL]],PROPERTIES[[#This Row],[TE_COEFFICIENT_CALC]]),3)</f>
        <v>0.308</v>
      </c>
      <c r="AD864" s="27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6">
        <v>0</v>
      </c>
      <c r="AF864" s="6">
        <v>0</v>
      </c>
      <c r="AG864" t="s">
        <v>232</v>
      </c>
      <c r="AH864" t="s">
        <v>229</v>
      </c>
      <c r="AI864" t="s">
        <v>229</v>
      </c>
      <c r="AJ864" s="2" t="s">
        <v>229</v>
      </c>
      <c r="AK864" s="2" t="s">
        <v>244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44" t="b">
        <v>0</v>
      </c>
      <c r="AP864" s="48" t="b">
        <v>0</v>
      </c>
      <c r="AQ864" s="48" t="b">
        <v>1</v>
      </c>
      <c r="AR864" s="48">
        <v>0</v>
      </c>
      <c r="AS864" s="48" t="b">
        <v>0</v>
      </c>
      <c r="AT864" s="7" t="b">
        <v>1</v>
      </c>
      <c r="AU864" s="40" t="str" cm="1">
        <f t="array" ref="AU864">_xlfn.XLOOKUP(PROPERTIES[[#This Row],[VEHIDCODE]],GRAPHICS_PROPERTIES[VEHIDCODE],GRAPHICS_PROPERTIES[TEMPLATE_ID]&amp;GRAPHICS_PROPERTIES[TEMPLATE_AMENDMENT_CODE])</f>
        <v>TPL_01A</v>
      </c>
    </row>
    <row r="865" spans="1:47" x14ac:dyDescent="0.35">
      <c r="A865" s="2" t="s">
        <v>3324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0" t="str">
        <f>_xlfn.XLOOKUP(PROPERTIES[[#This Row],[VEHIDCODE]],CONTROL[VEHIDCODE],CONTROL[ENGLISH])</f>
        <v>EMD/Clyde G26C X3</v>
      </c>
      <c r="F865" t="s">
        <v>541</v>
      </c>
      <c r="G865" s="40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17</v>
      </c>
      <c r="J865">
        <v>0</v>
      </c>
      <c r="K865">
        <v>8</v>
      </c>
      <c r="L865">
        <v>0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3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0">
        <v>370</v>
      </c>
      <c r="AA865" s="20">
        <f>IFERROR(PROPERTIES[[#This Row],[TE_STARTING_KN]]/(PROPERTIES[[#This Row],[WEIGHT]]*9.81),0)</f>
        <v>0.32514323877816442</v>
      </c>
      <c r="AB865" s="20">
        <v>0</v>
      </c>
      <c r="AC865" s="16">
        <f>ROUND(IF(IFERROR(PROPERTIES[[#This Row],[TE_COEFFICIENT_CALC]],0)=0,PROPERTIES[[#This Row],[TE_COEFFICIENT_MANUAL]],PROPERTIES[[#This Row],[TE_COEFFICIENT_CALC]]),3)</f>
        <v>0.32500000000000001</v>
      </c>
      <c r="AD865" s="27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6">
        <v>0</v>
      </c>
      <c r="AF865" s="6">
        <v>0</v>
      </c>
      <c r="AG865" t="s">
        <v>232</v>
      </c>
      <c r="AH865" t="s">
        <v>229</v>
      </c>
      <c r="AI865" t="s">
        <v>229</v>
      </c>
      <c r="AJ865" s="2" t="s">
        <v>229</v>
      </c>
      <c r="AK865" s="2" t="s">
        <v>244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44" t="b">
        <v>0</v>
      </c>
      <c r="AP865" s="48" t="b">
        <v>0</v>
      </c>
      <c r="AQ865" s="48" t="b">
        <v>1</v>
      </c>
      <c r="AR865" s="48">
        <v>0</v>
      </c>
      <c r="AS865" s="48" t="b">
        <v>0</v>
      </c>
      <c r="AT865" s="7" t="b">
        <v>1</v>
      </c>
      <c r="AU865" s="40" t="str" cm="1">
        <f t="array" ref="AU865">_xlfn.XLOOKUP(PROPERTIES[[#This Row],[VEHIDCODE]],GRAPHICS_PROPERTIES[VEHIDCODE],GRAPHICS_PROPERTIES[TEMPLATE_ID]&amp;GRAPHICS_PROPERTIES[TEMPLATE_AMENDMENT_CODE])</f>
        <v>TPL_01A</v>
      </c>
    </row>
    <row r="866" spans="1:47" x14ac:dyDescent="0.35">
      <c r="A866" s="2" t="s">
        <v>3325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0" t="str">
        <f>_xlfn.XLOOKUP(PROPERTIES[[#This Row],[VEHIDCODE]],CONTROL[VEHIDCODE],CONTROL[ENGLISH])</f>
        <v>ALCO/Comeng CE615A</v>
      </c>
      <c r="F866" t="s">
        <v>541</v>
      </c>
      <c r="G866" s="40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17</v>
      </c>
      <c r="J866">
        <v>0</v>
      </c>
      <c r="K866">
        <v>8</v>
      </c>
      <c r="L866">
        <v>0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3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0">
        <v>356</v>
      </c>
      <c r="AA866" s="20">
        <f>IFERROR(PROPERTIES[[#This Row],[TE_STARTING_KN]]/(PROPERTIES[[#This Row],[WEIGHT]]*9.81),0)</f>
        <v>0.2974549222105245</v>
      </c>
      <c r="AB866" s="20">
        <v>0</v>
      </c>
      <c r="AC866" s="16">
        <f>ROUND(IF(IFERROR(PROPERTIES[[#This Row],[TE_COEFFICIENT_CALC]],0)=0,PROPERTIES[[#This Row],[TE_COEFFICIENT_MANUAL]],PROPERTIES[[#This Row],[TE_COEFFICIENT_CALC]]),3)</f>
        <v>0.29699999999999999</v>
      </c>
      <c r="AD866" s="27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6">
        <v>0</v>
      </c>
      <c r="AF866" s="6">
        <v>0</v>
      </c>
      <c r="AG866" t="s">
        <v>232</v>
      </c>
      <c r="AH866" t="s">
        <v>229</v>
      </c>
      <c r="AI866" t="s">
        <v>229</v>
      </c>
      <c r="AJ866" s="2" t="s">
        <v>229</v>
      </c>
      <c r="AK866" s="2" t="s">
        <v>244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44" t="b">
        <v>0</v>
      </c>
      <c r="AP866" s="48" t="b">
        <v>0</v>
      </c>
      <c r="AQ866" s="48" t="b">
        <v>0</v>
      </c>
      <c r="AR866" s="48">
        <v>0</v>
      </c>
      <c r="AS866" s="48" t="b">
        <v>0</v>
      </c>
      <c r="AT866" s="7" t="b">
        <v>0</v>
      </c>
      <c r="AU866" s="40" t="str" cm="1">
        <f t="array" ref="AU866">_xlfn.XLOOKUP(PROPERTIES[[#This Row],[VEHIDCODE]],GRAPHICS_PROPERTIES[VEHIDCODE],GRAPHICS_PROPERTIES[TEMPLATE_ID]&amp;GRAPHICS_PROPERTIES[TEMPLATE_AMENDMENT_CODE])</f>
        <v>TPL_01A</v>
      </c>
    </row>
    <row r="867" spans="1:47" x14ac:dyDescent="0.35">
      <c r="A867" t="s">
        <v>3326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0" t="str">
        <f>_xlfn.XLOOKUP(PROPERTIES[[#This Row],[VEHIDCODE]],CONTROL[VEHIDCODE],CONTROL[ENGLISH])</f>
        <v>Comeng Class 85</v>
      </c>
      <c r="F867" t="s">
        <v>541</v>
      </c>
      <c r="G867" s="40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17</v>
      </c>
      <c r="J867">
        <v>0</v>
      </c>
      <c r="K867">
        <v>8</v>
      </c>
      <c r="L867">
        <v>0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3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0">
        <v>341</v>
      </c>
      <c r="AA867" s="20">
        <f>IFERROR(PROPERTIES[[#This Row],[TE_STARTING_KN]]/(PROPERTIES[[#This Row],[WEIGHT]]*9.81),0)</f>
        <v>0.28260527253590578</v>
      </c>
      <c r="AB867" s="20">
        <v>0</v>
      </c>
      <c r="AC867" s="16">
        <f>ROUND(IF(IFERROR(PROPERTIES[[#This Row],[TE_COEFFICIENT_CALC]],0)=0,PROPERTIES[[#This Row],[TE_COEFFICIENT_MANUAL]],PROPERTIES[[#This Row],[TE_COEFFICIENT_CALC]]),3)</f>
        <v>0.28299999999999997</v>
      </c>
      <c r="AD867" s="27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6">
        <v>0</v>
      </c>
      <c r="AF867" s="6">
        <v>0</v>
      </c>
      <c r="AG867" t="s">
        <v>232</v>
      </c>
      <c r="AH867" t="s">
        <v>229</v>
      </c>
      <c r="AI867" t="s">
        <v>229</v>
      </c>
      <c r="AJ867" s="2" t="s">
        <v>229</v>
      </c>
      <c r="AK867" s="2" t="s">
        <v>244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44" t="b">
        <v>0</v>
      </c>
      <c r="AP867" s="48" t="b">
        <v>0</v>
      </c>
      <c r="AQ867" s="48" t="b">
        <v>0</v>
      </c>
      <c r="AR867" s="48">
        <v>0</v>
      </c>
      <c r="AS867" s="48" t="b">
        <v>0</v>
      </c>
      <c r="AT867" s="7" t="b">
        <v>0</v>
      </c>
      <c r="AU867" s="40" t="str" cm="1">
        <f t="array" ref="AU867">_xlfn.XLOOKUP(PROPERTIES[[#This Row],[VEHIDCODE]],GRAPHICS_PROPERTIES[VEHIDCODE],GRAPHICS_PROPERTIES[TEMPLATE_ID]&amp;GRAPHICS_PROPERTIES[TEMPLATE_AMENDMENT_CODE])</f>
        <v>TPL_01A</v>
      </c>
    </row>
    <row r="868" spans="1:47" x14ac:dyDescent="0.35">
      <c r="A868" s="2" t="s">
        <v>3327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0" t="str">
        <f>_xlfn.XLOOKUP(PROPERTIES[[#This Row],[VEHIDCODE]],CONTROL[VEHIDCODE],CONTROL[ENGLISH])</f>
        <v>Comeng Maldon-Dombarton '8650'</v>
      </c>
      <c r="F868" t="s">
        <v>541</v>
      </c>
      <c r="G868" s="40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17</v>
      </c>
      <c r="J868">
        <v>0</v>
      </c>
      <c r="K868">
        <v>8</v>
      </c>
      <c r="L868">
        <v>0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3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0">
        <v>450</v>
      </c>
      <c r="AA868" s="20">
        <f>IFERROR(PROPERTIES[[#This Row],[TE_STARTING_KN]]/(PROPERTIES[[#This Row],[WEIGHT]]*9.81),0)</f>
        <v>0.38226299694189603</v>
      </c>
      <c r="AB868" s="20">
        <v>0</v>
      </c>
      <c r="AC868" s="16">
        <f>ROUND(IF(IFERROR(PROPERTIES[[#This Row],[TE_COEFFICIENT_CALC]],0)=0,PROPERTIES[[#This Row],[TE_COEFFICIENT_MANUAL]],PROPERTIES[[#This Row],[TE_COEFFICIENT_CALC]]),3)</f>
        <v>0.38200000000000001</v>
      </c>
      <c r="AD868" s="27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6">
        <v>0</v>
      </c>
      <c r="AF868" s="6">
        <v>0</v>
      </c>
      <c r="AG868" t="s">
        <v>232</v>
      </c>
      <c r="AH868" t="s">
        <v>229</v>
      </c>
      <c r="AI868" t="s">
        <v>229</v>
      </c>
      <c r="AJ868" s="2" t="s">
        <v>229</v>
      </c>
      <c r="AK868" s="2" t="s">
        <v>245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44" t="b">
        <v>0</v>
      </c>
      <c r="AP868" s="48" t="b">
        <v>0</v>
      </c>
      <c r="AQ868" s="48" t="b">
        <v>0</v>
      </c>
      <c r="AR868" s="48">
        <v>0</v>
      </c>
      <c r="AS868" s="48" t="b">
        <v>0</v>
      </c>
      <c r="AT868" s="7" t="b">
        <v>0</v>
      </c>
      <c r="AU868" s="40" t="str" cm="1">
        <f t="array" ref="AU868">_xlfn.XLOOKUP(PROPERTIES[[#This Row],[VEHIDCODE]],GRAPHICS_PROPERTIES[VEHIDCODE],GRAPHICS_PROPERTIES[TEMPLATE_ID]&amp;GRAPHICS_PROPERTIES[TEMPLATE_AMENDMENT_CODE])</f>
        <v>TPL_01A</v>
      </c>
    </row>
    <row r="869" spans="1:47" x14ac:dyDescent="0.35">
      <c r="A869" s="2" t="s">
        <v>3328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0" t="str">
        <f>_xlfn.XLOOKUP(PROPERTIES[[#This Row],[VEHIDCODE]],CONTROL[VEHIDCODE],CONTROL[ENGLISH])</f>
        <v>EMD/NOHAB J30C-2DSB MZ III</v>
      </c>
      <c r="F869" t="s">
        <v>541</v>
      </c>
      <c r="G869" s="40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17</v>
      </c>
      <c r="J869">
        <v>0</v>
      </c>
      <c r="K869">
        <v>8</v>
      </c>
      <c r="L869">
        <v>0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3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0">
        <v>390</v>
      </c>
      <c r="AA869" s="20">
        <f>IFERROR(PROPERTIES[[#This Row],[TE_STARTING_KN]]/(PROPERTIES[[#This Row],[WEIGHT]]*9.81),0)</f>
        <v>0.32828531529279265</v>
      </c>
      <c r="AB869" s="20">
        <v>0</v>
      </c>
      <c r="AC869" s="16">
        <f>ROUND(IF(IFERROR(PROPERTIES[[#This Row],[TE_COEFFICIENT_CALC]],0)=0,PROPERTIES[[#This Row],[TE_COEFFICIENT_MANUAL]],PROPERTIES[[#This Row],[TE_COEFFICIENT_CALC]]),3)</f>
        <v>0.32800000000000001</v>
      </c>
      <c r="AD869" s="27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6">
        <v>0</v>
      </c>
      <c r="AF869" s="6">
        <v>0</v>
      </c>
      <c r="AG869" t="s">
        <v>232</v>
      </c>
      <c r="AH869" t="s">
        <v>234</v>
      </c>
      <c r="AI869" t="s">
        <v>229</v>
      </c>
      <c r="AJ869" s="2" t="s">
        <v>229</v>
      </c>
      <c r="AK869" s="2" t="s">
        <v>244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44" t="b">
        <v>0</v>
      </c>
      <c r="AP869" s="48" t="b">
        <v>0</v>
      </c>
      <c r="AQ869" s="48" t="b">
        <v>0</v>
      </c>
      <c r="AR869" s="48">
        <v>0</v>
      </c>
      <c r="AS869" s="48" t="b">
        <v>0</v>
      </c>
      <c r="AT869" s="7" t="b">
        <v>0</v>
      </c>
      <c r="AU869" s="40" t="str" cm="1">
        <f t="array" ref="AU869">_xlfn.XLOOKUP(PROPERTIES[[#This Row],[VEHIDCODE]],GRAPHICS_PROPERTIES[VEHIDCODE],GRAPHICS_PROPERTIES[TEMPLATE_ID]&amp;GRAPHICS_PROPERTIES[TEMPLATE_AMENDMENT_CODE])</f>
        <v>TPL_01A</v>
      </c>
    </row>
    <row r="870" spans="1:47" x14ac:dyDescent="0.35">
      <c r="A870" s="2" t="s">
        <v>3329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0" t="str">
        <f>_xlfn.XLOOKUP(PROPERTIES[[#This Row],[VEHIDCODE]],CONTROL[VEHIDCODE],CONTROL[ENGLISH])</f>
        <v>EMD/Clyde AT26C 'Twin 16-645'</v>
      </c>
      <c r="F870" t="s">
        <v>541</v>
      </c>
      <c r="G870" s="40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17</v>
      </c>
      <c r="J870">
        <v>0</v>
      </c>
      <c r="K870">
        <v>8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3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0">
        <v>600</v>
      </c>
      <c r="AA870" s="20">
        <f>IFERROR(PROPERTIES[[#This Row],[TE_STARTING_KN]]/(PROPERTIES[[#This Row],[WEIGHT]]*9.81),0)</f>
        <v>0.3058103975535168</v>
      </c>
      <c r="AB870" s="20">
        <v>0</v>
      </c>
      <c r="AC870" s="16">
        <f>ROUND(IF(IFERROR(PROPERTIES[[#This Row],[TE_COEFFICIENT_CALC]],0)=0,PROPERTIES[[#This Row],[TE_COEFFICIENT_MANUAL]],PROPERTIES[[#This Row],[TE_COEFFICIENT_CALC]]),3)</f>
        <v>0.30599999999999999</v>
      </c>
      <c r="AD870" s="27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6">
        <v>0</v>
      </c>
      <c r="AF870" s="6">
        <v>1</v>
      </c>
      <c r="AG870" t="s">
        <v>232</v>
      </c>
      <c r="AH870" t="s">
        <v>229</v>
      </c>
      <c r="AI870" t="s">
        <v>229</v>
      </c>
      <c r="AJ870" s="2" t="s">
        <v>229</v>
      </c>
      <c r="AK870" s="2" t="s">
        <v>245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44" t="b">
        <v>0</v>
      </c>
      <c r="AP870" s="48" t="b">
        <v>0</v>
      </c>
      <c r="AQ870" s="48" t="b">
        <v>0</v>
      </c>
      <c r="AR870" s="48">
        <v>0</v>
      </c>
      <c r="AS870" s="48" t="b">
        <v>0</v>
      </c>
      <c r="AT870" s="7" t="b">
        <v>0</v>
      </c>
      <c r="AU870" s="40" t="str" cm="1">
        <f t="array" ref="AU870">_xlfn.XLOOKUP(PROPERTIES[[#This Row],[VEHIDCODE]],GRAPHICS_PROPERTIES[VEHIDCODE],GRAPHICS_PROPERTIES[TEMPLATE_ID]&amp;GRAPHICS_PROPERTIES[TEMPLATE_AMENDMENT_CODE])</f>
        <v>TPL_16A</v>
      </c>
    </row>
    <row r="871" spans="1:47" x14ac:dyDescent="0.35">
      <c r="A871" s="2" t="s">
        <v>3460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0" t="str">
        <f>_xlfn.XLOOKUP(PROPERTIES[[#This Row],[VEHIDCODE]],CONTROL[VEHIDCODE],CONTROL[ENGLISH])</f>
        <v>EMD/Clyde GL26C-2</v>
      </c>
      <c r="F871" t="s">
        <v>541</v>
      </c>
      <c r="G871" s="40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17</v>
      </c>
      <c r="J871">
        <v>0</v>
      </c>
      <c r="K871">
        <v>7</v>
      </c>
      <c r="L871">
        <v>0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3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0">
        <v>286</v>
      </c>
      <c r="AA871" s="20">
        <f>IFERROR(PROPERTIES[[#This Row],[TE_STARTING_KN]]/(PROPERTIES[[#This Row],[WEIGHT]]*9.81),0)</f>
        <v>0.29901461094121645</v>
      </c>
      <c r="AB871" s="20">
        <v>0</v>
      </c>
      <c r="AC871" s="16">
        <f>ROUND(IF(IFERROR(PROPERTIES[[#This Row],[TE_COEFFICIENT_CALC]],0)=0,PROPERTIES[[#This Row],[TE_COEFFICIENT_MANUAL]],PROPERTIES[[#This Row],[TE_COEFFICIENT_CALC]]),3)</f>
        <v>0.29899999999999999</v>
      </c>
      <c r="AD871" s="27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6">
        <v>0</v>
      </c>
      <c r="AF871" s="6">
        <v>0</v>
      </c>
      <c r="AG871" t="s">
        <v>232</v>
      </c>
      <c r="AH871" t="s">
        <v>229</v>
      </c>
      <c r="AI871" t="s">
        <v>229</v>
      </c>
      <c r="AJ871" s="2" t="s">
        <v>229</v>
      </c>
      <c r="AK871" s="2" t="s">
        <v>244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44" t="b">
        <v>0</v>
      </c>
      <c r="AP871" s="48" t="b">
        <v>0</v>
      </c>
      <c r="AQ871" s="48" t="b">
        <v>0</v>
      </c>
      <c r="AR871" s="48">
        <v>0</v>
      </c>
      <c r="AS871" s="48" t="b">
        <v>0</v>
      </c>
      <c r="AT871" s="7" t="b">
        <v>0</v>
      </c>
      <c r="AU871" s="40" t="str" cm="1">
        <f t="array" ref="AU871">_xlfn.XLOOKUP(PROPERTIES[[#This Row],[VEHIDCODE]],GRAPHICS_PROPERTIES[VEHIDCODE],GRAPHICS_PROPERTIES[TEMPLATE_ID]&amp;GRAPHICS_PROPERTIES[TEMPLATE_AMENDMENT_CODE])</f>
        <v>TPL_01A</v>
      </c>
    </row>
    <row r="872" spans="1:47" x14ac:dyDescent="0.35">
      <c r="A872" s="2" t="s">
        <v>3330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0" t="str">
        <f>_xlfn.XLOOKUP(PROPERTIES[[#This Row],[VEHIDCODE]],CONTROL[VEHIDCODE],CONTROL[ENGLISH])</f>
        <v xml:space="preserve">EEC A.249 </v>
      </c>
      <c r="F872" t="s">
        <v>541</v>
      </c>
      <c r="G872" s="40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17</v>
      </c>
      <c r="J872">
        <v>0</v>
      </c>
      <c r="K872">
        <v>7</v>
      </c>
      <c r="L872">
        <v>0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3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0">
        <f>240*1.3</f>
        <v>312</v>
      </c>
      <c r="AA872" s="20">
        <f>IFERROR(PROPERTIES[[#This Row],[TE_STARTING_KN]]/(PROPERTIES[[#This Row],[WEIGHT]]*9.81),0)</f>
        <v>0.33129459734964323</v>
      </c>
      <c r="AB872" s="20">
        <v>0</v>
      </c>
      <c r="AC872" s="16">
        <f>ROUND(IF(IFERROR(PROPERTIES[[#This Row],[TE_COEFFICIENT_CALC]],0)=0,PROPERTIES[[#This Row],[TE_COEFFICIENT_MANUAL]],PROPERTIES[[#This Row],[TE_COEFFICIENT_CALC]]),3)</f>
        <v>0.33100000000000002</v>
      </c>
      <c r="AD872" s="27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6">
        <v>0</v>
      </c>
      <c r="AF872" s="6">
        <v>0</v>
      </c>
      <c r="AG872" t="s">
        <v>232</v>
      </c>
      <c r="AH872" t="s">
        <v>229</v>
      </c>
      <c r="AI872" t="s">
        <v>229</v>
      </c>
      <c r="AJ872" s="2" t="s">
        <v>229</v>
      </c>
      <c r="AK872" s="2" t="s">
        <v>244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44" t="b">
        <v>0</v>
      </c>
      <c r="AP872" s="48" t="b">
        <v>0</v>
      </c>
      <c r="AQ872" s="48" t="b">
        <v>0</v>
      </c>
      <c r="AR872" s="48">
        <v>0</v>
      </c>
      <c r="AS872" s="48" t="b">
        <v>0</v>
      </c>
      <c r="AT872" s="7" t="b">
        <v>0</v>
      </c>
      <c r="AU872" s="40" t="str" cm="1">
        <f t="array" ref="AU872">_xlfn.XLOOKUP(PROPERTIES[[#This Row],[VEHIDCODE]],GRAPHICS_PROPERTIES[VEHIDCODE],GRAPHICS_PROPERTIES[TEMPLATE_ID]&amp;GRAPHICS_PROPERTIES[TEMPLATE_AMENDMENT_CODE])</f>
        <v>TPL_01A</v>
      </c>
    </row>
    <row r="873" spans="1:47" x14ac:dyDescent="0.35">
      <c r="A873" s="2" t="s">
        <v>3331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0" t="str">
        <f>_xlfn.XLOOKUP(PROPERTIES[[#This Row],[VEHIDCODE]],CONTROL[VEHIDCODE],CONTROL[ENGLISH])</f>
        <v>EEC A.253</v>
      </c>
      <c r="F873" t="s">
        <v>541</v>
      </c>
      <c r="G873" s="40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17</v>
      </c>
      <c r="J873">
        <v>0</v>
      </c>
      <c r="K873">
        <v>7</v>
      </c>
      <c r="L873">
        <v>0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3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0">
        <v>200</v>
      </c>
      <c r="AA873" s="20">
        <f>IFERROR(PROPERTIES[[#This Row],[TE_STARTING_KN]]/(PROPERTIES[[#This Row],[WEIGHT]]*9.81),0)</f>
        <v>0.22305645335778029</v>
      </c>
      <c r="AB873" s="20">
        <v>0</v>
      </c>
      <c r="AC873" s="16">
        <f>ROUND(IF(IFERROR(PROPERTIES[[#This Row],[TE_COEFFICIENT_CALC]],0)=0,PROPERTIES[[#This Row],[TE_COEFFICIENT_MANUAL]],PROPERTIES[[#This Row],[TE_COEFFICIENT_CALC]]),3)</f>
        <v>0.223</v>
      </c>
      <c r="AD873" s="27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6">
        <v>0</v>
      </c>
      <c r="AF873" s="6">
        <v>0</v>
      </c>
      <c r="AG873" t="s">
        <v>232</v>
      </c>
      <c r="AH873" t="s">
        <v>229</v>
      </c>
      <c r="AI873" t="s">
        <v>229</v>
      </c>
      <c r="AJ873" s="2" t="s">
        <v>229</v>
      </c>
      <c r="AK873" s="2" t="s">
        <v>244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44" t="b">
        <v>0</v>
      </c>
      <c r="AP873" s="48" t="b">
        <v>0</v>
      </c>
      <c r="AQ873" s="48" t="b">
        <v>0</v>
      </c>
      <c r="AR873" s="48">
        <v>0</v>
      </c>
      <c r="AS873" s="48" t="b">
        <v>0</v>
      </c>
      <c r="AT873" s="7" t="b">
        <v>0</v>
      </c>
      <c r="AU873" s="40" t="str" cm="1">
        <f t="array" ref="AU873">_xlfn.XLOOKUP(PROPERTIES[[#This Row],[VEHIDCODE]],GRAPHICS_PROPERTIES[VEHIDCODE],GRAPHICS_PROPERTIES[TEMPLATE_ID]&amp;GRAPHICS_PROPERTIES[TEMPLATE_AMENDMENT_CODE])</f>
        <v>TPL_01A</v>
      </c>
    </row>
    <row r="874" spans="1:47" x14ac:dyDescent="0.35">
      <c r="A874" s="2" t="s">
        <v>3332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0" t="str">
        <f>_xlfn.XLOOKUP(PROPERTIES[[#This Row],[VEHIDCODE]],CONTROL[VEHIDCODE],CONTROL[ENGLISH])</f>
        <v>GE U26C</v>
      </c>
      <c r="F874" t="s">
        <v>697</v>
      </c>
      <c r="G874" s="40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17</v>
      </c>
      <c r="J874">
        <v>0</v>
      </c>
      <c r="K874">
        <v>7</v>
      </c>
      <c r="L874">
        <v>0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3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0">
        <f>259*1.3</f>
        <v>336.7</v>
      </c>
      <c r="AA874" s="20">
        <f>IFERROR(PROPERTIES[[#This Row],[TE_STARTING_KN]]/(PROPERTIES[[#This Row],[WEIGHT]]*9.81),0)</f>
        <v>0.35202174651715934</v>
      </c>
      <c r="AB874" s="20">
        <v>0</v>
      </c>
      <c r="AC874" s="16">
        <f>ROUND(IF(IFERROR(PROPERTIES[[#This Row],[TE_COEFFICIENT_CALC]],0)=0,PROPERTIES[[#This Row],[TE_COEFFICIENT_MANUAL]],PROPERTIES[[#This Row],[TE_COEFFICIENT_CALC]]),3)</f>
        <v>0.35199999999999998</v>
      </c>
      <c r="AD874" s="27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6">
        <v>0</v>
      </c>
      <c r="AF874" s="6">
        <v>0</v>
      </c>
      <c r="AG874" t="s">
        <v>232</v>
      </c>
      <c r="AH874" t="s">
        <v>233</v>
      </c>
      <c r="AI874" t="s">
        <v>237</v>
      </c>
      <c r="AJ874" s="2" t="s">
        <v>229</v>
      </c>
      <c r="AK874" s="2" t="s">
        <v>244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44" t="b">
        <v>0</v>
      </c>
      <c r="AP874" s="48" t="b">
        <v>0</v>
      </c>
      <c r="AQ874" s="48" t="b">
        <v>0</v>
      </c>
      <c r="AR874" s="48">
        <v>0</v>
      </c>
      <c r="AS874" s="48" t="b">
        <v>0</v>
      </c>
      <c r="AT874" s="7" t="b">
        <v>0</v>
      </c>
      <c r="AU874" s="40" t="str" cm="1">
        <f t="array" ref="AU874">_xlfn.XLOOKUP(PROPERTIES[[#This Row],[VEHIDCODE]],GRAPHICS_PROPERTIES[VEHIDCODE],GRAPHICS_PROPERTIES[TEMPLATE_ID]&amp;GRAPHICS_PROPERTIES[TEMPLATE_AMENDMENT_CODE])</f>
        <v>TPL_01A</v>
      </c>
    </row>
    <row r="875" spans="1:47" x14ac:dyDescent="0.35">
      <c r="A875" s="2" t="s">
        <v>3333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0" t="str">
        <f>_xlfn.XLOOKUP(PROPERTIES[[#This Row],[VEHIDCODE]],CONTROL[VEHIDCODE],CONTROL[ENGLISH])</f>
        <v>Metrowick/BP 786</v>
      </c>
      <c r="F875" t="s">
        <v>541</v>
      </c>
      <c r="G875" s="40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17</v>
      </c>
      <c r="J875">
        <v>0</v>
      </c>
      <c r="K875">
        <v>7</v>
      </c>
      <c r="L875">
        <v>0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3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0">
        <f>181*1.3</f>
        <v>235.3</v>
      </c>
      <c r="AA875" s="20">
        <f>IFERROR(PROPERTIES[[#This Row],[TE_STARTING_KN]]/(PROPERTIES[[#This Row],[WEIGHT]]*9.81),0)</f>
        <v>0.21415829328673366</v>
      </c>
      <c r="AB875" s="20">
        <v>0</v>
      </c>
      <c r="AC875" s="16">
        <f>ROUND(IF(IFERROR(PROPERTIES[[#This Row],[TE_COEFFICIENT_CALC]],0)=0,PROPERTIES[[#This Row],[TE_COEFFICIENT_MANUAL]],PROPERTIES[[#This Row],[TE_COEFFICIENT_CALC]]),3)</f>
        <v>0.214</v>
      </c>
      <c r="AD875" s="27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6">
        <v>0</v>
      </c>
      <c r="AF875" s="6">
        <v>0</v>
      </c>
      <c r="AG875" t="s">
        <v>232</v>
      </c>
      <c r="AH875" t="s">
        <v>229</v>
      </c>
      <c r="AI875" t="s">
        <v>229</v>
      </c>
      <c r="AJ875" s="2" t="s">
        <v>229</v>
      </c>
      <c r="AK875" s="2" t="s">
        <v>245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44" t="b">
        <v>0</v>
      </c>
      <c r="AP875" s="48" t="b">
        <v>0</v>
      </c>
      <c r="AQ875" s="48" t="b">
        <v>0</v>
      </c>
      <c r="AR875" s="48">
        <v>0</v>
      </c>
      <c r="AS875" s="48" t="b">
        <v>0</v>
      </c>
      <c r="AT875" s="7" t="b">
        <v>0</v>
      </c>
      <c r="AU875" s="40" t="str" cm="1">
        <f t="array" ref="AU875">_xlfn.XLOOKUP(PROPERTIES[[#This Row],[VEHIDCODE]],GRAPHICS_PROPERTIES[VEHIDCODE],GRAPHICS_PROPERTIES[TEMPLATE_ID]&amp;GRAPHICS_PROPERTIES[TEMPLATE_AMENDMENT_CODE])</f>
        <v>TPL_01A</v>
      </c>
    </row>
    <row r="876" spans="1:47" x14ac:dyDescent="0.35">
      <c r="A876" s="2" t="s">
        <v>3334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0" t="str">
        <f>_xlfn.XLOOKUP(PROPERTIES[[#This Row],[VEHIDCODE]],CONTROL[VEHIDCODE],CONTROL[ENGLISH])</f>
        <v>ALCO RSC-3 77732</v>
      </c>
      <c r="F876" t="s">
        <v>541</v>
      </c>
      <c r="G876" s="40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17</v>
      </c>
      <c r="J876">
        <v>0</v>
      </c>
      <c r="K876">
        <v>7</v>
      </c>
      <c r="L876">
        <v>0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3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0">
        <f>204*1.3</f>
        <v>265.2</v>
      </c>
      <c r="AA876" s="20">
        <f>IFERROR(PROPERTIES[[#This Row],[TE_STARTING_KN]]/(PROPERTIES[[#This Row],[WEIGHT]]*9.81),0)</f>
        <v>0.24354629859217011</v>
      </c>
      <c r="AB876" s="20">
        <v>0</v>
      </c>
      <c r="AC876" s="16">
        <f>ROUND(IF(IFERROR(PROPERTIES[[#This Row],[TE_COEFFICIENT_CALC]],0)=0,PROPERTIES[[#This Row],[TE_COEFFICIENT_MANUAL]],PROPERTIES[[#This Row],[TE_COEFFICIENT_CALC]]),3)</f>
        <v>0.24399999999999999</v>
      </c>
      <c r="AD876" s="27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6">
        <v>0</v>
      </c>
      <c r="AF876" s="6">
        <v>0</v>
      </c>
      <c r="AG876" t="s">
        <v>232</v>
      </c>
      <c r="AH876" t="s">
        <v>229</v>
      </c>
      <c r="AI876" t="s">
        <v>229</v>
      </c>
      <c r="AJ876" s="2" t="s">
        <v>229</v>
      </c>
      <c r="AK876" s="2" t="s">
        <v>244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44" t="b">
        <v>0</v>
      </c>
      <c r="AP876" s="48" t="b">
        <v>0</v>
      </c>
      <c r="AQ876" s="48" t="b">
        <v>1</v>
      </c>
      <c r="AR876" s="48">
        <v>0</v>
      </c>
      <c r="AS876" s="48" t="b">
        <v>0</v>
      </c>
      <c r="AT876" s="7" t="b">
        <v>1</v>
      </c>
      <c r="AU876" s="40" t="str" cm="1">
        <f t="array" ref="AU876">_xlfn.XLOOKUP(PROPERTIES[[#This Row],[VEHIDCODE]],GRAPHICS_PROPERTIES[VEHIDCODE],GRAPHICS_PROPERTIES[TEMPLATE_ID]&amp;GRAPHICS_PROPERTIES[TEMPLATE_AMENDMENT_CODE])</f>
        <v>TPL_01A</v>
      </c>
    </row>
    <row r="877" spans="1:47" x14ac:dyDescent="0.35">
      <c r="A877" s="2" t="s">
        <v>3335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0" t="str">
        <f>_xlfn.XLOOKUP(PROPERTIES[[#This Row],[VEHIDCODE]],CONTROL[VEHIDCODE],CONTROL[ENGLISH])</f>
        <v>EMD/Clyde G8C</v>
      </c>
      <c r="F877" t="s">
        <v>541</v>
      </c>
      <c r="G877" s="40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17</v>
      </c>
      <c r="J877">
        <v>0</v>
      </c>
      <c r="K877">
        <v>6</v>
      </c>
      <c r="L877">
        <v>0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3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0">
        <f>165*1.3</f>
        <v>214.5</v>
      </c>
      <c r="AA877" s="20">
        <f>IFERROR(PROPERTIES[[#This Row],[TE_STARTING_KN]]/(PROPERTIES[[#This Row],[WEIGHT]]*9.81),0)</f>
        <v>0.27331804281345562</v>
      </c>
      <c r="AB877" s="20">
        <v>0</v>
      </c>
      <c r="AC877" s="16">
        <f>ROUND(IF(IFERROR(PROPERTIES[[#This Row],[TE_COEFFICIENT_CALC]],0)=0,PROPERTIES[[#This Row],[TE_COEFFICIENT_MANUAL]],PROPERTIES[[#This Row],[TE_COEFFICIENT_CALC]]),3)</f>
        <v>0.27300000000000002</v>
      </c>
      <c r="AD877" s="27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6">
        <v>0</v>
      </c>
      <c r="AF877" s="6">
        <v>0</v>
      </c>
      <c r="AG877" t="s">
        <v>232</v>
      </c>
      <c r="AH877" t="s">
        <v>229</v>
      </c>
      <c r="AI877" t="s">
        <v>229</v>
      </c>
      <c r="AJ877" s="2" t="s">
        <v>229</v>
      </c>
      <c r="AK877" s="2" t="s">
        <v>244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44" t="b">
        <v>0</v>
      </c>
      <c r="AP877" s="48" t="b">
        <v>0</v>
      </c>
      <c r="AQ877" s="48" t="b">
        <v>0</v>
      </c>
      <c r="AR877" s="48">
        <v>0</v>
      </c>
      <c r="AS877" s="48" t="b">
        <v>0</v>
      </c>
      <c r="AT877" s="7" t="b">
        <v>0</v>
      </c>
      <c r="AU877" s="40" t="str" cm="1">
        <f t="array" ref="AU877">_xlfn.XLOOKUP(PROPERTIES[[#This Row],[VEHIDCODE]],GRAPHICS_PROPERTIES[VEHIDCODE],GRAPHICS_PROPERTIES[TEMPLATE_ID]&amp;GRAPHICS_PROPERTIES[TEMPLATE_AMENDMENT_CODE])</f>
        <v>TPL_01A</v>
      </c>
    </row>
    <row r="878" spans="1:47" x14ac:dyDescent="0.35">
      <c r="A878" s="2" t="s">
        <v>3336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0" t="str">
        <f>_xlfn.XLOOKUP(PROPERTIES[[#This Row],[VEHIDCODE]],CONTROL[VEHIDCODE],CONTROL[ENGLISH])</f>
        <v>EMD/Clyde G12</v>
      </c>
      <c r="F878" t="s">
        <v>697</v>
      </c>
      <c r="G878" s="40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17</v>
      </c>
      <c r="J878">
        <v>0</v>
      </c>
      <c r="K878">
        <v>6</v>
      </c>
      <c r="L878">
        <v>0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3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0">
        <v>140</v>
      </c>
      <c r="AA878" s="20">
        <f>IFERROR(PROPERTIES[[#This Row],[TE_STARTING_KN]]/(PROPERTIES[[#This Row],[WEIGHT]]*9.81),0)</f>
        <v>0.18064749222570614</v>
      </c>
      <c r="AB878" s="20">
        <v>0</v>
      </c>
      <c r="AC878" s="16">
        <f>ROUND(IF(IFERROR(PROPERTIES[[#This Row],[TE_COEFFICIENT_CALC]],0)=0,PROPERTIES[[#This Row],[TE_COEFFICIENT_MANUAL]],PROPERTIES[[#This Row],[TE_COEFFICIENT_CALC]]),3)</f>
        <v>0.18099999999999999</v>
      </c>
      <c r="AD878" s="27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6">
        <v>0</v>
      </c>
      <c r="AF878" s="6">
        <v>0</v>
      </c>
      <c r="AG878" t="s">
        <v>232</v>
      </c>
      <c r="AH878" t="s">
        <v>229</v>
      </c>
      <c r="AI878" t="s">
        <v>229</v>
      </c>
      <c r="AJ878" s="2" t="s">
        <v>229</v>
      </c>
      <c r="AK878" s="2" t="s">
        <v>244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44" t="b">
        <v>0</v>
      </c>
      <c r="AP878" s="48" t="b">
        <v>0</v>
      </c>
      <c r="AQ878" s="48" t="b">
        <v>1</v>
      </c>
      <c r="AR878" s="48">
        <v>0</v>
      </c>
      <c r="AS878" s="48" t="b">
        <v>0</v>
      </c>
      <c r="AT878" s="7" t="b">
        <v>1</v>
      </c>
      <c r="AU878" s="40" t="str" cm="1">
        <f t="array" ref="AU878">_xlfn.XLOOKUP(PROPERTIES[[#This Row],[VEHIDCODE]],GRAPHICS_PROPERTIES[VEHIDCODE],GRAPHICS_PROPERTIES[TEMPLATE_ID]&amp;GRAPHICS_PROPERTIES[TEMPLATE_AMENDMENT_CODE])</f>
        <v>TPL_01A</v>
      </c>
    </row>
    <row r="879" spans="1:47" x14ac:dyDescent="0.35">
      <c r="A879" s="2" t="s">
        <v>3337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0" t="str">
        <f>_xlfn.XLOOKUP(PROPERTIES[[#This Row],[VEHIDCODE]],CONTROL[VEHIDCODE],CONTROL[ENGLISH])</f>
        <v>EMD/Clyde G8</v>
      </c>
      <c r="F879" t="s">
        <v>697</v>
      </c>
      <c r="G879" s="40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17</v>
      </c>
      <c r="J879">
        <v>0</v>
      </c>
      <c r="K879">
        <v>6</v>
      </c>
      <c r="L879">
        <v>0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3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0">
        <v>100</v>
      </c>
      <c r="AA879" s="20">
        <f>IFERROR(PROPERTIES[[#This Row],[TE_STARTING_KN]]/(PROPERTIES[[#This Row],[WEIGHT]]*9.81),0)</f>
        <v>0.14773449157174726</v>
      </c>
      <c r="AB879" s="20">
        <v>0</v>
      </c>
      <c r="AC879" s="16">
        <f>ROUND(IF(IFERROR(PROPERTIES[[#This Row],[TE_COEFFICIENT_CALC]],0)=0,PROPERTIES[[#This Row],[TE_COEFFICIENT_MANUAL]],PROPERTIES[[#This Row],[TE_COEFFICIENT_CALC]]),3)</f>
        <v>0.14799999999999999</v>
      </c>
      <c r="AD879" s="27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6">
        <v>0</v>
      </c>
      <c r="AF879" s="6">
        <v>0</v>
      </c>
      <c r="AG879" t="s">
        <v>232</v>
      </c>
      <c r="AH879" t="s">
        <v>229</v>
      </c>
      <c r="AI879" t="s">
        <v>229</v>
      </c>
      <c r="AJ879" s="2" t="s">
        <v>229</v>
      </c>
      <c r="AK879" s="2" t="s">
        <v>244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44" t="b">
        <v>0</v>
      </c>
      <c r="AP879" s="48" t="b">
        <v>0</v>
      </c>
      <c r="AQ879" s="48" t="b">
        <v>0</v>
      </c>
      <c r="AR879" s="48">
        <v>0</v>
      </c>
      <c r="AS879" s="48" t="b">
        <v>0</v>
      </c>
      <c r="AT879" s="7" t="b">
        <v>0</v>
      </c>
      <c r="AU879" s="40" t="str" cm="1">
        <f t="array" ref="AU879">_xlfn.XLOOKUP(PROPERTIES[[#This Row],[VEHIDCODE]],GRAPHICS_PROPERTIES[VEHIDCODE],GRAPHICS_PROPERTIES[TEMPLATE_ID]&amp;GRAPHICS_PROPERTIES[TEMPLATE_AMENDMENT_CODE])</f>
        <v>TPL_01A</v>
      </c>
    </row>
    <row r="880" spans="1:47" x14ac:dyDescent="0.35">
      <c r="A880" s="2" t="s">
        <v>3338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0" t="str">
        <f>_xlfn.XLOOKUP(PROPERTIES[[#This Row],[VEHIDCODE]],CONTROL[VEHIDCODE],CONTROL[ENGLISH])</f>
        <v>Goninan 47 Class</v>
      </c>
      <c r="F880" t="s">
        <v>541</v>
      </c>
      <c r="G880" s="40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17</v>
      </c>
      <c r="J880">
        <v>0</v>
      </c>
      <c r="K880">
        <v>6</v>
      </c>
      <c r="L880">
        <v>0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3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0">
        <f>171*1.3</f>
        <v>222.3</v>
      </c>
      <c r="AA880" s="20">
        <f>IFERROR(PROPERTIES[[#This Row],[TE_STARTING_KN]]/(PROPERTIES[[#This Row],[WEIGHT]]*9.81),0)</f>
        <v>0.26565709799197651</v>
      </c>
      <c r="AB880" s="20">
        <v>0</v>
      </c>
      <c r="AC880" s="16">
        <f>ROUND(IF(IFERROR(PROPERTIES[[#This Row],[TE_COEFFICIENT_CALC]],0)=0,PROPERTIES[[#This Row],[TE_COEFFICIENT_MANUAL]],PROPERTIES[[#This Row],[TE_COEFFICIENT_CALC]]),3)</f>
        <v>0.26600000000000001</v>
      </c>
      <c r="AD880" s="27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6">
        <v>0</v>
      </c>
      <c r="AF880" s="6">
        <v>0</v>
      </c>
      <c r="AG880" t="s">
        <v>232</v>
      </c>
      <c r="AH880" t="s">
        <v>229</v>
      </c>
      <c r="AI880" t="s">
        <v>229</v>
      </c>
      <c r="AJ880" s="2" t="s">
        <v>229</v>
      </c>
      <c r="AK880" s="2" t="s">
        <v>244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44" t="b">
        <v>0</v>
      </c>
      <c r="AP880" s="48" t="b">
        <v>0</v>
      </c>
      <c r="AQ880" s="48" t="b">
        <v>0</v>
      </c>
      <c r="AR880" s="48">
        <v>0</v>
      </c>
      <c r="AS880" s="48" t="b">
        <v>0</v>
      </c>
      <c r="AT880" s="7" t="b">
        <v>0</v>
      </c>
      <c r="AU880" s="40" t="str" cm="1">
        <f t="array" ref="AU880">_xlfn.XLOOKUP(PROPERTIES[[#This Row],[VEHIDCODE]],GRAPHICS_PROPERTIES[VEHIDCODE],GRAPHICS_PROPERTIES[TEMPLATE_ID]&amp;GRAPHICS_PROPERTIES[TEMPLATE_AMENDMENT_CODE])</f>
        <v>TPL_01A</v>
      </c>
    </row>
    <row r="881" spans="1:47" x14ac:dyDescent="0.35">
      <c r="A881" s="2" t="s">
        <v>3339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0" t="str">
        <f>_xlfn.XLOOKUP(PROPERTIES[[#This Row],[VEHIDCODE]],CONTROL[VEHIDCODE],CONTROL[ENGLISH])</f>
        <v>William Fairbairn 2-2-2 'Baroneza'</v>
      </c>
      <c r="F881" t="s">
        <v>558</v>
      </c>
      <c r="G881" s="40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17</v>
      </c>
      <c r="J881">
        <v>0</v>
      </c>
      <c r="K881">
        <v>4</v>
      </c>
      <c r="L881">
        <v>0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3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0">
        <v>0</v>
      </c>
      <c r="AA881" s="19">
        <f>IFERROR(PROPERTIES[[#This Row],[TE_STARTING_KN]]/(PROPERTIES[[#This Row],[WEIGHT]]*9.81),0)</f>
        <v>0</v>
      </c>
      <c r="AB881" s="19">
        <v>0.09</v>
      </c>
      <c r="AC881" s="16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6">
        <v>0</v>
      </c>
      <c r="AF881" s="6">
        <v>3</v>
      </c>
      <c r="AG881" t="s">
        <v>237</v>
      </c>
      <c r="AH881" t="s">
        <v>229</v>
      </c>
      <c r="AI881" t="s">
        <v>229</v>
      </c>
      <c r="AJ881" s="2" t="s">
        <v>229</v>
      </c>
      <c r="AK881" s="2" t="s">
        <v>244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44" t="b">
        <v>0</v>
      </c>
      <c r="AP881" s="48" t="b">
        <v>0</v>
      </c>
      <c r="AQ881" s="48" t="b">
        <v>0</v>
      </c>
      <c r="AR881" s="48">
        <v>0</v>
      </c>
      <c r="AS881" s="48" t="b">
        <v>0</v>
      </c>
      <c r="AT881" s="7" t="b">
        <v>0</v>
      </c>
      <c r="AU881" s="40" t="str" cm="1">
        <f t="array" ref="AU881">_xlfn.XLOOKUP(PROPERTIES[[#This Row],[VEHIDCODE]],GRAPHICS_PROPERTIES[VEHIDCODE],GRAPHICS_PROPERTIES[TEMPLATE_ID]&amp;GRAPHICS_PROPERTIES[TEMPLATE_AMENDMENT_CODE])</f>
        <v>TPL_03A</v>
      </c>
    </row>
    <row r="882" spans="1:47" x14ac:dyDescent="0.35">
      <c r="A882" s="2" t="s">
        <v>3340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0" t="str">
        <f>_xlfn.XLOOKUP(PROPERTIES[[#This Row],[VEHIDCODE]],CONTROL[VEHIDCODE],CONTROL[ENGLISH])</f>
        <v>Hunslet 0-4-0ST 'La Portena'</v>
      </c>
      <c r="F882" t="s">
        <v>538</v>
      </c>
      <c r="G882" s="40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17</v>
      </c>
      <c r="J882">
        <v>0</v>
      </c>
      <c r="K882">
        <v>5</v>
      </c>
      <c r="L882">
        <v>0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3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0">
        <v>27.11</v>
      </c>
      <c r="AA882" s="19">
        <f>IFERROR(PROPERTIES[[#This Row],[TE_STARTING_KN]]/(PROPERTIES[[#This Row],[WEIGHT]]*9.81),0)</f>
        <v>0.18180964644025968</v>
      </c>
      <c r="AB882" s="19">
        <v>0</v>
      </c>
      <c r="AC882" s="16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6">
        <v>0</v>
      </c>
      <c r="AF882" s="6">
        <v>2</v>
      </c>
      <c r="AG882" t="s">
        <v>237</v>
      </c>
      <c r="AH882" t="s">
        <v>229</v>
      </c>
      <c r="AI882" t="s">
        <v>229</v>
      </c>
      <c r="AJ882" s="2" t="s">
        <v>229</v>
      </c>
      <c r="AK882" s="2" t="s">
        <v>244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44" t="b">
        <v>0</v>
      </c>
      <c r="AP882" s="48" t="b">
        <v>0</v>
      </c>
      <c r="AQ882" s="48" t="b">
        <v>0</v>
      </c>
      <c r="AR882" s="48">
        <v>0</v>
      </c>
      <c r="AS882" s="48" t="b">
        <v>0</v>
      </c>
      <c r="AT882" s="7" t="b">
        <v>0</v>
      </c>
      <c r="AU882" s="40" t="str" cm="1">
        <f t="array" ref="AU882">_xlfn.XLOOKUP(PROPERTIES[[#This Row],[VEHIDCODE]],GRAPHICS_PROPERTIES[VEHIDCODE],GRAPHICS_PROPERTIES[TEMPLATE_ID]&amp;GRAPHICS_PROPERTIES[TEMPLATE_AMENDMENT_CODE])</f>
        <v>TPL_03A</v>
      </c>
    </row>
    <row r="883" spans="1:47" x14ac:dyDescent="0.35">
      <c r="A883" s="2" t="s">
        <v>3341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0" t="str">
        <f>_xlfn.XLOOKUP(PROPERTIES[[#This Row],[VEHIDCODE]],CONTROL[VEHIDCODE],CONTROL[ENGLISH])</f>
        <v>Burnham 2-10-0 'Dom Pedro Segundo 119'</v>
      </c>
      <c r="F883" t="s">
        <v>558</v>
      </c>
      <c r="G883" s="40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17</v>
      </c>
      <c r="J883">
        <v>0</v>
      </c>
      <c r="K883">
        <v>8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3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0">
        <v>148</v>
      </c>
      <c r="AA883" s="19">
        <f>IFERROR(PROPERTIES[[#This Row],[TE_STARTING_KN]]/(PROPERTIES[[#This Row],[WEIGHT]]*9.81),0)</f>
        <v>0.14790829685594931</v>
      </c>
      <c r="AB883" s="19">
        <v>0</v>
      </c>
      <c r="AC883" s="16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6">
        <v>0</v>
      </c>
      <c r="AF883" s="6">
        <v>3</v>
      </c>
      <c r="AG883" t="s">
        <v>237</v>
      </c>
      <c r="AH883" t="s">
        <v>229</v>
      </c>
      <c r="AI883" t="s">
        <v>229</v>
      </c>
      <c r="AJ883" s="2" t="s">
        <v>229</v>
      </c>
      <c r="AK883" s="2" t="s">
        <v>244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44" t="b">
        <v>0</v>
      </c>
      <c r="AP883" s="48" t="b">
        <v>0</v>
      </c>
      <c r="AQ883" s="48" t="b">
        <v>0</v>
      </c>
      <c r="AR883" s="48">
        <v>0</v>
      </c>
      <c r="AS883" s="48" t="b">
        <v>0</v>
      </c>
      <c r="AT883" s="7" t="b">
        <v>0</v>
      </c>
      <c r="AU883" s="40" t="str" cm="1">
        <f t="array" ref="AU883">_xlfn.XLOOKUP(PROPERTIES[[#This Row],[VEHIDCODE]],GRAPHICS_PROPERTIES[VEHIDCODE],GRAPHICS_PROPERTIES[TEMPLATE_ID]&amp;GRAPHICS_PROPERTIES[TEMPLATE_AMENDMENT_CODE])</f>
        <v>TPL_03A</v>
      </c>
    </row>
    <row r="884" spans="1:47" x14ac:dyDescent="0.35">
      <c r="A884" s="2" t="s">
        <v>3342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0" t="str">
        <f>_xlfn.XLOOKUP(PROPERTIES[[#This Row],[VEHIDCODE]],CONTROL[VEHIDCODE],CONTROL[ENGLISH])</f>
        <v>Baldwin 0-22C No8 'Monsefu'</v>
      </c>
      <c r="F884" t="s">
        <v>700</v>
      </c>
      <c r="G884" s="40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17</v>
      </c>
      <c r="J884">
        <v>0</v>
      </c>
      <c r="K884">
        <v>7</v>
      </c>
      <c r="L884">
        <v>0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3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0">
        <v>44</v>
      </c>
      <c r="AA884" s="19">
        <f>IFERROR(PROPERTIES[[#This Row],[TE_STARTING_KN]]/(PROPERTIES[[#This Row],[WEIGHT]]*9.81),0)</f>
        <v>0.1019367991845056</v>
      </c>
      <c r="AB884" s="19">
        <v>0</v>
      </c>
      <c r="AC884" s="16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6">
        <v>0</v>
      </c>
      <c r="AF884" s="6">
        <v>4</v>
      </c>
      <c r="AG884" t="s">
        <v>237</v>
      </c>
      <c r="AH884" t="s">
        <v>229</v>
      </c>
      <c r="AI884" t="s">
        <v>229</v>
      </c>
      <c r="AJ884" s="2" t="s">
        <v>229</v>
      </c>
      <c r="AK884" s="2" t="s">
        <v>244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44" t="b">
        <v>0</v>
      </c>
      <c r="AP884" s="48" t="b">
        <v>0</v>
      </c>
      <c r="AQ884" s="48" t="b">
        <v>0</v>
      </c>
      <c r="AR884" s="48">
        <v>0</v>
      </c>
      <c r="AS884" s="48" t="b">
        <v>0</v>
      </c>
      <c r="AT884" s="7" t="b">
        <v>0</v>
      </c>
      <c r="AU884" s="40" t="str" cm="1">
        <f t="array" ref="AU884">_xlfn.XLOOKUP(PROPERTIES[[#This Row],[VEHIDCODE]],GRAPHICS_PROPERTIES[VEHIDCODE],GRAPHICS_PROPERTIES[TEMPLATE_ID]&amp;GRAPHICS_PROPERTIES[TEMPLATE_AMENDMENT_CODE])</f>
        <v>TPL_03A</v>
      </c>
    </row>
    <row r="885" spans="1:47" x14ac:dyDescent="0.35">
      <c r="A885" s="2" t="s">
        <v>3343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0" t="str">
        <f>_xlfn.XLOOKUP(PROPERTIES[[#This Row],[VEHIDCODE]],CONTROL[VEHIDCODE],CONTROL[ENGLISH])</f>
        <v>North British 2-6-0 Q Class</v>
      </c>
      <c r="F885" t="s">
        <v>712</v>
      </c>
      <c r="G885" s="40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17</v>
      </c>
      <c r="J885">
        <v>0</v>
      </c>
      <c r="K885">
        <v>5</v>
      </c>
      <c r="L885">
        <v>0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3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0">
        <v>96.26</v>
      </c>
      <c r="AA885" s="19">
        <f>IFERROR(PROPERTIES[[#This Row],[TE_STARTING_KN]]/(PROPERTIES[[#This Row],[WEIGHT]]*9.81),0)</f>
        <v>0.10084723832991274</v>
      </c>
      <c r="AB885" s="19">
        <v>0</v>
      </c>
      <c r="AC885" s="16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6">
        <v>0</v>
      </c>
      <c r="AF885" s="6">
        <v>3</v>
      </c>
      <c r="AG885" t="s">
        <v>237</v>
      </c>
      <c r="AH885" t="s">
        <v>229</v>
      </c>
      <c r="AI885" t="s">
        <v>229</v>
      </c>
      <c r="AJ885" s="2" t="s">
        <v>229</v>
      </c>
      <c r="AK885" s="2" t="s">
        <v>244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44" t="b">
        <v>0</v>
      </c>
      <c r="AP885" s="48" t="b">
        <v>0</v>
      </c>
      <c r="AQ885" s="48" t="b">
        <v>0</v>
      </c>
      <c r="AR885" s="48">
        <v>0</v>
      </c>
      <c r="AS885" s="48" t="b">
        <v>0</v>
      </c>
      <c r="AT885" s="7" t="b">
        <v>0</v>
      </c>
      <c r="AU885" s="40" t="str" cm="1">
        <f t="array" ref="AU885">_xlfn.XLOOKUP(PROPERTIES[[#This Row],[VEHIDCODE]],GRAPHICS_PROPERTIES[VEHIDCODE],GRAPHICS_PROPERTIES[TEMPLATE_ID]&amp;GRAPHICS_PROPERTIES[TEMPLATE_AMENDMENT_CODE])</f>
        <v>TPL_03A</v>
      </c>
    </row>
    <row r="886" spans="1:47" x14ac:dyDescent="0.35">
      <c r="A886" s="2" t="s">
        <v>3344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0" t="str">
        <f>_xlfn.XLOOKUP(PROPERTIES[[#This Row],[VEHIDCODE]],CONTROL[VEHIDCODE],CONTROL[ENGLISH])</f>
        <v>NBLC 4-6-2 PS10 Class</v>
      </c>
      <c r="F886" t="s">
        <v>538</v>
      </c>
      <c r="G886" s="40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17</v>
      </c>
      <c r="J886">
        <v>0</v>
      </c>
      <c r="K886">
        <v>6</v>
      </c>
      <c r="L886">
        <v>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3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0">
        <v>97</v>
      </c>
      <c r="AA886" s="19">
        <f>IFERROR(PROPERTIES[[#This Row],[TE_STARTING_KN]]/(PROPERTIES[[#This Row],[WEIGHT]]*9.81),0)</f>
        <v>6.5919130139313623E-2</v>
      </c>
      <c r="AB886" s="19">
        <v>0</v>
      </c>
      <c r="AC886" s="16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6">
        <v>0</v>
      </c>
      <c r="AF886" s="6">
        <v>4</v>
      </c>
      <c r="AG886" t="s">
        <v>237</v>
      </c>
      <c r="AH886" t="s">
        <v>229</v>
      </c>
      <c r="AI886" t="s">
        <v>229</v>
      </c>
      <c r="AJ886" s="2" t="s">
        <v>229</v>
      </c>
      <c r="AK886" s="2" t="s">
        <v>244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44" t="b">
        <v>0</v>
      </c>
      <c r="AP886" s="48" t="b">
        <v>0</v>
      </c>
      <c r="AQ886" s="48" t="b">
        <v>0</v>
      </c>
      <c r="AR886" s="48">
        <v>0</v>
      </c>
      <c r="AS886" s="48" t="b">
        <v>0</v>
      </c>
      <c r="AT886" s="7" t="b">
        <v>0</v>
      </c>
      <c r="AU886" s="40" t="str" cm="1">
        <f t="array" ref="AU886">_xlfn.XLOOKUP(PROPERTIES[[#This Row],[VEHIDCODE]],GRAPHICS_PROPERTIES[VEHIDCODE],GRAPHICS_PROPERTIES[TEMPLATE_ID]&amp;GRAPHICS_PROPERTIES[TEMPLATE_AMENDMENT_CODE])</f>
        <v>TPL_03A</v>
      </c>
    </row>
    <row r="887" spans="1:47" x14ac:dyDescent="0.35">
      <c r="A887" s="2" t="s">
        <v>3345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0" t="str">
        <f>_xlfn.XLOOKUP(PROPERTIES[[#This Row],[VEHIDCODE]],CONTROL[VEHIDCODE],CONTROL[ENGLISH])</f>
        <v>Yorkshire Engine Co. 4-8-4T 'Nitrate 101'</v>
      </c>
      <c r="F887" t="s">
        <v>573</v>
      </c>
      <c r="G887" s="40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17</v>
      </c>
      <c r="J887">
        <v>0</v>
      </c>
      <c r="K887">
        <v>8</v>
      </c>
      <c r="L887">
        <v>0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3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0">
        <v>156.85763828079999</v>
      </c>
      <c r="AA887" s="20">
        <f>IFERROR(PROPERTIES[[#This Row],[TE_STARTING_KN]]/(PROPERTIES[[#This Row],[WEIGHT]]*9.81),0)</f>
        <v>0.14276397833915827</v>
      </c>
      <c r="AB887" s="20">
        <v>0</v>
      </c>
      <c r="AC887" s="16">
        <f>ROUND(IF(IFERROR(PROPERTIES[[#This Row],[TE_COEFFICIENT_CALC]],0)=0,PROPERTIES[[#This Row],[TE_COEFFICIENT_MANUAL]],PROPERTIES[[#This Row],[TE_COEFFICIENT_CALC]]),3)</f>
        <v>0.14299999999999999</v>
      </c>
      <c r="AD887" s="27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6">
        <v>0</v>
      </c>
      <c r="AF887" s="6">
        <v>0</v>
      </c>
      <c r="AG887" t="s">
        <v>237</v>
      </c>
      <c r="AH887" t="s">
        <v>229</v>
      </c>
      <c r="AI887" t="s">
        <v>229</v>
      </c>
      <c r="AJ887" s="2" t="s">
        <v>229</v>
      </c>
      <c r="AK887" s="2" t="s">
        <v>244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44" t="b">
        <v>0</v>
      </c>
      <c r="AP887" s="48" t="b">
        <v>0</v>
      </c>
      <c r="AQ887" s="48" t="b">
        <v>0</v>
      </c>
      <c r="AR887" s="48">
        <v>0</v>
      </c>
      <c r="AS887" s="48" t="b">
        <v>0</v>
      </c>
      <c r="AT887" s="7" t="b">
        <v>0</v>
      </c>
      <c r="AU887" s="40" t="str" cm="1">
        <f t="array" ref="AU887">_xlfn.XLOOKUP(PROPERTIES[[#This Row],[VEHIDCODE]],GRAPHICS_PROPERTIES[VEHIDCODE],GRAPHICS_PROPERTIES[TEMPLATE_ID]&amp;GRAPHICS_PROPERTIES[TEMPLATE_AMENDMENT_CODE])</f>
        <v>TPL_03C</v>
      </c>
    </row>
    <row r="888" spans="1:47" x14ac:dyDescent="0.35">
      <c r="A888" t="s">
        <v>3346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0" t="str">
        <f>_xlfn.XLOOKUP(PROPERTIES[[#This Row],[VEHIDCODE]],CONTROL[VEHIDCODE],CONTROL[ENGLISH])</f>
        <v>SLM-BBC 1-D-1</v>
      </c>
      <c r="F888" t="s">
        <v>558</v>
      </c>
      <c r="G888" s="40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17</v>
      </c>
      <c r="J888">
        <v>0</v>
      </c>
      <c r="K888">
        <v>7</v>
      </c>
      <c r="L888">
        <v>0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3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0">
        <v>127</v>
      </c>
      <c r="AA888" s="20">
        <f>IFERROR(PROPERTIES[[#This Row],[TE_STARTING_KN]]/(PROPERTIES[[#This Row],[WEIGHT]]*9.81),0)</f>
        <v>0.10491064421744094</v>
      </c>
      <c r="AB888" s="20">
        <v>0</v>
      </c>
      <c r="AC888" s="16">
        <f>ROUND(IF(IFERROR(PROPERTIES[[#This Row],[TE_COEFFICIENT_CALC]],0)=0,PROPERTIES[[#This Row],[TE_COEFFICIENT_MANUAL]],PROPERTIES[[#This Row],[TE_COEFFICIENT_CALC]]),3)</f>
        <v>0.105</v>
      </c>
      <c r="AD888" s="27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6">
        <v>0</v>
      </c>
      <c r="AF888" s="6">
        <v>0</v>
      </c>
      <c r="AG888" t="s">
        <v>237</v>
      </c>
      <c r="AH888" t="s">
        <v>229</v>
      </c>
      <c r="AI888" t="s">
        <v>229</v>
      </c>
      <c r="AJ888" s="2" t="s">
        <v>229</v>
      </c>
      <c r="AK888" s="2" t="s">
        <v>244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44" t="b">
        <v>0</v>
      </c>
      <c r="AP888" s="48" t="b">
        <v>0</v>
      </c>
      <c r="AQ888" s="48" t="b">
        <v>0</v>
      </c>
      <c r="AR888" s="48">
        <v>0</v>
      </c>
      <c r="AS888" s="48" t="b">
        <v>0</v>
      </c>
      <c r="AT888" s="7" t="b">
        <v>0</v>
      </c>
      <c r="AU888" s="40" t="str" cm="1">
        <f t="array" ref="AU888">_xlfn.XLOOKUP(PROPERTIES[[#This Row],[VEHIDCODE]],GRAPHICS_PROPERTIES[VEHIDCODE],GRAPHICS_PROPERTIES[TEMPLATE_ID]&amp;GRAPHICS_PROPERTIES[TEMPLATE_AMENDMENT_CODE])</f>
        <v>TPL_01A</v>
      </c>
    </row>
    <row r="889" spans="1:47" x14ac:dyDescent="0.35">
      <c r="A889" t="s">
        <v>3347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0" t="str">
        <f>_xlfn.XLOOKUP(PROPERTIES[[#This Row],[VEHIDCODE]],CONTROL[VEHIDCODE],CONTROL[ENGLISH])</f>
        <v>GE 2-C+C-2</v>
      </c>
      <c r="F889" t="s">
        <v>558</v>
      </c>
      <c r="G889" s="40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17</v>
      </c>
      <c r="J889">
        <v>0</v>
      </c>
      <c r="K889">
        <v>8</v>
      </c>
      <c r="L889">
        <v>0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3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0">
        <v>337</v>
      </c>
      <c r="AA889" s="20">
        <f>IFERROR(PROPERTIES[[#This Row],[TE_STARTING_KN]]/(PROPERTIES[[#This Row],[WEIGHT]]*9.81),0)</f>
        <v>0.20807208555529005</v>
      </c>
      <c r="AB889" s="20">
        <v>0</v>
      </c>
      <c r="AC889" s="16">
        <f>ROUND(IF(IFERROR(PROPERTIES[[#This Row],[TE_COEFFICIENT_CALC]],0)=0,PROPERTIES[[#This Row],[TE_COEFFICIENT_MANUAL]],PROPERTIES[[#This Row],[TE_COEFFICIENT_CALC]]),3)</f>
        <v>0.20799999999999999</v>
      </c>
      <c r="AD889" s="27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6">
        <v>0</v>
      </c>
      <c r="AF889" s="6">
        <v>0</v>
      </c>
      <c r="AG889" t="s">
        <v>237</v>
      </c>
      <c r="AH889" t="s">
        <v>229</v>
      </c>
      <c r="AI889" t="s">
        <v>229</v>
      </c>
      <c r="AJ889" s="2" t="s">
        <v>229</v>
      </c>
      <c r="AK889" s="2" t="s">
        <v>244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44" t="b">
        <v>0</v>
      </c>
      <c r="AP889" s="48" t="b">
        <v>0</v>
      </c>
      <c r="AQ889" s="48" t="b">
        <v>0</v>
      </c>
      <c r="AR889" s="48">
        <v>0</v>
      </c>
      <c r="AS889" s="48" t="b">
        <v>0</v>
      </c>
      <c r="AT889" s="7" t="b">
        <v>0</v>
      </c>
      <c r="AU889" s="40" t="str" cm="1">
        <f t="array" ref="AU889">_xlfn.XLOOKUP(PROPERTIES[[#This Row],[VEHIDCODE]],GRAPHICS_PROPERTIES[VEHIDCODE],GRAPHICS_PROPERTIES[TEMPLATE_ID]&amp;GRAPHICS_PROPERTIES[TEMPLATE_AMENDMENT_CODE])</f>
        <v>TPL_01A</v>
      </c>
    </row>
    <row r="890" spans="1:47" x14ac:dyDescent="0.35">
      <c r="A890" s="2" t="s">
        <v>3348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0" t="str">
        <f>_xlfn.XLOOKUP(PROPERTIES[[#This Row],[VEHIDCODE]],CONTROL[VEHIDCODE],CONTROL[ENGLISH])</f>
        <v>Norris &amp; Brothers 4-4-0 'La Copiapo'</v>
      </c>
      <c r="F890" t="s">
        <v>573</v>
      </c>
      <c r="G890" s="40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17</v>
      </c>
      <c r="J890">
        <v>0</v>
      </c>
      <c r="K890">
        <v>5</v>
      </c>
      <c r="L890">
        <v>0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3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0">
        <v>62.4</v>
      </c>
      <c r="AA890" s="20">
        <f>IFERROR(PROPERTIES[[#This Row],[TE_STARTING_KN]]/(PROPERTIES[[#This Row],[WEIGHT]]*9.81),0)</f>
        <v>0.15902140672782872</v>
      </c>
      <c r="AB890" s="20">
        <v>0</v>
      </c>
      <c r="AC890" s="16">
        <f>ROUND(IF(IFERROR(PROPERTIES[[#This Row],[TE_COEFFICIENT_CALC]],0)=0,PROPERTIES[[#This Row],[TE_COEFFICIENT_MANUAL]],PROPERTIES[[#This Row],[TE_COEFFICIENT_CALC]]),3)</f>
        <v>0.159</v>
      </c>
      <c r="AD890" s="27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6">
        <v>0</v>
      </c>
      <c r="AF890" s="6">
        <v>3</v>
      </c>
      <c r="AG890" t="s">
        <v>237</v>
      </c>
      <c r="AH890" t="s">
        <v>229</v>
      </c>
      <c r="AI890" t="s">
        <v>229</v>
      </c>
      <c r="AJ890" s="2" t="s">
        <v>229</v>
      </c>
      <c r="AK890" s="2" t="s">
        <v>244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44" t="b">
        <v>0</v>
      </c>
      <c r="AP890" s="48" t="b">
        <v>0</v>
      </c>
      <c r="AQ890" s="48" t="b">
        <v>0</v>
      </c>
      <c r="AR890" s="48">
        <v>0</v>
      </c>
      <c r="AS890" s="48" t="b">
        <v>0</v>
      </c>
      <c r="AT890" s="7" t="b">
        <v>0</v>
      </c>
      <c r="AU890" s="40" t="str" cm="1">
        <f t="array" ref="AU890">_xlfn.XLOOKUP(PROPERTIES[[#This Row],[VEHIDCODE]],GRAPHICS_PROPERTIES[VEHIDCODE],GRAPHICS_PROPERTIES[TEMPLATE_ID]&amp;GRAPHICS_PROPERTIES[TEMPLATE_AMENDMENT_CODE])</f>
        <v>TPL_03A</v>
      </c>
    </row>
    <row r="891" spans="1:47" x14ac:dyDescent="0.35">
      <c r="A891" s="2" t="s">
        <v>3349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0" t="str">
        <f>_xlfn.XLOOKUP(PROPERTIES[[#This Row],[VEHIDCODE]],CONTROL[VEHIDCODE],CONTROL[ENGLISH])</f>
        <v>AEG A1A+A1A</v>
      </c>
      <c r="F891" t="s">
        <v>577</v>
      </c>
      <c r="G891" s="40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17</v>
      </c>
      <c r="J891">
        <v>0</v>
      </c>
      <c r="K891">
        <v>5</v>
      </c>
      <c r="L891">
        <v>0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3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0">
        <v>0</v>
      </c>
      <c r="AA891" s="19">
        <f>IFERROR(PROPERTIES[[#This Row],[TE_STARTING_KN]]/(PROPERTIES[[#This Row],[WEIGHT]]*9.81),0)</f>
        <v>0</v>
      </c>
      <c r="AB891" s="19">
        <v>0.15</v>
      </c>
      <c r="AC891" s="16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6">
        <v>0</v>
      </c>
      <c r="AF891" s="6">
        <v>0</v>
      </c>
      <c r="AG891" t="s">
        <v>235</v>
      </c>
      <c r="AH891" t="s">
        <v>229</v>
      </c>
      <c r="AI891" t="s">
        <v>229</v>
      </c>
      <c r="AJ891" s="2" t="s">
        <v>229</v>
      </c>
      <c r="AK891" s="2" t="s">
        <v>244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44" t="b">
        <v>0</v>
      </c>
      <c r="AP891" s="48" t="b">
        <v>0</v>
      </c>
      <c r="AQ891" s="48" t="b">
        <v>0</v>
      </c>
      <c r="AR891" s="48">
        <v>0</v>
      </c>
      <c r="AS891" s="48" t="b">
        <v>0</v>
      </c>
      <c r="AT891" s="7" t="b">
        <v>0</v>
      </c>
      <c r="AU891" s="40" t="str" cm="1">
        <f t="array" ref="AU891">_xlfn.XLOOKUP(PROPERTIES[[#This Row],[VEHIDCODE]],GRAPHICS_PROPERTIES[VEHIDCODE],GRAPHICS_PROPERTIES[TEMPLATE_ID]&amp;GRAPHICS_PROPERTIES[TEMPLATE_AMENDMENT_CODE])</f>
        <v>TPL_01A</v>
      </c>
    </row>
    <row r="892" spans="1:47" x14ac:dyDescent="0.35">
      <c r="A892" t="s">
        <v>3691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0" t="str">
        <f>_xlfn.XLOOKUP(PROPERTIES[[#This Row],[VEHIDCODE]],CONTROL[VEHIDCODE],CONTROL[ENGLISH])</f>
        <v>Ganz 'Bariloche' DMU</v>
      </c>
      <c r="F892" t="s">
        <v>538</v>
      </c>
      <c r="G892" s="40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15</v>
      </c>
      <c r="J892">
        <f>110/2</f>
        <v>55</v>
      </c>
      <c r="K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3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0">
        <v>38</v>
      </c>
      <c r="AA892" s="19">
        <f>IFERROR(PROPERTIES[[#This Row],[TE_STARTING_KN]]/(PROPERTIES[[#This Row],[WEIGHT]]*9.81),0)</f>
        <v>8.4208660195895929E-2</v>
      </c>
      <c r="AB892" s="19">
        <v>0</v>
      </c>
      <c r="AC892" s="16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6">
        <v>55</v>
      </c>
      <c r="AF892" s="6">
        <v>8</v>
      </c>
      <c r="AG892" t="s">
        <v>237</v>
      </c>
      <c r="AH892" t="s">
        <v>229</v>
      </c>
      <c r="AI892" t="s">
        <v>229</v>
      </c>
      <c r="AJ892" s="2" t="s">
        <v>229</v>
      </c>
      <c r="AK892" s="2" t="s">
        <v>244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44" t="b">
        <v>0</v>
      </c>
      <c r="AP892" s="48" t="b">
        <v>0</v>
      </c>
      <c r="AQ892" s="48" t="b">
        <v>0</v>
      </c>
      <c r="AR892" s="48">
        <v>0</v>
      </c>
      <c r="AS892" s="48" t="b">
        <v>0</v>
      </c>
      <c r="AT892" s="7" t="b">
        <v>0</v>
      </c>
      <c r="AU892" s="40" t="str" cm="1">
        <f t="array" ref="AU892">_xlfn.XLOOKUP(PROPERTIES[[#This Row],[VEHIDCODE]],GRAPHICS_PROPERTIES[VEHIDCODE],GRAPHICS_PROPERTIES[TEMPLATE_ID]&amp;GRAPHICS_PROPERTIES[TEMPLATE_AMENDMENT_CODE])</f>
        <v>TPL_02A</v>
      </c>
    </row>
    <row r="893" spans="1:47" x14ac:dyDescent="0.35">
      <c r="A893" t="s">
        <v>3350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0" t="str">
        <f>_xlfn.XLOOKUP(PROPERTIES[[#This Row],[VEHIDCODE]],CONTROL[VEHIDCODE],CONTROL[ENGLISH])</f>
        <v>Avonside 0-6-0ST Sao Paulo No. 13 - 14</v>
      </c>
      <c r="F893" t="s">
        <v>558</v>
      </c>
      <c r="G893" s="40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17</v>
      </c>
      <c r="J893">
        <v>0</v>
      </c>
      <c r="K893">
        <v>5</v>
      </c>
      <c r="L893">
        <v>0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3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0">
        <v>58.07</v>
      </c>
      <c r="AA893" s="19">
        <f>IFERROR(PROPERTIES[[#This Row],[TE_STARTING_KN]]/(PROPERTIES[[#This Row],[WEIGHT]]*9.81),0)</f>
        <v>0.19731566428814135</v>
      </c>
      <c r="AB893" s="19">
        <v>0</v>
      </c>
      <c r="AC893" s="16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6">
        <v>0</v>
      </c>
      <c r="AF893" s="6">
        <v>2</v>
      </c>
      <c r="AG893" t="s">
        <v>237</v>
      </c>
      <c r="AH893" t="s">
        <v>229</v>
      </c>
      <c r="AI893" t="s">
        <v>229</v>
      </c>
      <c r="AJ893" s="2" t="s">
        <v>229</v>
      </c>
      <c r="AK893" s="2" t="s">
        <v>244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44" t="b">
        <v>0</v>
      </c>
      <c r="AP893" s="48" t="b">
        <v>0</v>
      </c>
      <c r="AQ893" s="48" t="b">
        <v>0</v>
      </c>
      <c r="AR893" s="48">
        <v>0</v>
      </c>
      <c r="AS893" s="48" t="b">
        <v>0</v>
      </c>
      <c r="AT893" s="7" t="b">
        <v>0</v>
      </c>
      <c r="AU893" s="40" t="str" cm="1">
        <f t="array" ref="AU893">_xlfn.XLOOKUP(PROPERTIES[[#This Row],[VEHIDCODE]],GRAPHICS_PROPERTIES[VEHIDCODE],GRAPHICS_PROPERTIES[TEMPLATE_ID]&amp;GRAPHICS_PROPERTIES[TEMPLATE_AMENDMENT_CODE])</f>
        <v>TPL_03A</v>
      </c>
    </row>
    <row r="894" spans="1:47" x14ac:dyDescent="0.35">
      <c r="A894" t="s">
        <v>3690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0" t="str">
        <f>_xlfn.XLOOKUP(PROPERTIES[[#This Row],[VEHIDCODE]],CONTROL[VEHIDCODE],CONTROL[ENGLISH])</f>
        <v>Ganz 'Transandino' CMU 4701</v>
      </c>
      <c r="F894" t="s">
        <v>538</v>
      </c>
      <c r="G894" s="40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15</v>
      </c>
      <c r="J894">
        <f>110/2</f>
        <v>55</v>
      </c>
      <c r="K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3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0">
        <v>38</v>
      </c>
      <c r="AA894" s="19">
        <f>IFERROR(PROPERTIES[[#This Row],[TE_STARTING_KN]]/(PROPERTIES[[#This Row],[WEIGHT]]*9.81),0)</f>
        <v>8.4208660195895929E-2</v>
      </c>
      <c r="AB894" s="19">
        <v>0</v>
      </c>
      <c r="AC894" s="16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6">
        <v>55</v>
      </c>
      <c r="AF894" s="6">
        <v>8</v>
      </c>
      <c r="AG894" t="s">
        <v>237</v>
      </c>
      <c r="AH894" t="s">
        <v>229</v>
      </c>
      <c r="AI894" t="s">
        <v>229</v>
      </c>
      <c r="AJ894" s="2" t="s">
        <v>229</v>
      </c>
      <c r="AK894" s="2" t="s">
        <v>244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44" t="b">
        <v>0</v>
      </c>
      <c r="AP894" s="48" t="b">
        <v>0</v>
      </c>
      <c r="AQ894" s="48" t="b">
        <v>0</v>
      </c>
      <c r="AR894" s="48">
        <v>0</v>
      </c>
      <c r="AS894" s="48" t="b">
        <v>0</v>
      </c>
      <c r="AT894" s="7" t="b">
        <v>0</v>
      </c>
      <c r="AU894" s="40" t="str" cm="1">
        <f t="array" ref="AU894">_xlfn.XLOOKUP(PROPERTIES[[#This Row],[VEHIDCODE]],GRAPHICS_PROPERTIES[VEHIDCODE],GRAPHICS_PROPERTIES[TEMPLATE_ID]&amp;GRAPHICS_PROPERTIES[TEMPLATE_AMENDMENT_CODE])</f>
        <v>TPL_02A</v>
      </c>
    </row>
    <row r="895" spans="1:47" x14ac:dyDescent="0.35">
      <c r="A895" s="2" t="s">
        <v>3351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0" t="str">
        <f>_xlfn.XLOOKUP(PROPERTIES[[#This Row],[VEHIDCODE]],CONTROL[VEHIDCODE],CONTROL[ENGLISH])</f>
        <v>Kawasaki/Hitachi AEZ Railcar</v>
      </c>
      <c r="F895" t="s">
        <v>573</v>
      </c>
      <c r="G895" s="40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15</v>
      </c>
      <c r="J895">
        <v>88</v>
      </c>
      <c r="K895">
        <v>7</v>
      </c>
      <c r="L895">
        <v>0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3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0">
        <v>85</v>
      </c>
      <c r="AA895" s="19">
        <f>IFERROR(PROPERTIES[[#This Row],[TE_STARTING_KN]]/(PROPERTIES[[#This Row],[WEIGHT]]*9.81),0)</f>
        <v>0.16662746020544186</v>
      </c>
      <c r="AB895" s="19">
        <v>0</v>
      </c>
      <c r="AC895" s="16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6">
        <v>92</v>
      </c>
      <c r="AF895" s="6">
        <v>7</v>
      </c>
      <c r="AG895" t="s">
        <v>237</v>
      </c>
      <c r="AH895" t="s">
        <v>229</v>
      </c>
      <c r="AI895" t="s">
        <v>229</v>
      </c>
      <c r="AJ895" s="2" t="s">
        <v>229</v>
      </c>
      <c r="AK895" s="2" t="s">
        <v>244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44" t="b">
        <v>0</v>
      </c>
      <c r="AP895" s="48" t="b">
        <v>0</v>
      </c>
      <c r="AQ895" s="48" t="b">
        <v>0</v>
      </c>
      <c r="AR895" s="48">
        <v>0</v>
      </c>
      <c r="AS895" s="48" t="b">
        <v>0</v>
      </c>
      <c r="AT895" s="7" t="b">
        <v>0</v>
      </c>
      <c r="AU895" s="40" t="str" cm="1">
        <f t="array" ref="AU895">_xlfn.XLOOKUP(PROPERTIES[[#This Row],[VEHIDCODE]],GRAPHICS_PROPERTIES[VEHIDCODE],GRAPHICS_PROPERTIES[TEMPLATE_ID]&amp;GRAPHICS_PROPERTIES[TEMPLATE_AMENDMENT_CODE])</f>
        <v>TPL_02A</v>
      </c>
    </row>
    <row r="896" spans="1:47" x14ac:dyDescent="0.35">
      <c r="A896" t="s">
        <v>3352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0" t="str">
        <f>_xlfn.XLOOKUP(PROPERTIES[[#This Row],[VEHIDCODE]],CONTROL[VEHIDCODE],CONTROL[ENGLISH])</f>
        <v>BREL GEC Auckland ART Concept</v>
      </c>
      <c r="F896" t="s">
        <v>697</v>
      </c>
      <c r="G896" s="40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15</v>
      </c>
      <c r="J896">
        <v>80</v>
      </c>
      <c r="K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3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0">
        <v>0</v>
      </c>
      <c r="AA896" s="20">
        <f>IFERROR(PROPERTIES[[#This Row],[TE_STARTING_KN]]/(PROPERTIES[[#This Row],[WEIGHT]]*9.81),0)</f>
        <v>0</v>
      </c>
      <c r="AB896" s="20">
        <v>0.3</v>
      </c>
      <c r="AC896" s="16">
        <f>ROUND(IF(IFERROR(PROPERTIES[[#This Row],[TE_COEFFICIENT_CALC]],0)=0,PROPERTIES[[#This Row],[TE_COEFFICIENT_MANUAL]],PROPERTIES[[#This Row],[TE_COEFFICIENT_CALC]]),3)</f>
        <v>0.3</v>
      </c>
      <c r="AD896" s="27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6">
        <v>80</v>
      </c>
      <c r="AF896" s="6">
        <v>8</v>
      </c>
      <c r="AG896" t="s">
        <v>232</v>
      </c>
      <c r="AH896" t="s">
        <v>229</v>
      </c>
      <c r="AI896" t="s">
        <v>229</v>
      </c>
      <c r="AJ896" s="2" t="s">
        <v>229</v>
      </c>
      <c r="AK896" s="2" t="s">
        <v>245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44" t="b">
        <v>0</v>
      </c>
      <c r="AP896" s="48" t="b">
        <v>0</v>
      </c>
      <c r="AQ896" s="48" t="b">
        <v>0</v>
      </c>
      <c r="AR896" s="48">
        <v>0</v>
      </c>
      <c r="AS896" s="48" t="b">
        <v>0</v>
      </c>
      <c r="AT896" s="7" t="b">
        <v>0</v>
      </c>
      <c r="AU896" s="40" t="str" cm="1">
        <f t="array" ref="AU896">_xlfn.XLOOKUP(PROPERTIES[[#This Row],[VEHIDCODE]],GRAPHICS_PROPERTIES[VEHIDCODE],GRAPHICS_PROPERTIES[TEMPLATE_ID]&amp;GRAPHICS_PROPERTIES[TEMPLATE_AMENDMENT_CODE])</f>
        <v>TPL_02A</v>
      </c>
    </row>
    <row r="897" spans="1:47" x14ac:dyDescent="0.35">
      <c r="A897" s="2" t="s">
        <v>3353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0" t="str">
        <f>_xlfn.XLOOKUP(PROPERTIES[[#This Row],[VEHIDCODE]],CONTROL[VEHIDCODE],CONTROL[ENGLISH])</f>
        <v>Comeng 1100 Railcar</v>
      </c>
      <c r="F897" t="s">
        <v>541</v>
      </c>
      <c r="G897" s="40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15</v>
      </c>
      <c r="J897">
        <v>72</v>
      </c>
      <c r="K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3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0">
        <v>0</v>
      </c>
      <c r="AA897" s="20">
        <f>IFERROR(PROPERTIES[[#This Row],[TE_STARTING_KN]]/(PROPERTIES[[#This Row],[WEIGHT]]*9.81),0)</f>
        <v>0</v>
      </c>
      <c r="AB897" s="20">
        <v>0.25</v>
      </c>
      <c r="AC897" s="16">
        <f>ROUND(IF(IFERROR(PROPERTIES[[#This Row],[TE_COEFFICIENT_CALC]],0)=0,PROPERTIES[[#This Row],[TE_COEFFICIENT_MANUAL]],PROPERTIES[[#This Row],[TE_COEFFICIENT_CALC]]),3)</f>
        <v>0.25</v>
      </c>
      <c r="AD897" s="27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6">
        <v>72</v>
      </c>
      <c r="AF897" s="6">
        <v>8</v>
      </c>
      <c r="AG897" t="s">
        <v>232</v>
      </c>
      <c r="AH897" t="s">
        <v>229</v>
      </c>
      <c r="AI897" t="s">
        <v>229</v>
      </c>
      <c r="AJ897" s="2" t="s">
        <v>229</v>
      </c>
      <c r="AK897" s="2" t="s">
        <v>244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44" t="b">
        <v>0</v>
      </c>
      <c r="AP897" s="48" t="b">
        <v>0</v>
      </c>
      <c r="AQ897" s="48" t="b">
        <v>0</v>
      </c>
      <c r="AR897" s="48">
        <v>0</v>
      </c>
      <c r="AS897" s="48" t="b">
        <v>0</v>
      </c>
      <c r="AT897" s="7" t="b">
        <v>0</v>
      </c>
      <c r="AU897" s="40" t="str" cm="1">
        <f t="array" ref="AU897">_xlfn.XLOOKUP(PROPERTIES[[#This Row],[VEHIDCODE]],GRAPHICS_PROPERTIES[VEHIDCODE],GRAPHICS_PROPERTIES[TEMPLATE_ID]&amp;GRAPHICS_PROPERTIES[TEMPLATE_AMENDMENT_CODE])</f>
        <v>TPL_02A</v>
      </c>
    </row>
    <row r="898" spans="1:47" x14ac:dyDescent="0.35">
      <c r="A898" s="2" t="s">
        <v>3354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0" t="str">
        <f>_xlfn.XLOOKUP(PROPERTIES[[#This Row],[VEHIDCODE]],CONTROL[VEHIDCODE],CONTROL[ENGLISH])</f>
        <v>Thai Comeng XPT Concept</v>
      </c>
      <c r="F898" t="s">
        <v>743</v>
      </c>
      <c r="G898" s="40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_xlfn.XLOOKUP("LOADINGSPEEDDEF_"&amp;PROPERTIES[[#This Row],[LOADINGSPEED]],LOADINGSPEEDDEF[TYPE],LOADINGSPEEDDEF[SPEED])</f>
        <v>20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3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0">
        <f>178/2</f>
        <v>89</v>
      </c>
      <c r="AA898" s="20">
        <f>IFERROR(PROPERTIES[[#This Row],[TE_STARTING_KN]]/(PROPERTIES[[#This Row],[WEIGHT]]*9.81),0)</f>
        <v>0.11937335693974997</v>
      </c>
      <c r="AB898" s="20">
        <v>0</v>
      </c>
      <c r="AC898" s="16">
        <f>ROUND(IF(IFERROR(PROPERTIES[[#This Row],[TE_COEFFICIENT_CALC]],0)=0,PROPERTIES[[#This Row],[TE_COEFFICIENT_MANUAL]],PROPERTIES[[#This Row],[TE_COEFFICIENT_CALC]]),3)</f>
        <v>0.11899999999999999</v>
      </c>
      <c r="AD898" s="27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6">
        <v>72</v>
      </c>
      <c r="AF898" s="6">
        <v>8</v>
      </c>
      <c r="AG898" t="s">
        <v>238</v>
      </c>
      <c r="AH898" t="s">
        <v>229</v>
      </c>
      <c r="AI898" t="s">
        <v>229</v>
      </c>
      <c r="AJ898" s="2" t="s">
        <v>229</v>
      </c>
      <c r="AK898" s="2" t="s">
        <v>245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44" t="b">
        <v>0</v>
      </c>
      <c r="AP898" s="48" t="b">
        <v>0</v>
      </c>
      <c r="AQ898" s="48" t="b">
        <v>0</v>
      </c>
      <c r="AR898" s="48">
        <v>0</v>
      </c>
      <c r="AS898" s="48" t="b">
        <v>0</v>
      </c>
      <c r="AT898" s="7" t="b">
        <v>0</v>
      </c>
      <c r="AU898" s="40" t="str" cm="1">
        <f t="array" ref="AU898">_xlfn.XLOOKUP(PROPERTIES[[#This Row],[VEHIDCODE]],GRAPHICS_PROPERTIES[VEHIDCODE],GRAPHICS_PROPERTIES[TEMPLATE_ID]&amp;GRAPHICS_PROPERTIES[TEMPLATE_AMENDMENT_CODE])</f>
        <v>TPL_02A</v>
      </c>
    </row>
    <row r="899" spans="1:47" x14ac:dyDescent="0.35">
      <c r="A899" s="2" t="s">
        <v>3355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0" t="str">
        <f>_xlfn.XLOOKUP(PROPERTIES[[#This Row],[VEHIDCODE]],CONTROL[VEHIDCODE],CONTROL[ENGLISH])</f>
        <v>Comeng NSW XPT</v>
      </c>
      <c r="F899" t="s">
        <v>541</v>
      </c>
      <c r="G899" s="40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0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_xlfn.XLOOKUP("LOADINGSPEEDDEF_"&amp;PROPERTIES[[#This Row],[LOADINGSPEED]],LOADINGSPEEDDEF[TYPE],LOADINGSPEEDDEF[SPEED])</f>
        <v>20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3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0">
        <f>178/2</f>
        <v>89</v>
      </c>
      <c r="AA899" s="20">
        <f>IFERROR(PROPERTIES[[#This Row],[TE_STARTING_KN]]/(PROPERTIES[[#This Row],[WEIGHT]]*9.81),0)</f>
        <v>0.11937335693974997</v>
      </c>
      <c r="AB899" s="20">
        <v>0</v>
      </c>
      <c r="AC899" s="16">
        <f>ROUND(IF(IFERROR(PROPERTIES[[#This Row],[TE_COEFFICIENT_CALC]],0)=0,PROPERTIES[[#This Row],[TE_COEFFICIENT_MANUAL]],PROPERTIES[[#This Row],[TE_COEFFICIENT_CALC]]),3)</f>
        <v>0.11899999999999999</v>
      </c>
      <c r="AD899" s="27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6">
        <v>72</v>
      </c>
      <c r="AF899" s="6">
        <v>8</v>
      </c>
      <c r="AG899" t="s">
        <v>232</v>
      </c>
      <c r="AH899" t="s">
        <v>229</v>
      </c>
      <c r="AI899" t="s">
        <v>229</v>
      </c>
      <c r="AJ899" s="2" t="s">
        <v>229</v>
      </c>
      <c r="AK899" s="2" t="s">
        <v>244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44" t="b">
        <v>0</v>
      </c>
      <c r="AP899" s="48" t="b">
        <v>0</v>
      </c>
      <c r="AQ899" s="48" t="b">
        <v>0</v>
      </c>
      <c r="AR899" s="48">
        <v>0</v>
      </c>
      <c r="AS899" s="48" t="b">
        <v>0</v>
      </c>
      <c r="AT899" s="7" t="b">
        <v>0</v>
      </c>
      <c r="AU899" s="40" t="str" cm="1">
        <f t="array" ref="AU899">_xlfn.XLOOKUP(PROPERTIES[[#This Row],[VEHIDCODE]],GRAPHICS_PROPERTIES[VEHIDCODE],GRAPHICS_PROPERTIES[TEMPLATE_ID]&amp;GRAPHICS_PROPERTIES[TEMPLATE_AMENDMENT_CODE])</f>
        <v>TPL_02A</v>
      </c>
    </row>
    <row r="900" spans="1:47" x14ac:dyDescent="0.35">
      <c r="A900" s="2" t="s">
        <v>3356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0" t="str">
        <f>_xlfn.XLOOKUP(PROPERTIES[[#This Row],[VEHIDCODE]],CONTROL[VEHIDCODE],CONTROL[ENGLISH])</f>
        <v>Tangara V-Set Hybrid Concept</v>
      </c>
      <c r="F900" t="s">
        <v>541</v>
      </c>
      <c r="G900" s="40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15</v>
      </c>
      <c r="J900">
        <v>100</v>
      </c>
      <c r="K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3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0">
        <v>200</v>
      </c>
      <c r="AA900" s="20">
        <f>IFERROR(PROPERTIES[[#This Row],[TE_STARTING_KN]]/(PROPERTIES[[#This Row],[WEIGHT]]*9.81),0)</f>
        <v>0.37754370068335408</v>
      </c>
      <c r="AB900" s="20">
        <v>0</v>
      </c>
      <c r="AC900" s="16">
        <f>ROUND(IF(IFERROR(PROPERTIES[[#This Row],[TE_COEFFICIENT_CALC]],0)=0,PROPERTIES[[#This Row],[TE_COEFFICIENT_MANUAL]],PROPERTIES[[#This Row],[TE_COEFFICIENT_CALC]]),3)</f>
        <v>0.378</v>
      </c>
      <c r="AD900" s="27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6">
        <v>100</v>
      </c>
      <c r="AF900" s="6">
        <v>8</v>
      </c>
      <c r="AG900" t="s">
        <v>232</v>
      </c>
      <c r="AH900" t="s">
        <v>229</v>
      </c>
      <c r="AI900" t="s">
        <v>229</v>
      </c>
      <c r="AJ900" s="2" t="s">
        <v>229</v>
      </c>
      <c r="AK900" s="2" t="s">
        <v>245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44" t="b">
        <v>0</v>
      </c>
      <c r="AP900" s="48" t="b">
        <v>0</v>
      </c>
      <c r="AQ900" s="48" t="b">
        <v>0</v>
      </c>
      <c r="AR900" s="48">
        <v>0</v>
      </c>
      <c r="AS900" s="48" t="b">
        <v>0</v>
      </c>
      <c r="AT900" s="7" t="b">
        <v>0</v>
      </c>
      <c r="AU900" s="40" t="str" cm="1">
        <f t="array" ref="AU900">_xlfn.XLOOKUP(PROPERTIES[[#This Row],[VEHIDCODE]],GRAPHICS_PROPERTIES[VEHIDCODE],GRAPHICS_PROPERTIES[TEMPLATE_ID]&amp;GRAPHICS_PROPERTIES[TEMPLATE_AMENDMENT_CODE])</f>
        <v>TPL_02A</v>
      </c>
    </row>
    <row r="901" spans="1:47" x14ac:dyDescent="0.35">
      <c r="A901" s="2" t="s">
        <v>3357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0" t="str">
        <f>_xlfn.XLOOKUP(PROPERTIES[[#This Row],[VEHIDCODE]],CONTROL[VEHIDCODE],CONTROL[ENGLISH])</f>
        <v>NSWGR 800/900 'DEB'</v>
      </c>
      <c r="F901" t="s">
        <v>541</v>
      </c>
      <c r="G901" s="40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15</v>
      </c>
      <c r="J901">
        <v>43</v>
      </c>
      <c r="K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3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0">
        <v>26</v>
      </c>
      <c r="AA901" s="20">
        <f>IFERROR(PROPERTIES[[#This Row],[TE_STARTING_KN]]/(PROPERTIES[[#This Row],[WEIGHT]]*9.81),0)</f>
        <v>8.2823649337410807E-2</v>
      </c>
      <c r="AB901" s="20">
        <v>0</v>
      </c>
      <c r="AC901" s="16">
        <f>ROUND(IF(IFERROR(PROPERTIES[[#This Row],[TE_COEFFICIENT_CALC]],0)=0,PROPERTIES[[#This Row],[TE_COEFFICIENT_MANUAL]],PROPERTIES[[#This Row],[TE_COEFFICIENT_CALC]]),3)</f>
        <v>8.3000000000000004E-2</v>
      </c>
      <c r="AD901" s="27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6">
        <v>38</v>
      </c>
      <c r="AF901" s="6">
        <v>8</v>
      </c>
      <c r="AG901" t="s">
        <v>232</v>
      </c>
      <c r="AH901" t="s">
        <v>229</v>
      </c>
      <c r="AI901" t="s">
        <v>229</v>
      </c>
      <c r="AJ901" s="2" t="s">
        <v>229</v>
      </c>
      <c r="AK901" s="2" t="s">
        <v>245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44" t="b">
        <v>0</v>
      </c>
      <c r="AP901" s="48" t="b">
        <v>0</v>
      </c>
      <c r="AQ901" s="48" t="b">
        <v>0</v>
      </c>
      <c r="AR901" s="48">
        <v>0</v>
      </c>
      <c r="AS901" s="48" t="b">
        <v>0</v>
      </c>
      <c r="AT901" s="7" t="b">
        <v>0</v>
      </c>
      <c r="AU901" s="40" t="str" cm="1">
        <f t="array" ref="AU901">_xlfn.XLOOKUP(PROPERTIES[[#This Row],[VEHIDCODE]],GRAPHICS_PROPERTIES[VEHIDCODE],GRAPHICS_PROPERTIES[TEMPLATE_ID]&amp;GRAPHICS_PROPERTIES[TEMPLATE_AMENDMENT_CODE])</f>
        <v>TPL_02A</v>
      </c>
    </row>
    <row r="902" spans="1:47" x14ac:dyDescent="0.35">
      <c r="A902" s="2" t="s">
        <v>3358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0" t="str">
        <f>_xlfn.XLOOKUP(PROPERTIES[[#This Row],[VEHIDCODE]],CONTROL[VEHIDCODE],CONTROL[ENGLISH])</f>
        <v>Goninan Tangara 4D Prototype</v>
      </c>
      <c r="F902" t="s">
        <v>541</v>
      </c>
      <c r="G902" s="40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15</v>
      </c>
      <c r="J902">
        <f>INT((346+628)/4)</f>
        <v>243</v>
      </c>
      <c r="K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3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0">
        <v>0</v>
      </c>
      <c r="AA902" s="20">
        <f>IFERROR(PROPERTIES[[#This Row],[TE_STARTING_KN]]/(PROPERTIES[[#This Row],[WEIGHT]]*9.81),0)</f>
        <v>0</v>
      </c>
      <c r="AB902" s="20">
        <v>0.25</v>
      </c>
      <c r="AC902" s="16">
        <f>ROUND(IF(IFERROR(PROPERTIES[[#This Row],[TE_COEFFICIENT_CALC]],0)=0,PROPERTIES[[#This Row],[TE_COEFFICIENT_MANUAL]],PROPERTIES[[#This Row],[TE_COEFFICIENT_CALC]]),3)</f>
        <v>0.25</v>
      </c>
      <c r="AD902" s="27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6">
        <v>243</v>
      </c>
      <c r="AF902" s="6">
        <v>8</v>
      </c>
      <c r="AG902" t="s">
        <v>232</v>
      </c>
      <c r="AH902" t="s">
        <v>229</v>
      </c>
      <c r="AI902" t="s">
        <v>229</v>
      </c>
      <c r="AJ902" s="2" t="s">
        <v>229</v>
      </c>
      <c r="AK902" s="2" t="s">
        <v>244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44" t="b">
        <v>0</v>
      </c>
      <c r="AP902" s="48" t="b">
        <v>0</v>
      </c>
      <c r="AQ902" s="48" t="b">
        <v>0</v>
      </c>
      <c r="AR902" s="48">
        <v>0</v>
      </c>
      <c r="AS902" s="48" t="b">
        <v>0</v>
      </c>
      <c r="AT902" s="7" t="b">
        <v>0</v>
      </c>
      <c r="AU902" s="40" t="str" cm="1">
        <f t="array" ref="AU902">_xlfn.XLOOKUP(PROPERTIES[[#This Row],[VEHIDCODE]],GRAPHICS_PROPERTIES[VEHIDCODE],GRAPHICS_PROPERTIES[TEMPLATE_ID]&amp;GRAPHICS_PROPERTIES[TEMPLATE_AMENDMENT_CODE])</f>
        <v>TPL_02A</v>
      </c>
    </row>
    <row r="903" spans="1:47" x14ac:dyDescent="0.35">
      <c r="A903" s="2" t="s">
        <v>3359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0" t="str">
        <f>_xlfn.XLOOKUP(PROPERTIES[[#This Row],[VEHIDCODE]],CONTROL[VEHIDCODE],CONTROL[ENGLISH])</f>
        <v>Goninan Tangara T-Set</v>
      </c>
      <c r="F903" t="s">
        <v>541</v>
      </c>
      <c r="G903" s="40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15</v>
      </c>
      <c r="J903">
        <v>98</v>
      </c>
      <c r="K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3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0">
        <v>0</v>
      </c>
      <c r="AA903" s="20">
        <f>IFERROR(PROPERTIES[[#This Row],[TE_STARTING_KN]]/(PROPERTIES[[#This Row],[WEIGHT]]*9.81),0)</f>
        <v>0</v>
      </c>
      <c r="AB903" s="20">
        <v>0.25</v>
      </c>
      <c r="AC903" s="16">
        <f>ROUND(IF(IFERROR(PROPERTIES[[#This Row],[TE_COEFFICIENT_CALC]],0)=0,PROPERTIES[[#This Row],[TE_COEFFICIENT_MANUAL]],PROPERTIES[[#This Row],[TE_COEFFICIENT_CALC]]),3)</f>
        <v>0.25</v>
      </c>
      <c r="AD903" s="27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6">
        <v>112</v>
      </c>
      <c r="AF903" s="6">
        <v>8</v>
      </c>
      <c r="AG903" t="s">
        <v>232</v>
      </c>
      <c r="AH903" t="s">
        <v>229</v>
      </c>
      <c r="AI903" t="s">
        <v>229</v>
      </c>
      <c r="AJ903" s="2" t="s">
        <v>229</v>
      </c>
      <c r="AK903" s="2" t="s">
        <v>244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44" t="b">
        <v>0</v>
      </c>
      <c r="AP903" s="48" t="b">
        <v>0</v>
      </c>
      <c r="AQ903" s="48" t="b">
        <v>0</v>
      </c>
      <c r="AR903" s="48">
        <v>0</v>
      </c>
      <c r="AS903" s="48" t="b">
        <v>0</v>
      </c>
      <c r="AT903" s="7" t="b">
        <v>0</v>
      </c>
      <c r="AU903" s="40" t="str" cm="1">
        <f t="array" ref="AU903">_xlfn.XLOOKUP(PROPERTIES[[#This Row],[VEHIDCODE]],GRAPHICS_PROPERTIES[VEHIDCODE],GRAPHICS_PROPERTIES[TEMPLATE_ID]&amp;GRAPHICS_PROPERTIES[TEMPLATE_AMENDMENT_CODE])</f>
        <v>TPL_02A</v>
      </c>
    </row>
    <row r="904" spans="1:47" x14ac:dyDescent="0.35">
      <c r="A904" s="2" t="s">
        <v>3360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0" t="str">
        <f>_xlfn.XLOOKUP(PROPERTIES[[#This Row],[VEHIDCODE]],CONTROL[VEHIDCODE],CONTROL[ENGLISH])</f>
        <v>NSWGR 600/700</v>
      </c>
      <c r="F904" t="s">
        <v>541</v>
      </c>
      <c r="G904" s="40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15</v>
      </c>
      <c r="J904">
        <v>32</v>
      </c>
      <c r="K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3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0">
        <v>0</v>
      </c>
      <c r="AA904" s="20">
        <f>IFERROR(PROPERTIES[[#This Row],[TE_STARTING_KN]]/(PROPERTIES[[#This Row],[WEIGHT]]*9.81),0)</f>
        <v>0</v>
      </c>
      <c r="AB904" s="20">
        <v>0.2</v>
      </c>
      <c r="AC904" s="16">
        <f>ROUND(IF(IFERROR(PROPERTIES[[#This Row],[TE_COEFFICIENT_CALC]],0)=0,PROPERTIES[[#This Row],[TE_COEFFICIENT_MANUAL]],PROPERTIES[[#This Row],[TE_COEFFICIENT_CALC]]),3)</f>
        <v>0.2</v>
      </c>
      <c r="AD904" s="27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6">
        <v>24</v>
      </c>
      <c r="AF904" s="6">
        <v>8</v>
      </c>
      <c r="AG904" t="s">
        <v>232</v>
      </c>
      <c r="AH904" t="s">
        <v>229</v>
      </c>
      <c r="AI904" t="s">
        <v>229</v>
      </c>
      <c r="AJ904" s="2" t="s">
        <v>229</v>
      </c>
      <c r="AK904" s="2" t="s">
        <v>244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44" t="b">
        <v>0</v>
      </c>
      <c r="AP904" s="48" t="b">
        <v>0</v>
      </c>
      <c r="AQ904" s="48" t="b">
        <v>0</v>
      </c>
      <c r="AR904" s="48">
        <v>0</v>
      </c>
      <c r="AS904" s="48" t="b">
        <v>0</v>
      </c>
      <c r="AT904" s="7" t="b">
        <v>0</v>
      </c>
      <c r="AU904" s="40" t="str" cm="1">
        <f t="array" ref="AU904">_xlfn.XLOOKUP(PROPERTIES[[#This Row],[VEHIDCODE]],GRAPHICS_PROPERTIES[VEHIDCODE],GRAPHICS_PROPERTIES[TEMPLATE_ID]&amp;GRAPHICS_PROPERTIES[TEMPLATE_AMENDMENT_CODE])</f>
        <v>TPL_02A</v>
      </c>
    </row>
    <row r="905" spans="1:47" x14ac:dyDescent="0.35">
      <c r="A905" s="2" t="s">
        <v>3361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0" t="str">
        <f>_xlfn.XLOOKUP(PROPERTIES[[#This Row],[VEHIDCODE]],CONTROL[VEHIDCODE],CONTROL[ENGLISH])</f>
        <v>Kawasaki RM 'Silver Fern'</v>
      </c>
      <c r="F905" t="s">
        <v>697</v>
      </c>
      <c r="G905" s="40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15</v>
      </c>
      <c r="J905">
        <f>96/3</f>
        <v>32</v>
      </c>
      <c r="K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3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0">
        <v>0</v>
      </c>
      <c r="AA905" s="20">
        <f>IFERROR(PROPERTIES[[#This Row],[TE_STARTING_KN]]/(PROPERTIES[[#This Row],[WEIGHT]]*9.81),0)</f>
        <v>0</v>
      </c>
      <c r="AB905" s="20">
        <v>0.2</v>
      </c>
      <c r="AC905" s="16">
        <f>ROUND(IF(IFERROR(PROPERTIES[[#This Row],[TE_COEFFICIENT_CALC]],0)=0,PROPERTIES[[#This Row],[TE_COEFFICIENT_MANUAL]],PROPERTIES[[#This Row],[TE_COEFFICIENT_CALC]]),3)</f>
        <v>0.2</v>
      </c>
      <c r="AD905" s="27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6">
        <v>32</v>
      </c>
      <c r="AF905" s="6">
        <v>8</v>
      </c>
      <c r="AG905" t="s">
        <v>232</v>
      </c>
      <c r="AH905" t="s">
        <v>229</v>
      </c>
      <c r="AI905" t="s">
        <v>229</v>
      </c>
      <c r="AJ905" s="2" t="s">
        <v>229</v>
      </c>
      <c r="AK905" s="2" t="s">
        <v>244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44" t="b">
        <v>0</v>
      </c>
      <c r="AP905" s="48" t="b">
        <v>0</v>
      </c>
      <c r="AQ905" s="48" t="b">
        <v>0</v>
      </c>
      <c r="AR905" s="48">
        <v>0</v>
      </c>
      <c r="AS905" s="48" t="b">
        <v>0</v>
      </c>
      <c r="AT905" s="7" t="b">
        <v>0</v>
      </c>
      <c r="AU905" s="40" t="str" cm="1">
        <f t="array" ref="AU905">_xlfn.XLOOKUP(PROPERTIES[[#This Row],[VEHIDCODE]],GRAPHICS_PROPERTIES[VEHIDCODE],GRAPHICS_PROPERTIES[TEMPLATE_ID]&amp;GRAPHICS_PROPERTIES[TEMPLATE_AMENDMENT_CODE])</f>
        <v>TPL_02A</v>
      </c>
    </row>
    <row r="906" spans="1:47" x14ac:dyDescent="0.35">
      <c r="A906" s="2" t="s">
        <v>3362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0" t="str">
        <f>_xlfn.XLOOKUP(PROPERTIES[[#This Row],[VEHIDCODE]],CONTROL[VEHIDCODE],CONTROL[ENGLISH])</f>
        <v>Comeng W Class 'Sputnik'</v>
      </c>
      <c r="F906" t="s">
        <v>541</v>
      </c>
      <c r="G906" s="40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15</v>
      </c>
      <c r="J906">
        <v>59</v>
      </c>
      <c r="K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3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0">
        <v>0</v>
      </c>
      <c r="AA906" s="20">
        <f>IFERROR(PROPERTIES[[#This Row],[TE_STARTING_KN]]/(PROPERTIES[[#This Row],[WEIGHT]]*9.81),0)</f>
        <v>0</v>
      </c>
      <c r="AB906" s="20">
        <v>0.2</v>
      </c>
      <c r="AC906" s="16">
        <f>ROUND(IF(IFERROR(PROPERTIES[[#This Row],[TE_COEFFICIENT_CALC]],0)=0,PROPERTIES[[#This Row],[TE_COEFFICIENT_MANUAL]],PROPERTIES[[#This Row],[TE_COEFFICIENT_CALC]]),3)</f>
        <v>0.2</v>
      </c>
      <c r="AD906" s="27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6">
        <v>70</v>
      </c>
      <c r="AF906" s="6">
        <v>8</v>
      </c>
      <c r="AG906" t="s">
        <v>232</v>
      </c>
      <c r="AH906" t="s">
        <v>229</v>
      </c>
      <c r="AI906" t="s">
        <v>229</v>
      </c>
      <c r="AJ906" s="2" t="s">
        <v>229</v>
      </c>
      <c r="AK906" s="2" t="s">
        <v>244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44" t="b">
        <v>0</v>
      </c>
      <c r="AP906" s="48" t="b">
        <v>0</v>
      </c>
      <c r="AQ906" s="48" t="b">
        <v>0</v>
      </c>
      <c r="AR906" s="48">
        <v>0</v>
      </c>
      <c r="AS906" s="48" t="b">
        <v>0</v>
      </c>
      <c r="AT906" s="7" t="b">
        <v>0</v>
      </c>
      <c r="AU906" s="40" t="str" cm="1">
        <f t="array" ref="AU906">_xlfn.XLOOKUP(PROPERTIES[[#This Row],[VEHIDCODE]],GRAPHICS_PROPERTIES[VEHIDCODE],GRAPHICS_PROPERTIES[TEMPLATE_ID]&amp;GRAPHICS_PROPERTIES[TEMPLATE_AMENDMENT_CODE])</f>
        <v>TPL_02A</v>
      </c>
    </row>
    <row r="907" spans="1:47" x14ac:dyDescent="0.35">
      <c r="A907" s="2" t="s">
        <v>3363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0" t="str">
        <f>_xlfn.XLOOKUP(PROPERTIES[[#This Row],[VEHIDCODE]],CONTROL[VEHIDCODE],CONTROL[ENGLISH])</f>
        <v>Leeds/Clyde 'Standard' EMU</v>
      </c>
      <c r="F907" t="s">
        <v>541</v>
      </c>
      <c r="G907" s="40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15</v>
      </c>
      <c r="J907">
        <v>90</v>
      </c>
      <c r="K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3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0">
        <v>0</v>
      </c>
      <c r="AA907" s="20">
        <f>IFERROR(PROPERTIES[[#This Row],[TE_STARTING_KN]]/(PROPERTIES[[#This Row],[WEIGHT]]*9.81),0)</f>
        <v>0</v>
      </c>
      <c r="AB907" s="20">
        <v>0.2</v>
      </c>
      <c r="AC907" s="16">
        <f>ROUND(IF(IFERROR(PROPERTIES[[#This Row],[TE_COEFFICIENT_CALC]],0)=0,PROPERTIES[[#This Row],[TE_COEFFICIENT_MANUAL]],PROPERTIES[[#This Row],[TE_COEFFICIENT_CALC]]),3)</f>
        <v>0.2</v>
      </c>
      <c r="AD907" s="27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6">
        <v>90</v>
      </c>
      <c r="AF907" s="6">
        <v>8</v>
      </c>
      <c r="AG907" t="s">
        <v>232</v>
      </c>
      <c r="AH907" t="s">
        <v>229</v>
      </c>
      <c r="AI907" t="s">
        <v>229</v>
      </c>
      <c r="AJ907" s="2" t="s">
        <v>229</v>
      </c>
      <c r="AK907" s="2" t="s">
        <v>244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44" t="b">
        <v>0</v>
      </c>
      <c r="AP907" s="48" t="b">
        <v>0</v>
      </c>
      <c r="AQ907" s="48" t="b">
        <v>0</v>
      </c>
      <c r="AR907" s="48">
        <v>0</v>
      </c>
      <c r="AS907" s="48" t="b">
        <v>0</v>
      </c>
      <c r="AT907" s="7" t="b">
        <v>0</v>
      </c>
      <c r="AU907" s="40" t="str" cm="1">
        <f t="array" ref="AU907">_xlfn.XLOOKUP(PROPERTIES[[#This Row],[VEHIDCODE]],GRAPHICS_PROPERTIES[VEHIDCODE],GRAPHICS_PROPERTIES[TEMPLATE_ID]&amp;GRAPHICS_PROPERTIES[TEMPLATE_AMENDMENT_CODE])</f>
        <v>TPL_02A</v>
      </c>
    </row>
    <row r="908" spans="1:47" x14ac:dyDescent="0.35">
      <c r="A908" s="2" t="s">
        <v>3364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0" t="str">
        <f>_xlfn.XLOOKUP(PROPERTIES[[#This Row],[VEHIDCODE]],CONTROL[VEHIDCODE],CONTROL[ENGLISH])</f>
        <v>NSWGR 'Tulloch' EMU</v>
      </c>
      <c r="F908" t="s">
        <v>541</v>
      </c>
      <c r="G908" s="40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15</v>
      </c>
      <c r="J908">
        <v>90</v>
      </c>
      <c r="K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3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0">
        <v>0</v>
      </c>
      <c r="AA908" s="20">
        <f>IFERROR(PROPERTIES[[#This Row],[TE_STARTING_KN]]/(PROPERTIES[[#This Row],[WEIGHT]]*9.81),0)</f>
        <v>0</v>
      </c>
      <c r="AB908" s="20">
        <v>0.22</v>
      </c>
      <c r="AC908" s="16">
        <f>ROUND(IF(IFERROR(PROPERTIES[[#This Row],[TE_COEFFICIENT_CALC]],0)=0,PROPERTIES[[#This Row],[TE_COEFFICIENT_MANUAL]],PROPERTIES[[#This Row],[TE_COEFFICIENT_CALC]]),3)</f>
        <v>0.22</v>
      </c>
      <c r="AD908" s="27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6">
        <v>90</v>
      </c>
      <c r="AF908" s="6">
        <v>8</v>
      </c>
      <c r="AG908" t="s">
        <v>232</v>
      </c>
      <c r="AH908" t="s">
        <v>229</v>
      </c>
      <c r="AI908" t="s">
        <v>229</v>
      </c>
      <c r="AJ908" s="2" t="s">
        <v>229</v>
      </c>
      <c r="AK908" s="2" t="s">
        <v>244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44" t="b">
        <v>0</v>
      </c>
      <c r="AP908" s="48" t="b">
        <v>0</v>
      </c>
      <c r="AQ908" s="48" t="b">
        <v>0</v>
      </c>
      <c r="AR908" s="48">
        <v>0</v>
      </c>
      <c r="AS908" s="48" t="b">
        <v>0</v>
      </c>
      <c r="AT908" s="7" t="b">
        <v>0</v>
      </c>
      <c r="AU908" s="40" t="str" cm="1">
        <f t="array" ref="AU908">_xlfn.XLOOKUP(PROPERTIES[[#This Row],[VEHIDCODE]],GRAPHICS_PROPERTIES[VEHIDCODE],GRAPHICS_PROPERTIES[TEMPLATE_ID]&amp;GRAPHICS_PROPERTIES[TEMPLATE_AMENDMENT_CODE])</f>
        <v>TPL_02A</v>
      </c>
    </row>
    <row r="909" spans="1:47" x14ac:dyDescent="0.35">
      <c r="A909" s="2" t="s">
        <v>3365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0" t="str">
        <f>_xlfn.XLOOKUP(PROPERTIES[[#This Row],[VEHIDCODE]],CONTROL[VEHIDCODE],CONTROL[ENGLISH])</f>
        <v>Alstom X'Trapolis 100 Melbourne</v>
      </c>
      <c r="F909" t="s">
        <v>541</v>
      </c>
      <c r="G909" s="40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15</v>
      </c>
      <c r="J909">
        <f>216/3</f>
        <v>72</v>
      </c>
      <c r="K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3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0">
        <v>95</v>
      </c>
      <c r="AA909" s="19">
        <f>IFERROR(PROPERTIES[[#This Row],[TE_STARTING_KN]]/(PROPERTIES[[#This Row],[WEIGHT]]*9.81),0)</f>
        <v>0.2252092075006519</v>
      </c>
      <c r="AB909" s="19">
        <v>0</v>
      </c>
      <c r="AC909" s="16">
        <f>ROUND(IF(IFERROR(PROPERTIES[[#This Row],[TE_COEFFICIENT_CALC]],0)=0,PROPERTIES[[#This Row],[TE_COEFFICIENT_MANUAL]],PROPERTIES[[#This Row],[TE_COEFFICIENT_CALC]]),3)</f>
        <v>0.22500000000000001</v>
      </c>
      <c r="AD909" s="27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6">
        <v>72</v>
      </c>
      <c r="AF909" s="6">
        <v>8</v>
      </c>
      <c r="AG909" t="s">
        <v>232</v>
      </c>
      <c r="AH909" t="s">
        <v>229</v>
      </c>
      <c r="AI909" t="s">
        <v>229</v>
      </c>
      <c r="AJ909" s="2" t="s">
        <v>229</v>
      </c>
      <c r="AK909" s="2" t="s">
        <v>244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44" t="b">
        <v>0</v>
      </c>
      <c r="AP909" s="48" t="b">
        <v>0</v>
      </c>
      <c r="AQ909" s="48" t="b">
        <v>0</v>
      </c>
      <c r="AR909" s="48">
        <v>0</v>
      </c>
      <c r="AS909" s="48" t="b">
        <v>0</v>
      </c>
      <c r="AT909" s="7" t="b">
        <v>1</v>
      </c>
      <c r="AU909" s="40" t="str" cm="1">
        <f t="array" ref="AU909">_xlfn.XLOOKUP(PROPERTIES[[#This Row],[VEHIDCODE]],GRAPHICS_PROPERTIES[VEHIDCODE],GRAPHICS_PROPERTIES[TEMPLATE_ID]&amp;GRAPHICS_PROPERTIES[TEMPLATE_AMENDMENT_CODE])</f>
        <v>TPL_02A</v>
      </c>
    </row>
    <row r="910" spans="1:47" x14ac:dyDescent="0.35">
      <c r="A910" s="2" t="s">
        <v>1832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0" t="str">
        <f>_xlfn.XLOOKUP(PROPERTIES[[#This Row],[VEHIDCODE]],CONTROL[VEHIDCODE],CONTROL[ENGLISH])</f>
        <v>Early American End-Platform Coach [Smaller]</v>
      </c>
      <c r="G910" s="40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22</v>
      </c>
      <c r="J910">
        <v>42</v>
      </c>
      <c r="K910">
        <v>6</v>
      </c>
      <c r="L910">
        <v>0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3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0">
        <v>0</v>
      </c>
      <c r="AA910" s="19">
        <f>IFERROR(PROPERTIES[[#This Row],[TE_STARTING_KN]]/(PROPERTIES[[#This Row],[WEIGHT]]*9.81),0)</f>
        <v>0</v>
      </c>
      <c r="AB910" s="19">
        <v>0.3</v>
      </c>
      <c r="AC910" s="16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6">
        <v>0</v>
      </c>
      <c r="AF910" s="6">
        <v>0</v>
      </c>
      <c r="AG910" t="s">
        <v>232</v>
      </c>
      <c r="AH910" t="s">
        <v>229</v>
      </c>
      <c r="AI910" t="s">
        <v>229</v>
      </c>
      <c r="AJ910" s="2" t="s">
        <v>229</v>
      </c>
      <c r="AK910" s="2" t="s">
        <v>244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44" t="b">
        <v>0</v>
      </c>
      <c r="AP910" s="48" t="b">
        <v>0</v>
      </c>
      <c r="AQ910" s="48" t="b">
        <v>0</v>
      </c>
      <c r="AR910" s="48">
        <v>0</v>
      </c>
      <c r="AS910" s="48" t="b">
        <v>0</v>
      </c>
      <c r="AT910" s="7" t="b">
        <v>0</v>
      </c>
      <c r="AU910" s="40" t="str" cm="1">
        <f t="array" ref="AU910">_xlfn.XLOOKUP(PROPERTIES[[#This Row],[VEHIDCODE]],GRAPHICS_PROPERTIES[VEHIDCODE],GRAPHICS_PROPERTIES[TEMPLATE_ID]&amp;GRAPHICS_PROPERTIES[TEMPLATE_AMENDMENT_CODE])</f>
        <v>TPL_04U</v>
      </c>
    </row>
    <row r="911" spans="1:47" x14ac:dyDescent="0.35">
      <c r="A911" s="2" t="s">
        <v>1834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0" t="str">
        <f>_xlfn.XLOOKUP(PROPERTIES[[#This Row],[VEHIDCODE]],CONTROL[VEHIDCODE],CONTROL[ENGLISH])</f>
        <v>Early American End-Platform Mail Coach [Smaller]</v>
      </c>
      <c r="G911" s="40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36</v>
      </c>
      <c r="J911">
        <v>42</v>
      </c>
      <c r="K911">
        <v>6</v>
      </c>
      <c r="L911">
        <v>0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3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0">
        <v>0</v>
      </c>
      <c r="AA911" s="19">
        <f>IFERROR(PROPERTIES[[#This Row],[TE_STARTING_KN]]/(PROPERTIES[[#This Row],[WEIGHT]]*9.81),0)</f>
        <v>0</v>
      </c>
      <c r="AB911" s="19">
        <v>0.3</v>
      </c>
      <c r="AC911" s="16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6">
        <v>0</v>
      </c>
      <c r="AF911" s="6">
        <v>0</v>
      </c>
      <c r="AG911" t="s">
        <v>232</v>
      </c>
      <c r="AH911" t="s">
        <v>229</v>
      </c>
      <c r="AI911" t="s">
        <v>229</v>
      </c>
      <c r="AJ911" s="2" t="s">
        <v>229</v>
      </c>
      <c r="AK911" s="2" t="s">
        <v>244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44" t="b">
        <v>0</v>
      </c>
      <c r="AP911" s="48" t="b">
        <v>0</v>
      </c>
      <c r="AQ911" s="48" t="b">
        <v>0</v>
      </c>
      <c r="AR911" s="48">
        <v>0</v>
      </c>
      <c r="AS911" s="48" t="b">
        <v>0</v>
      </c>
      <c r="AT911" s="7" t="b">
        <v>0</v>
      </c>
      <c r="AU911" s="40" t="str" cm="1">
        <f t="array" ref="AU911">_xlfn.XLOOKUP(PROPERTIES[[#This Row],[VEHIDCODE]],GRAPHICS_PROPERTIES[VEHIDCODE],GRAPHICS_PROPERTIES[TEMPLATE_ID]&amp;GRAPHICS_PROPERTIES[TEMPLATE_AMENDMENT_CODE])</f>
        <v>TPL_04U</v>
      </c>
    </row>
    <row r="912" spans="1:47" x14ac:dyDescent="0.35">
      <c r="A912" s="2" t="s">
        <v>1835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0" t="str">
        <f>_xlfn.XLOOKUP(PROPERTIES[[#This Row],[VEHIDCODE]],CONTROL[VEHIDCODE],CONTROL[ENGLISH])</f>
        <v>Early 2-axle Compartment Coach</v>
      </c>
      <c r="G912" s="40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22</v>
      </c>
      <c r="J912">
        <v>25</v>
      </c>
      <c r="K912">
        <v>4</v>
      </c>
      <c r="L912">
        <v>0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3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0">
        <v>0</v>
      </c>
      <c r="AA912" s="19">
        <f>IFERROR(PROPERTIES[[#This Row],[TE_STARTING_KN]]/(PROPERTIES[[#This Row],[WEIGHT]]*9.81),0)</f>
        <v>0</v>
      </c>
      <c r="AB912" s="19">
        <v>0.3</v>
      </c>
      <c r="AC912" s="16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6">
        <v>0</v>
      </c>
      <c r="AF912" s="6">
        <v>0</v>
      </c>
      <c r="AG912" t="s">
        <v>232</v>
      </c>
      <c r="AH912" t="s">
        <v>229</v>
      </c>
      <c r="AI912" t="s">
        <v>229</v>
      </c>
      <c r="AJ912" s="2" t="s">
        <v>229</v>
      </c>
      <c r="AK912" s="2" t="s">
        <v>244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44" t="b">
        <v>0</v>
      </c>
      <c r="AP912" s="48" t="b">
        <v>0</v>
      </c>
      <c r="AQ912" s="48" t="b">
        <v>0</v>
      </c>
      <c r="AR912" s="48">
        <v>0</v>
      </c>
      <c r="AS912" s="48" t="b">
        <v>0</v>
      </c>
      <c r="AT912" s="7" t="b">
        <v>0</v>
      </c>
      <c r="AU912" s="40" t="str" cm="1">
        <f t="array" ref="AU912">_xlfn.XLOOKUP(PROPERTIES[[#This Row],[VEHIDCODE]],GRAPHICS_PROPERTIES[VEHIDCODE],GRAPHICS_PROPERTIES[TEMPLATE_ID]&amp;GRAPHICS_PROPERTIES[TEMPLATE_AMENDMENT_CODE])</f>
        <v>TPL_04U</v>
      </c>
    </row>
    <row r="913" spans="1:47" x14ac:dyDescent="0.35">
      <c r="A913" s="2" t="s">
        <v>1836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0" t="str">
        <f>_xlfn.XLOOKUP(PROPERTIES[[#This Row],[VEHIDCODE]],CONTROL[VEHIDCODE],CONTROL[ENGLISH])</f>
        <v>Early 2-axle Mail Coach</v>
      </c>
      <c r="G913" s="40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36</v>
      </c>
      <c r="J913">
        <v>25</v>
      </c>
      <c r="K913">
        <v>4</v>
      </c>
      <c r="L913">
        <v>0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3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0">
        <v>0</v>
      </c>
      <c r="AA913" s="19">
        <f>IFERROR(PROPERTIES[[#This Row],[TE_STARTING_KN]]/(PROPERTIES[[#This Row],[WEIGHT]]*9.81),0)</f>
        <v>0</v>
      </c>
      <c r="AB913" s="19">
        <v>0.3</v>
      </c>
      <c r="AC913" s="16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6">
        <v>0</v>
      </c>
      <c r="AF913" s="6">
        <v>0</v>
      </c>
      <c r="AG913" t="s">
        <v>232</v>
      </c>
      <c r="AH913" t="s">
        <v>229</v>
      </c>
      <c r="AI913" t="s">
        <v>229</v>
      </c>
      <c r="AJ913" s="2" t="s">
        <v>229</v>
      </c>
      <c r="AK913" s="2" t="s">
        <v>244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44" t="b">
        <v>0</v>
      </c>
      <c r="AP913" s="48" t="b">
        <v>0</v>
      </c>
      <c r="AQ913" s="48" t="b">
        <v>0</v>
      </c>
      <c r="AR913" s="48">
        <v>0</v>
      </c>
      <c r="AS913" s="48" t="b">
        <v>0</v>
      </c>
      <c r="AT913" s="7" t="b">
        <v>0</v>
      </c>
      <c r="AU913" s="40" t="str" cm="1">
        <f t="array" ref="AU913">_xlfn.XLOOKUP(PROPERTIES[[#This Row],[VEHIDCODE]],GRAPHICS_PROPERTIES[VEHIDCODE],GRAPHICS_PROPERTIES[TEMPLATE_ID]&amp;GRAPHICS_PROPERTIES[TEMPLATE_AMENDMENT_CODE])</f>
        <v>TPL_04U</v>
      </c>
    </row>
    <row r="914" spans="1:47" x14ac:dyDescent="0.35">
      <c r="A914" t="s">
        <v>1839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0" t="str">
        <f>_xlfn.XLOOKUP(PROPERTIES[[#This Row],[VEHIDCODE]],CONTROL[VEHIDCODE],CONTROL[ENGLISH])</f>
        <v>Early 2-axle End-Platform Coach</v>
      </c>
      <c r="G914" s="40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22</v>
      </c>
      <c r="J914">
        <v>35</v>
      </c>
      <c r="K914">
        <v>4</v>
      </c>
      <c r="L914">
        <v>0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3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0">
        <v>0</v>
      </c>
      <c r="AA914" s="20">
        <f>IFERROR(PROPERTIES[[#This Row],[TE_STARTING_KN]]/(PROPERTIES[[#This Row],[WEIGHT]]*9.81),0)</f>
        <v>0</v>
      </c>
      <c r="AB914" s="19">
        <v>0.3</v>
      </c>
      <c r="AC914" s="16">
        <f>ROUND(IF(IFERROR(PROPERTIES[[#This Row],[TE_COEFFICIENT_CALC]],0)=0,PROPERTIES[[#This Row],[TE_COEFFICIENT_MANUAL]],PROPERTIES[[#This Row],[TE_COEFFICIENT_CALC]]),3)</f>
        <v>0.3</v>
      </c>
      <c r="AD914" s="27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6">
        <v>0</v>
      </c>
      <c r="AF914" s="6">
        <v>0</v>
      </c>
      <c r="AG914" t="s">
        <v>232</v>
      </c>
      <c r="AH914" t="s">
        <v>229</v>
      </c>
      <c r="AI914" t="s">
        <v>229</v>
      </c>
      <c r="AJ914" s="2" t="s">
        <v>229</v>
      </c>
      <c r="AK914" s="2" t="s">
        <v>244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44" t="b">
        <v>0</v>
      </c>
      <c r="AP914" s="48" t="b">
        <v>0</v>
      </c>
      <c r="AQ914" s="48" t="b">
        <v>0</v>
      </c>
      <c r="AR914" s="48">
        <v>0</v>
      </c>
      <c r="AS914" s="48" t="b">
        <v>0</v>
      </c>
      <c r="AT914" s="7" t="b">
        <v>0</v>
      </c>
      <c r="AU914" s="40" t="str" cm="1">
        <f t="array" ref="AU914">_xlfn.XLOOKUP(PROPERTIES[[#This Row],[VEHIDCODE]],GRAPHICS_PROPERTIES[VEHIDCODE],GRAPHICS_PROPERTIES[TEMPLATE_ID]&amp;GRAPHICS_PROPERTIES[TEMPLATE_AMENDMENT_CODE])</f>
        <v>TPL_04U</v>
      </c>
    </row>
    <row r="915" spans="1:47" x14ac:dyDescent="0.35">
      <c r="A915" s="2" t="s">
        <v>1840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0" t="str">
        <f>_xlfn.XLOOKUP(PROPERTIES[[#This Row],[VEHIDCODE]],CONTROL[VEHIDCODE],CONTROL[ENGLISH])</f>
        <v>Early 2-axle Suburban Coach</v>
      </c>
      <c r="G915" s="40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22</v>
      </c>
      <c r="J915">
        <v>33</v>
      </c>
      <c r="K915">
        <v>4</v>
      </c>
      <c r="L915">
        <v>0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3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0">
        <v>0</v>
      </c>
      <c r="AA915" s="20">
        <f>IFERROR(PROPERTIES[[#This Row],[TE_STARTING_KN]]/(PROPERTIES[[#This Row],[WEIGHT]]*9.81),0)</f>
        <v>0</v>
      </c>
      <c r="AB915" s="19">
        <v>0.3</v>
      </c>
      <c r="AC915" s="16">
        <f>ROUND(IF(IFERROR(PROPERTIES[[#This Row],[TE_COEFFICIENT_CALC]],0)=0,PROPERTIES[[#This Row],[TE_COEFFICIENT_MANUAL]],PROPERTIES[[#This Row],[TE_COEFFICIENT_CALC]]),3)</f>
        <v>0.3</v>
      </c>
      <c r="AD915" s="27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6">
        <v>0</v>
      </c>
      <c r="AF915" s="6">
        <v>0</v>
      </c>
      <c r="AG915" t="s">
        <v>232</v>
      </c>
      <c r="AH915" t="s">
        <v>229</v>
      </c>
      <c r="AI915" t="s">
        <v>229</v>
      </c>
      <c r="AJ915" s="2" t="s">
        <v>229</v>
      </c>
      <c r="AK915" s="2" t="s">
        <v>244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44" t="b">
        <v>0</v>
      </c>
      <c r="AP915" s="48" t="b">
        <v>0</v>
      </c>
      <c r="AQ915" s="48" t="b">
        <v>0</v>
      </c>
      <c r="AR915" s="48">
        <v>0</v>
      </c>
      <c r="AS915" s="48" t="b">
        <v>0</v>
      </c>
      <c r="AT915" s="7" t="b">
        <v>0</v>
      </c>
      <c r="AU915" s="40" t="str" cm="1">
        <f t="array" ref="AU915">_xlfn.XLOOKUP(PROPERTIES[[#This Row],[VEHIDCODE]],GRAPHICS_PROPERTIES[VEHIDCODE],GRAPHICS_PROPERTIES[TEMPLATE_ID]&amp;GRAPHICS_PROPERTIES[TEMPLATE_AMENDMENT_CODE])</f>
        <v>TPL_04U</v>
      </c>
    </row>
    <row r="916" spans="1:47" x14ac:dyDescent="0.35">
      <c r="A916" s="2" t="s">
        <v>1843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0" t="str">
        <f>_xlfn.XLOOKUP(PROPERTIES[[#This Row],[VEHIDCODE]],CONTROL[VEHIDCODE],CONTROL[ENGLISH])</f>
        <v>BREL Mk3 Coach</v>
      </c>
      <c r="G916" s="40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22</v>
      </c>
      <c r="J916">
        <v>91</v>
      </c>
      <c r="K916">
        <v>8</v>
      </c>
      <c r="L916">
        <v>0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3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0">
        <v>0</v>
      </c>
      <c r="AA916" s="20">
        <f>IFERROR(PROPERTIES[[#This Row],[TE_STARTING_KN]]/(PROPERTIES[[#This Row],[WEIGHT]]*9.81),0)</f>
        <v>0</v>
      </c>
      <c r="AB916" s="20">
        <v>0.3</v>
      </c>
      <c r="AC916" s="16">
        <f>ROUND(IF(IFERROR(PROPERTIES[[#This Row],[TE_COEFFICIENT_CALC]],0)=0,PROPERTIES[[#This Row],[TE_COEFFICIENT_MANUAL]],PROPERTIES[[#This Row],[TE_COEFFICIENT_CALC]]),3)</f>
        <v>0.3</v>
      </c>
      <c r="AD916" s="27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6">
        <v>0</v>
      </c>
      <c r="AF916" s="6">
        <v>0</v>
      </c>
      <c r="AG916" t="s">
        <v>1945</v>
      </c>
      <c r="AH916" t="s">
        <v>232</v>
      </c>
      <c r="AI916" t="s">
        <v>229</v>
      </c>
      <c r="AJ916" s="2" t="s">
        <v>229</v>
      </c>
      <c r="AK916" s="2" t="s">
        <v>244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44" t="b">
        <v>0</v>
      </c>
      <c r="AP916" s="48" t="b">
        <v>1</v>
      </c>
      <c r="AQ916" s="48" t="b">
        <v>0</v>
      </c>
      <c r="AR916" s="48">
        <v>0</v>
      </c>
      <c r="AS916" s="48" t="b">
        <v>0</v>
      </c>
      <c r="AT916" s="7" t="b">
        <v>0</v>
      </c>
      <c r="AU916" s="40" t="str" cm="1">
        <f t="array" ref="AU916">_xlfn.XLOOKUP(PROPERTIES[[#This Row],[VEHIDCODE]],GRAPHICS_PROPERTIES[VEHIDCODE],GRAPHICS_PROPERTIES[TEMPLATE_ID]&amp;GRAPHICS_PROPERTIES[TEMPLATE_AMENDMENT_CODE])</f>
        <v>TPL_04A</v>
      </c>
    </row>
    <row r="917" spans="1:47" x14ac:dyDescent="0.35">
      <c r="A917" s="2" t="s">
        <v>1844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0" t="str">
        <f>_xlfn.XLOOKUP(PROPERTIES[[#This Row],[VEHIDCODE]],CONTROL[VEHIDCODE],CONTROL[ENGLISH])</f>
        <v>BREL Mk3 Mail Coach</v>
      </c>
      <c r="G917" s="40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36</v>
      </c>
      <c r="J917">
        <v>91</v>
      </c>
      <c r="K917">
        <v>8</v>
      </c>
      <c r="L917">
        <v>0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3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0">
        <v>0</v>
      </c>
      <c r="AA917" s="20">
        <f>IFERROR(PROPERTIES[[#This Row],[TE_STARTING_KN]]/(PROPERTIES[[#This Row],[WEIGHT]]*9.81),0)</f>
        <v>0</v>
      </c>
      <c r="AB917" s="20">
        <v>0.3</v>
      </c>
      <c r="AC917" s="16">
        <f>ROUND(IF(IFERROR(PROPERTIES[[#This Row],[TE_COEFFICIENT_CALC]],0)=0,PROPERTIES[[#This Row],[TE_COEFFICIENT_MANUAL]],PROPERTIES[[#This Row],[TE_COEFFICIENT_CALC]]),3)</f>
        <v>0.3</v>
      </c>
      <c r="AD917" s="27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6">
        <v>0</v>
      </c>
      <c r="AF917" s="6">
        <v>0</v>
      </c>
      <c r="AG917" t="s">
        <v>1945</v>
      </c>
      <c r="AH917" t="s">
        <v>232</v>
      </c>
      <c r="AI917" t="s">
        <v>229</v>
      </c>
      <c r="AJ917" s="2" t="s">
        <v>229</v>
      </c>
      <c r="AK917" s="2" t="s">
        <v>244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44" t="b">
        <v>0</v>
      </c>
      <c r="AP917" s="48" t="b">
        <v>0</v>
      </c>
      <c r="AQ917" s="48" t="b">
        <v>0</v>
      </c>
      <c r="AR917" s="48">
        <v>0</v>
      </c>
      <c r="AS917" s="48" t="b">
        <v>0</v>
      </c>
      <c r="AT917" s="7" t="b">
        <v>0</v>
      </c>
      <c r="AU917" s="40" t="str" cm="1">
        <f t="array" ref="AU917">_xlfn.XLOOKUP(PROPERTIES[[#This Row],[VEHIDCODE]],GRAPHICS_PROPERTIES[VEHIDCODE],GRAPHICS_PROPERTIES[TEMPLATE_ID]&amp;GRAPHICS_PROPERTIES[TEMPLATE_AMENDMENT_CODE])</f>
        <v>TPL_04U</v>
      </c>
    </row>
    <row r="918" spans="1:47" x14ac:dyDescent="0.35">
      <c r="A918" s="2" t="s">
        <v>1846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0" t="str">
        <f>_xlfn.XLOOKUP(PROPERTIES[[#This Row],[VEHIDCODE]],CONTROL[VEHIDCODE],CONTROL[ENGLISH])</f>
        <v>Comeng SA2000 SDD Concept</v>
      </c>
      <c r="G918" s="40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22</v>
      </c>
      <c r="J918">
        <v>170</v>
      </c>
      <c r="K918">
        <v>8</v>
      </c>
      <c r="L918">
        <v>0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3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0">
        <v>0</v>
      </c>
      <c r="AA918" s="20">
        <f>IFERROR(PROPERTIES[[#This Row],[TE_STARTING_KN]]/(PROPERTIES[[#This Row],[WEIGHT]]*9.81),0)</f>
        <v>0</v>
      </c>
      <c r="AB918" s="20">
        <v>0.3</v>
      </c>
      <c r="AC918" s="16">
        <f>ROUND(IF(IFERROR(PROPERTIES[[#This Row],[TE_COEFFICIENT_CALC]],0)=0,PROPERTIES[[#This Row],[TE_COEFFICIENT_MANUAL]],PROPERTIES[[#This Row],[TE_COEFFICIENT_CALC]]),3)</f>
        <v>0.3</v>
      </c>
      <c r="AD918" s="27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6">
        <v>0</v>
      </c>
      <c r="AF918" s="6">
        <v>0</v>
      </c>
      <c r="AG918" t="s">
        <v>232</v>
      </c>
      <c r="AH918" t="s">
        <v>229</v>
      </c>
      <c r="AI918" t="s">
        <v>229</v>
      </c>
      <c r="AJ918" s="2" t="s">
        <v>229</v>
      </c>
      <c r="AK918" s="2" t="s">
        <v>245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44" t="b">
        <v>0</v>
      </c>
      <c r="AP918" s="48" t="b">
        <v>1</v>
      </c>
      <c r="AQ918" s="48" t="b">
        <v>0</v>
      </c>
      <c r="AR918" s="48">
        <v>0</v>
      </c>
      <c r="AS918" s="48" t="b">
        <v>0</v>
      </c>
      <c r="AT918" s="7" t="b">
        <v>0</v>
      </c>
      <c r="AU918" s="40" t="str" cm="1">
        <f t="array" ref="AU918">_xlfn.XLOOKUP(PROPERTIES[[#This Row],[VEHIDCODE]],GRAPHICS_PROPERTIES[VEHIDCODE],GRAPHICS_PROPERTIES[TEMPLATE_ID]&amp;GRAPHICS_PROPERTIES[TEMPLATE_AMENDMENT_CODE])</f>
        <v>TPL_04U</v>
      </c>
    </row>
    <row r="919" spans="1:47" x14ac:dyDescent="0.35">
      <c r="A919" s="2" t="s">
        <v>1848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0" t="str">
        <f>_xlfn.XLOOKUP(PROPERTIES[[#This Row],[VEHIDCODE]],CONTROL[VEHIDCODE],CONTROL[ENGLISH])</f>
        <v>Melbourne/Goninan 4D Coach Concept</v>
      </c>
      <c r="G919" s="40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22</v>
      </c>
      <c r="J919">
        <v>175</v>
      </c>
      <c r="K919">
        <v>8</v>
      </c>
      <c r="L919">
        <v>0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3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0">
        <v>0</v>
      </c>
      <c r="AA919" s="20">
        <f>IFERROR(PROPERTIES[[#This Row],[TE_STARTING_KN]]/(PROPERTIES[[#This Row],[WEIGHT]]*9.81),0)</f>
        <v>0</v>
      </c>
      <c r="AB919" s="20">
        <v>0.3</v>
      </c>
      <c r="AC919" s="16">
        <f>ROUND(IF(IFERROR(PROPERTIES[[#This Row],[TE_COEFFICIENT_CALC]],0)=0,PROPERTIES[[#This Row],[TE_COEFFICIENT_MANUAL]],PROPERTIES[[#This Row],[TE_COEFFICIENT_CALC]]),3)</f>
        <v>0.3</v>
      </c>
      <c r="AD919" s="27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6">
        <v>0</v>
      </c>
      <c r="AF919" s="6">
        <v>0</v>
      </c>
      <c r="AG919" t="s">
        <v>232</v>
      </c>
      <c r="AH919" t="s">
        <v>229</v>
      </c>
      <c r="AI919" t="s">
        <v>229</v>
      </c>
      <c r="AJ919" s="2" t="s">
        <v>229</v>
      </c>
      <c r="AK919" s="2" t="s">
        <v>245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44" t="b">
        <v>0</v>
      </c>
      <c r="AP919" s="48" t="b">
        <v>1</v>
      </c>
      <c r="AQ919" s="48" t="b">
        <v>0</v>
      </c>
      <c r="AR919" s="48">
        <v>0</v>
      </c>
      <c r="AS919" s="48" t="b">
        <v>0</v>
      </c>
      <c r="AT919" s="7" t="b">
        <v>0</v>
      </c>
      <c r="AU919" s="40" t="str" cm="1">
        <f t="array" ref="AU919">_xlfn.XLOOKUP(PROPERTIES[[#This Row],[VEHIDCODE]],GRAPHICS_PROPERTIES[VEHIDCODE],GRAPHICS_PROPERTIES[TEMPLATE_ID]&amp;GRAPHICS_PROPERTIES[TEMPLATE_AMENDMENT_CODE])</f>
        <v>TPL_04U</v>
      </c>
    </row>
    <row r="920" spans="1:47" x14ac:dyDescent="0.35">
      <c r="A920" s="2" t="s">
        <v>1849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0" t="str">
        <f>_xlfn.XLOOKUP(PROPERTIES[[#This Row],[VEHIDCODE]],CONTROL[VEHIDCODE],CONTROL[ENGLISH])</f>
        <v>Tangara V-Set Hybrid Coach Concept</v>
      </c>
      <c r="G920" s="40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22</v>
      </c>
      <c r="J920">
        <v>173</v>
      </c>
      <c r="K920">
        <v>8</v>
      </c>
      <c r="L920">
        <v>0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3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0">
        <v>0</v>
      </c>
      <c r="AA920" s="20">
        <f>IFERROR(PROPERTIES[[#This Row],[TE_STARTING_KN]]/(PROPERTIES[[#This Row],[WEIGHT]]*9.81),0)</f>
        <v>0</v>
      </c>
      <c r="AB920" s="20">
        <v>0.3</v>
      </c>
      <c r="AC920" s="16">
        <f>ROUND(IF(IFERROR(PROPERTIES[[#This Row],[TE_COEFFICIENT_CALC]],0)=0,PROPERTIES[[#This Row],[TE_COEFFICIENT_MANUAL]],PROPERTIES[[#This Row],[TE_COEFFICIENT_CALC]]),3)</f>
        <v>0.3</v>
      </c>
      <c r="AD920" s="27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6">
        <v>0</v>
      </c>
      <c r="AF920" s="6">
        <v>0</v>
      </c>
      <c r="AG920" t="s">
        <v>232</v>
      </c>
      <c r="AH920" t="s">
        <v>229</v>
      </c>
      <c r="AI920" t="s">
        <v>229</v>
      </c>
      <c r="AJ920" s="2" t="s">
        <v>229</v>
      </c>
      <c r="AK920" s="2" t="s">
        <v>245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44" t="b">
        <v>0</v>
      </c>
      <c r="AP920" s="48" t="b">
        <v>1</v>
      </c>
      <c r="AQ920" s="48" t="b">
        <v>0</v>
      </c>
      <c r="AR920" s="48">
        <v>0</v>
      </c>
      <c r="AS920" s="48" t="b">
        <v>0</v>
      </c>
      <c r="AT920" s="7" t="b">
        <v>0</v>
      </c>
      <c r="AU920" s="40" t="str" cm="1">
        <f t="array" ref="AU920">_xlfn.XLOOKUP(PROPERTIES[[#This Row],[VEHIDCODE]],GRAPHICS_PROPERTIES[VEHIDCODE],GRAPHICS_PROPERTIES[TEMPLATE_ID]&amp;GRAPHICS_PROPERTIES[TEMPLATE_AMENDMENT_CODE])</f>
        <v>TPL_04U</v>
      </c>
    </row>
    <row r="921" spans="1:47" x14ac:dyDescent="0.35">
      <c r="A921" s="2" t="s">
        <v>1851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0" t="str">
        <f>_xlfn.XLOOKUP(PROPERTIES[[#This Row],[VEHIDCODE]],CONTROL[VEHIDCODE],CONTROL[ENGLISH])</f>
        <v>NZR Silver Star Coach</v>
      </c>
      <c r="G921" s="40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22</v>
      </c>
      <c r="J921">
        <v>87</v>
      </c>
      <c r="K921">
        <v>8</v>
      </c>
      <c r="L921">
        <v>0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3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0">
        <v>0</v>
      </c>
      <c r="AA921" s="20">
        <f>IFERROR(PROPERTIES[[#This Row],[TE_STARTING_KN]]/(PROPERTIES[[#This Row],[WEIGHT]]*9.81),0)</f>
        <v>0</v>
      </c>
      <c r="AB921" s="20">
        <v>0.3</v>
      </c>
      <c r="AC921" s="16">
        <f>ROUND(IF(IFERROR(PROPERTIES[[#This Row],[TE_COEFFICIENT_CALC]],0)=0,PROPERTIES[[#This Row],[TE_COEFFICIENT_MANUAL]],PROPERTIES[[#This Row],[TE_COEFFICIENT_CALC]]),3)</f>
        <v>0.3</v>
      </c>
      <c r="AD921" s="27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6">
        <v>0</v>
      </c>
      <c r="AF921" s="6">
        <v>0</v>
      </c>
      <c r="AG921" t="s">
        <v>232</v>
      </c>
      <c r="AH921" t="s">
        <v>229</v>
      </c>
      <c r="AI921" t="s">
        <v>229</v>
      </c>
      <c r="AJ921" s="2" t="s">
        <v>229</v>
      </c>
      <c r="AK921" s="2" t="s">
        <v>244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44" t="b">
        <v>0</v>
      </c>
      <c r="AP921" s="48" t="b">
        <v>0</v>
      </c>
      <c r="AQ921" s="48" t="b">
        <v>0</v>
      </c>
      <c r="AR921" s="48">
        <v>0</v>
      </c>
      <c r="AS921" s="48" t="b">
        <v>0</v>
      </c>
      <c r="AT921" s="7" t="b">
        <v>0</v>
      </c>
      <c r="AU921" s="40" t="str" cm="1">
        <f t="array" ref="AU921">_xlfn.XLOOKUP(PROPERTIES[[#This Row],[VEHIDCODE]],GRAPHICS_PROPERTIES[VEHIDCODE],GRAPHICS_PROPERTIES[TEMPLATE_ID]&amp;GRAPHICS_PROPERTIES[TEMPLATE_AMENDMENT_CODE])</f>
        <v>TPL_04U</v>
      </c>
    </row>
    <row r="922" spans="1:47" x14ac:dyDescent="0.35">
      <c r="A922" s="2" t="s">
        <v>1853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0" t="str">
        <f>_xlfn.XLOOKUP(PROPERTIES[[#This Row],[VEHIDCODE]],CONTROL[VEHIDCODE],CONTROL[ENGLISH])</f>
        <v>NZR Silver Star Mail Coach</v>
      </c>
      <c r="G922" s="40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36</v>
      </c>
      <c r="J922">
        <v>87</v>
      </c>
      <c r="K922">
        <v>8</v>
      </c>
      <c r="L922">
        <v>0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3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0">
        <v>0</v>
      </c>
      <c r="AA922" s="20">
        <f>IFERROR(PROPERTIES[[#This Row],[TE_STARTING_KN]]/(PROPERTIES[[#This Row],[WEIGHT]]*9.81),0)</f>
        <v>0</v>
      </c>
      <c r="AB922" s="20">
        <v>0.3</v>
      </c>
      <c r="AC922" s="16">
        <f>ROUND(IF(IFERROR(PROPERTIES[[#This Row],[TE_COEFFICIENT_CALC]],0)=0,PROPERTIES[[#This Row],[TE_COEFFICIENT_MANUAL]],PROPERTIES[[#This Row],[TE_COEFFICIENT_CALC]]),3)</f>
        <v>0.3</v>
      </c>
      <c r="AD922" s="27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6">
        <v>0</v>
      </c>
      <c r="AF922" s="6">
        <v>0</v>
      </c>
      <c r="AG922" t="s">
        <v>232</v>
      </c>
      <c r="AH922" t="s">
        <v>229</v>
      </c>
      <c r="AI922" t="s">
        <v>229</v>
      </c>
      <c r="AJ922" s="2" t="s">
        <v>229</v>
      </c>
      <c r="AK922" s="2" t="s">
        <v>244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44" t="b">
        <v>0</v>
      </c>
      <c r="AP922" s="48" t="b">
        <v>0</v>
      </c>
      <c r="AQ922" s="48" t="b">
        <v>0</v>
      </c>
      <c r="AR922" s="48">
        <v>0</v>
      </c>
      <c r="AS922" s="48" t="b">
        <v>0</v>
      </c>
      <c r="AT922" s="7" t="b">
        <v>0</v>
      </c>
      <c r="AU922" s="40" t="str" cm="1">
        <f t="array" ref="AU922">_xlfn.XLOOKUP(PROPERTIES[[#This Row],[VEHIDCODE]],GRAPHICS_PROPERTIES[VEHIDCODE],GRAPHICS_PROPERTIES[TEMPLATE_ID]&amp;GRAPHICS_PROPERTIES[TEMPLATE_AMENDMENT_CODE])</f>
        <v>TPL_04U</v>
      </c>
    </row>
    <row r="923" spans="1:47" x14ac:dyDescent="0.35">
      <c r="A923" s="2" t="s">
        <v>1855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0" t="str">
        <f>_xlfn.XLOOKUP(PROPERTIES[[#This Row],[VEHIDCODE]],CONTROL[VEHIDCODE],CONTROL[ENGLISH])</f>
        <v>Comeng High Speed Coach</v>
      </c>
      <c r="G923" s="40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22</v>
      </c>
      <c r="J923">
        <v>91</v>
      </c>
      <c r="K923">
        <v>8</v>
      </c>
      <c r="L923">
        <v>0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3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0">
        <v>0</v>
      </c>
      <c r="AA923" s="20">
        <f>IFERROR(PROPERTIES[[#This Row],[TE_STARTING_KN]]/(PROPERTIES[[#This Row],[WEIGHT]]*9.81),0)</f>
        <v>0</v>
      </c>
      <c r="AB923" s="20">
        <v>0.3</v>
      </c>
      <c r="AC923" s="16">
        <f>ROUND(IF(IFERROR(PROPERTIES[[#This Row],[TE_COEFFICIENT_CALC]],0)=0,PROPERTIES[[#This Row],[TE_COEFFICIENT_MANUAL]],PROPERTIES[[#This Row],[TE_COEFFICIENT_CALC]]),3)</f>
        <v>0.3</v>
      </c>
      <c r="AD923" s="27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6">
        <v>0</v>
      </c>
      <c r="AF923" s="6">
        <v>0</v>
      </c>
      <c r="AG923" t="s">
        <v>232</v>
      </c>
      <c r="AH923" t="s">
        <v>229</v>
      </c>
      <c r="AI923" t="s">
        <v>229</v>
      </c>
      <c r="AJ923" s="2" t="s">
        <v>229</v>
      </c>
      <c r="AK923" s="2" t="s">
        <v>244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44" t="b">
        <v>0</v>
      </c>
      <c r="AP923" s="48" t="b">
        <v>0</v>
      </c>
      <c r="AQ923" s="48" t="b">
        <v>0</v>
      </c>
      <c r="AR923" s="48">
        <v>0</v>
      </c>
      <c r="AS923" s="48" t="b">
        <v>0</v>
      </c>
      <c r="AT923" s="7" t="b">
        <v>0</v>
      </c>
      <c r="AU923" s="40" t="str" cm="1">
        <f t="array" ref="AU923">_xlfn.XLOOKUP(PROPERTIES[[#This Row],[VEHIDCODE]],GRAPHICS_PROPERTIES[VEHIDCODE],GRAPHICS_PROPERTIES[TEMPLATE_ID]&amp;GRAPHICS_PROPERTIES[TEMPLATE_AMENDMENT_CODE])</f>
        <v>TPL_04U</v>
      </c>
    </row>
    <row r="924" spans="1:47" x14ac:dyDescent="0.35">
      <c r="A924" s="2" t="s">
        <v>1856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0" t="str">
        <f>_xlfn.XLOOKUP(PROPERTIES[[#This Row],[VEHIDCODE]],CONTROL[VEHIDCODE],CONTROL[ENGLISH])</f>
        <v>Comeng High Speed Mail Coach</v>
      </c>
      <c r="G924" s="40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36</v>
      </c>
      <c r="J924">
        <v>91</v>
      </c>
      <c r="K924">
        <v>8</v>
      </c>
      <c r="L924">
        <v>0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3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0">
        <v>0</v>
      </c>
      <c r="AA924" s="20">
        <f>IFERROR(PROPERTIES[[#This Row],[TE_STARTING_KN]]/(PROPERTIES[[#This Row],[WEIGHT]]*9.81),0)</f>
        <v>0</v>
      </c>
      <c r="AB924" s="20">
        <v>0.3</v>
      </c>
      <c r="AC924" s="16">
        <f>ROUND(IF(IFERROR(PROPERTIES[[#This Row],[TE_COEFFICIENT_CALC]],0)=0,PROPERTIES[[#This Row],[TE_COEFFICIENT_MANUAL]],PROPERTIES[[#This Row],[TE_COEFFICIENT_CALC]]),3)</f>
        <v>0.3</v>
      </c>
      <c r="AD924" s="27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6">
        <v>0</v>
      </c>
      <c r="AF924" s="6">
        <v>0</v>
      </c>
      <c r="AG924" t="s">
        <v>232</v>
      </c>
      <c r="AH924" t="s">
        <v>229</v>
      </c>
      <c r="AI924" t="s">
        <v>229</v>
      </c>
      <c r="AJ924" s="2" t="s">
        <v>229</v>
      </c>
      <c r="AK924" s="2" t="s">
        <v>244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44" t="b">
        <v>0</v>
      </c>
      <c r="AP924" s="48" t="b">
        <v>0</v>
      </c>
      <c r="AQ924" s="48" t="b">
        <v>0</v>
      </c>
      <c r="AR924" s="48">
        <v>0</v>
      </c>
      <c r="AS924" s="48" t="b">
        <v>0</v>
      </c>
      <c r="AT924" s="7" t="b">
        <v>0</v>
      </c>
      <c r="AU924" s="40" t="str" cm="1">
        <f t="array" ref="AU924">_xlfn.XLOOKUP(PROPERTIES[[#This Row],[VEHIDCODE]],GRAPHICS_PROPERTIES[VEHIDCODE],GRAPHICS_PROPERTIES[TEMPLATE_ID]&amp;GRAPHICS_PROPERTIES[TEMPLATE_AMENDMENT_CODE])</f>
        <v>TPL_04U</v>
      </c>
    </row>
    <row r="925" spans="1:47" x14ac:dyDescent="0.35">
      <c r="A925" s="2" t="s">
        <v>1860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0" t="str">
        <f>_xlfn.XLOOKUP(PROPERTIES[[#This Row],[VEHIDCODE]],CONTROL[VEHIDCODE],CONTROL[ENGLISH])</f>
        <v>Comeng-M&amp;K H-Type Suburban Coach</v>
      </c>
      <c r="G925" s="40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22</v>
      </c>
      <c r="J925">
        <v>114</v>
      </c>
      <c r="K925">
        <v>8</v>
      </c>
      <c r="L925">
        <v>0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3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0">
        <v>0</v>
      </c>
      <c r="AA925" s="20">
        <f>IFERROR(PROPERTIES[[#This Row],[TE_STARTING_KN]]/(PROPERTIES[[#This Row],[WEIGHT]]*9.81),0)</f>
        <v>0</v>
      </c>
      <c r="AB925" s="20">
        <v>0.3</v>
      </c>
      <c r="AC925" s="16">
        <f>ROUND(IF(IFERROR(PROPERTIES[[#This Row],[TE_COEFFICIENT_CALC]],0)=0,PROPERTIES[[#This Row],[TE_COEFFICIENT_MANUAL]],PROPERTIES[[#This Row],[TE_COEFFICIENT_CALC]]),3)</f>
        <v>0.3</v>
      </c>
      <c r="AD925" s="27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6">
        <v>0</v>
      </c>
      <c r="AF925" s="6">
        <v>0</v>
      </c>
      <c r="AG925" t="s">
        <v>232</v>
      </c>
      <c r="AH925" t="s">
        <v>229</v>
      </c>
      <c r="AI925" t="s">
        <v>229</v>
      </c>
      <c r="AJ925" s="2" t="s">
        <v>229</v>
      </c>
      <c r="AK925" s="2" t="s">
        <v>244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44" t="b">
        <v>0</v>
      </c>
      <c r="AP925" s="48" t="b">
        <v>1</v>
      </c>
      <c r="AQ925" s="48" t="b">
        <v>0</v>
      </c>
      <c r="AR925" s="48">
        <v>0</v>
      </c>
      <c r="AS925" s="48" t="b">
        <v>0</v>
      </c>
      <c r="AT925" s="7" t="b">
        <v>0</v>
      </c>
      <c r="AU925" s="40" t="str" cm="1">
        <f t="array" ref="AU925">_xlfn.XLOOKUP(PROPERTIES[[#This Row],[VEHIDCODE]],GRAPHICS_PROPERTIES[VEHIDCODE],GRAPHICS_PROPERTIES[TEMPLATE_ID]&amp;GRAPHICS_PROPERTIES[TEMPLATE_AMENDMENT_CODE])</f>
        <v>TPL_04U</v>
      </c>
    </row>
    <row r="926" spans="1:47" x14ac:dyDescent="0.35">
      <c r="A926" s="2" t="s">
        <v>1862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0" t="str">
        <f>_xlfn.XLOOKUP(PROPERTIES[[#This Row],[VEHIDCODE]],CONTROL[VEHIDCODE],CONTROL[ENGLISH])</f>
        <v>NSWGR 'Tulloch' RUB Coach</v>
      </c>
      <c r="G926" s="40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22</v>
      </c>
      <c r="J926">
        <v>79</v>
      </c>
      <c r="K926">
        <v>8</v>
      </c>
      <c r="L926">
        <v>0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3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0">
        <v>0</v>
      </c>
      <c r="AA926" s="20">
        <f>IFERROR(PROPERTIES[[#This Row],[TE_STARTING_KN]]/(PROPERTIES[[#This Row],[WEIGHT]]*9.81),0)</f>
        <v>0</v>
      </c>
      <c r="AB926" s="20">
        <v>0.3</v>
      </c>
      <c r="AC926" s="16">
        <f>ROUND(IF(IFERROR(PROPERTIES[[#This Row],[TE_COEFFICIENT_CALC]],0)=0,PROPERTIES[[#This Row],[TE_COEFFICIENT_MANUAL]],PROPERTIES[[#This Row],[TE_COEFFICIENT_CALC]]),3)</f>
        <v>0.3</v>
      </c>
      <c r="AD926" s="27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6">
        <v>0</v>
      </c>
      <c r="AF926" s="6">
        <v>0</v>
      </c>
      <c r="AG926" t="s">
        <v>232</v>
      </c>
      <c r="AH926" t="s">
        <v>229</v>
      </c>
      <c r="AI926" t="s">
        <v>229</v>
      </c>
      <c r="AJ926" s="2" t="s">
        <v>229</v>
      </c>
      <c r="AK926" s="2" t="s">
        <v>244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44" t="b">
        <v>0</v>
      </c>
      <c r="AP926" s="48" t="b">
        <v>0</v>
      </c>
      <c r="AQ926" s="48" t="b">
        <v>0</v>
      </c>
      <c r="AR926" s="48">
        <v>0</v>
      </c>
      <c r="AS926" s="48" t="b">
        <v>0</v>
      </c>
      <c r="AT926" s="7" t="b">
        <v>0</v>
      </c>
      <c r="AU926" s="40" t="str" cm="1">
        <f t="array" ref="AU926">_xlfn.XLOOKUP(PROPERTIES[[#This Row],[VEHIDCODE]],GRAPHICS_PROPERTIES[VEHIDCODE],GRAPHICS_PROPERTIES[TEMPLATE_ID]&amp;GRAPHICS_PROPERTIES[TEMPLATE_AMENDMENT_CODE])</f>
        <v>TPL_04U</v>
      </c>
    </row>
    <row r="927" spans="1:47" x14ac:dyDescent="0.35">
      <c r="A927" s="2" t="s">
        <v>1863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0" t="str">
        <f>_xlfn.XLOOKUP(PROPERTIES[[#This Row],[VEHIDCODE]],CONTROL[VEHIDCODE],CONTROL[ENGLISH])</f>
        <v>NSWGR 'Tulloch' RUB Mail Coach</v>
      </c>
      <c r="G927" s="40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36</v>
      </c>
      <c r="J927">
        <v>79</v>
      </c>
      <c r="K927">
        <v>8</v>
      </c>
      <c r="L927">
        <v>0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3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0">
        <v>0</v>
      </c>
      <c r="AA927" s="20">
        <f>IFERROR(PROPERTIES[[#This Row],[TE_STARTING_KN]]/(PROPERTIES[[#This Row],[WEIGHT]]*9.81),0)</f>
        <v>0</v>
      </c>
      <c r="AB927" s="20">
        <v>0.3</v>
      </c>
      <c r="AC927" s="16">
        <f>ROUND(IF(IFERROR(PROPERTIES[[#This Row],[TE_COEFFICIENT_CALC]],0)=0,PROPERTIES[[#This Row],[TE_COEFFICIENT_MANUAL]],PROPERTIES[[#This Row],[TE_COEFFICIENT_CALC]]),3)</f>
        <v>0.3</v>
      </c>
      <c r="AD927" s="27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6">
        <v>0</v>
      </c>
      <c r="AF927" s="6">
        <v>0</v>
      </c>
      <c r="AG927" t="s">
        <v>232</v>
      </c>
      <c r="AH927" t="s">
        <v>229</v>
      </c>
      <c r="AI927" t="s">
        <v>229</v>
      </c>
      <c r="AJ927" s="2" t="s">
        <v>229</v>
      </c>
      <c r="AK927" s="2" t="s">
        <v>244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44" t="b">
        <v>0</v>
      </c>
      <c r="AP927" s="48" t="b">
        <v>0</v>
      </c>
      <c r="AQ927" s="48" t="b">
        <v>0</v>
      </c>
      <c r="AR927" s="48">
        <v>0</v>
      </c>
      <c r="AS927" s="48" t="b">
        <v>0</v>
      </c>
      <c r="AT927" s="7" t="b">
        <v>0</v>
      </c>
      <c r="AU927" s="40" t="str" cm="1">
        <f t="array" ref="AU927">_xlfn.XLOOKUP(PROPERTIES[[#This Row],[VEHIDCODE]],GRAPHICS_PROPERTIES[VEHIDCODE],GRAPHICS_PROPERTIES[TEMPLATE_ID]&amp;GRAPHICS_PROPERTIES[TEMPLATE_AMENDMENT_CODE])</f>
        <v>TPL_04U</v>
      </c>
    </row>
    <row r="928" spans="1:47" x14ac:dyDescent="0.35">
      <c r="A928" s="2" t="s">
        <v>1865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0" t="str">
        <f>_xlfn.XLOOKUP(PROPERTIES[[#This Row],[VEHIDCODE]],CONTROL[VEHIDCODE],CONTROL[ENGLISH])</f>
        <v>WAGR AY Suburban Coaches</v>
      </c>
      <c r="G928" s="40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22</v>
      </c>
      <c r="J928">
        <v>78</v>
      </c>
      <c r="K928">
        <v>7</v>
      </c>
      <c r="L928">
        <v>0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3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0">
        <v>0</v>
      </c>
      <c r="AA928" s="20">
        <f>IFERROR(PROPERTIES[[#This Row],[TE_STARTING_KN]]/(PROPERTIES[[#This Row],[WEIGHT]]*9.81),0)</f>
        <v>0</v>
      </c>
      <c r="AB928" s="20">
        <v>0.3</v>
      </c>
      <c r="AC928" s="16">
        <f>ROUND(IF(IFERROR(PROPERTIES[[#This Row],[TE_COEFFICIENT_CALC]],0)=0,PROPERTIES[[#This Row],[TE_COEFFICIENT_MANUAL]],PROPERTIES[[#This Row],[TE_COEFFICIENT_CALC]]),3)</f>
        <v>0.3</v>
      </c>
      <c r="AD928" s="27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6">
        <v>0</v>
      </c>
      <c r="AF928" s="6">
        <v>0</v>
      </c>
      <c r="AG928" t="s">
        <v>232</v>
      </c>
      <c r="AH928" t="s">
        <v>229</v>
      </c>
      <c r="AI928" t="s">
        <v>229</v>
      </c>
      <c r="AJ928" s="2" t="s">
        <v>229</v>
      </c>
      <c r="AK928" s="2" t="s">
        <v>244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44" t="b">
        <v>0</v>
      </c>
      <c r="AP928" s="48" t="b">
        <v>0</v>
      </c>
      <c r="AQ928" s="48" t="b">
        <v>0</v>
      </c>
      <c r="AR928" s="48">
        <v>0</v>
      </c>
      <c r="AS928" s="48" t="b">
        <v>0</v>
      </c>
      <c r="AT928" s="7" t="b">
        <v>0</v>
      </c>
      <c r="AU928" s="40" t="str" cm="1">
        <f t="array" ref="AU928">_xlfn.XLOOKUP(PROPERTIES[[#This Row],[VEHIDCODE]],GRAPHICS_PROPERTIES[VEHIDCODE],GRAPHICS_PROPERTIES[TEMPLATE_ID]&amp;GRAPHICS_PROPERTIES[TEMPLATE_AMENDMENT_CODE])</f>
        <v>TPL_04U</v>
      </c>
    </row>
    <row r="929" spans="1:47" x14ac:dyDescent="0.35">
      <c r="A929" s="2" t="s">
        <v>1867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0" t="str">
        <f>_xlfn.XLOOKUP(PROPERTIES[[#This Row],[VEHIDCODE]],CONTROL[VEHIDCODE],CONTROL[ENGLISH])</f>
        <v>NZR 56ft Coach</v>
      </c>
      <c r="G929" s="40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22</v>
      </c>
      <c r="J929">
        <v>56</v>
      </c>
      <c r="K929">
        <v>7</v>
      </c>
      <c r="L929">
        <v>0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3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0">
        <v>0</v>
      </c>
      <c r="AA929" s="20">
        <f>IFERROR(PROPERTIES[[#This Row],[TE_STARTING_KN]]/(PROPERTIES[[#This Row],[WEIGHT]]*9.81),0)</f>
        <v>0</v>
      </c>
      <c r="AB929" s="20">
        <v>0.3</v>
      </c>
      <c r="AC929" s="16">
        <f>ROUND(IF(IFERROR(PROPERTIES[[#This Row],[TE_COEFFICIENT_CALC]],0)=0,PROPERTIES[[#This Row],[TE_COEFFICIENT_MANUAL]],PROPERTIES[[#This Row],[TE_COEFFICIENT_CALC]]),3)</f>
        <v>0.3</v>
      </c>
      <c r="AD929" s="27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6">
        <v>0</v>
      </c>
      <c r="AF929" s="6">
        <v>0</v>
      </c>
      <c r="AG929" t="s">
        <v>232</v>
      </c>
      <c r="AH929" t="s">
        <v>229</v>
      </c>
      <c r="AI929" t="s">
        <v>229</v>
      </c>
      <c r="AJ929" s="2" t="s">
        <v>229</v>
      </c>
      <c r="AK929" s="2" t="s">
        <v>244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44" t="b">
        <v>0</v>
      </c>
      <c r="AP929" s="48" t="b">
        <v>0</v>
      </c>
      <c r="AQ929" s="48" t="b">
        <v>0</v>
      </c>
      <c r="AR929" s="48">
        <v>0</v>
      </c>
      <c r="AS929" s="48" t="b">
        <v>0</v>
      </c>
      <c r="AT929" s="7" t="b">
        <v>0</v>
      </c>
      <c r="AU929" s="40" t="str" cm="1">
        <f t="array" ref="AU929">_xlfn.XLOOKUP(PROPERTIES[[#This Row],[VEHIDCODE]],GRAPHICS_PROPERTIES[VEHIDCODE],GRAPHICS_PROPERTIES[TEMPLATE_ID]&amp;GRAPHICS_PROPERTIES[TEMPLATE_AMENDMENT_CODE])</f>
        <v>TPL_04U</v>
      </c>
    </row>
    <row r="930" spans="1:47" x14ac:dyDescent="0.35">
      <c r="A930" s="2" t="s">
        <v>1868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0" t="str">
        <f>_xlfn.XLOOKUP(PROPERTIES[[#This Row],[VEHIDCODE]],CONTROL[VEHIDCODE],CONTROL[ENGLISH])</f>
        <v>NZR 56ft Mail Coach</v>
      </c>
      <c r="G930" s="40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36</v>
      </c>
      <c r="J930">
        <v>56</v>
      </c>
      <c r="K930">
        <v>7</v>
      </c>
      <c r="L930">
        <v>0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3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0">
        <v>0</v>
      </c>
      <c r="AA930" s="20">
        <f>IFERROR(PROPERTIES[[#This Row],[TE_STARTING_KN]]/(PROPERTIES[[#This Row],[WEIGHT]]*9.81),0)</f>
        <v>0</v>
      </c>
      <c r="AB930" s="20">
        <v>0.3</v>
      </c>
      <c r="AC930" s="16">
        <f>ROUND(IF(IFERROR(PROPERTIES[[#This Row],[TE_COEFFICIENT_CALC]],0)=0,PROPERTIES[[#This Row],[TE_COEFFICIENT_MANUAL]],PROPERTIES[[#This Row],[TE_COEFFICIENT_CALC]]),3)</f>
        <v>0.3</v>
      </c>
      <c r="AD930" s="27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6">
        <v>0</v>
      </c>
      <c r="AF930" s="6">
        <v>0</v>
      </c>
      <c r="AG930" t="s">
        <v>232</v>
      </c>
      <c r="AH930" t="s">
        <v>229</v>
      </c>
      <c r="AI930" t="s">
        <v>229</v>
      </c>
      <c r="AJ930" s="2" t="s">
        <v>229</v>
      </c>
      <c r="AK930" s="2" t="s">
        <v>244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44" t="b">
        <v>0</v>
      </c>
      <c r="AP930" s="48" t="b">
        <v>0</v>
      </c>
      <c r="AQ930" s="48" t="b">
        <v>0</v>
      </c>
      <c r="AR930" s="48">
        <v>0</v>
      </c>
      <c r="AS930" s="48" t="b">
        <v>0</v>
      </c>
      <c r="AT930" s="7" t="b">
        <v>0</v>
      </c>
      <c r="AU930" s="40" t="str" cm="1">
        <f t="array" ref="AU930">_xlfn.XLOOKUP(PROPERTIES[[#This Row],[VEHIDCODE]],GRAPHICS_PROPERTIES[VEHIDCODE],GRAPHICS_PROPERTIES[TEMPLATE_ID]&amp;GRAPHICS_PROPERTIES[TEMPLATE_AMENDMENT_CODE])</f>
        <v>TPL_04U</v>
      </c>
    </row>
    <row r="931" spans="1:47" x14ac:dyDescent="0.35">
      <c r="A931" s="2" t="s">
        <v>1876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0" t="str">
        <f>_xlfn.XLOOKUP(PROPERTIES[[#This Row],[VEHIDCODE]],CONTROL[VEHIDCODE],CONTROL[ENGLISH])</f>
        <v>NZR 50ft Coach</v>
      </c>
      <c r="G931" s="40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22</v>
      </c>
      <c r="J931">
        <v>42</v>
      </c>
      <c r="K931">
        <v>6</v>
      </c>
      <c r="L931">
        <v>0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3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0">
        <v>0</v>
      </c>
      <c r="AA931" s="20">
        <f>IFERROR(PROPERTIES[[#This Row],[TE_STARTING_KN]]/(PROPERTIES[[#This Row],[WEIGHT]]*9.81),0)</f>
        <v>0</v>
      </c>
      <c r="AB931" s="20">
        <v>0.3</v>
      </c>
      <c r="AC931" s="16">
        <f>ROUND(IF(IFERROR(PROPERTIES[[#This Row],[TE_COEFFICIENT_CALC]],0)=0,PROPERTIES[[#This Row],[TE_COEFFICIENT_MANUAL]],PROPERTIES[[#This Row],[TE_COEFFICIENT_CALC]]),3)</f>
        <v>0.3</v>
      </c>
      <c r="AD931" s="27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6">
        <v>0</v>
      </c>
      <c r="AF931" s="6">
        <v>0</v>
      </c>
      <c r="AG931" t="s">
        <v>232</v>
      </c>
      <c r="AH931" t="s">
        <v>229</v>
      </c>
      <c r="AI931" t="s">
        <v>229</v>
      </c>
      <c r="AJ931" s="2" t="s">
        <v>229</v>
      </c>
      <c r="AK931" s="2" t="s">
        <v>244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44" t="b">
        <v>0</v>
      </c>
      <c r="AP931" s="48" t="b">
        <v>0</v>
      </c>
      <c r="AQ931" s="48" t="b">
        <v>0</v>
      </c>
      <c r="AR931" s="48">
        <v>0</v>
      </c>
      <c r="AS931" s="48" t="b">
        <v>0</v>
      </c>
      <c r="AT931" s="7" t="b">
        <v>0</v>
      </c>
      <c r="AU931" s="40" t="str" cm="1">
        <f t="array" ref="AU931">_xlfn.XLOOKUP(PROPERTIES[[#This Row],[VEHIDCODE]],GRAPHICS_PROPERTIES[VEHIDCODE],GRAPHICS_PROPERTIES[TEMPLATE_ID]&amp;GRAPHICS_PROPERTIES[TEMPLATE_AMENDMENT_CODE])</f>
        <v>TPL_04U</v>
      </c>
    </row>
    <row r="932" spans="1:47" x14ac:dyDescent="0.35">
      <c r="A932" s="2" t="s">
        <v>1877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0" t="str">
        <f>_xlfn.XLOOKUP(PROPERTIES[[#This Row],[VEHIDCODE]],CONTROL[VEHIDCODE],CONTROL[ENGLISH])</f>
        <v>NZR 50ft Mail Coach</v>
      </c>
      <c r="G932" s="40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36</v>
      </c>
      <c r="J932">
        <v>42</v>
      </c>
      <c r="K932">
        <v>6</v>
      </c>
      <c r="L932">
        <v>0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3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0">
        <v>0</v>
      </c>
      <c r="AA932" s="20">
        <f>IFERROR(PROPERTIES[[#This Row],[TE_STARTING_KN]]/(PROPERTIES[[#This Row],[WEIGHT]]*9.81),0)</f>
        <v>0</v>
      </c>
      <c r="AB932" s="20">
        <v>0.3</v>
      </c>
      <c r="AC932" s="16">
        <f>ROUND(IF(IFERROR(PROPERTIES[[#This Row],[TE_COEFFICIENT_CALC]],0)=0,PROPERTIES[[#This Row],[TE_COEFFICIENT_MANUAL]],PROPERTIES[[#This Row],[TE_COEFFICIENT_CALC]]),3)</f>
        <v>0.3</v>
      </c>
      <c r="AD932" s="27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6">
        <v>0</v>
      </c>
      <c r="AF932" s="6">
        <v>0</v>
      </c>
      <c r="AG932" t="s">
        <v>232</v>
      </c>
      <c r="AH932" t="s">
        <v>229</v>
      </c>
      <c r="AI932" t="s">
        <v>229</v>
      </c>
      <c r="AJ932" s="2" t="s">
        <v>229</v>
      </c>
      <c r="AK932" s="2" t="s">
        <v>244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44" t="b">
        <v>0</v>
      </c>
      <c r="AP932" s="48" t="b">
        <v>0</v>
      </c>
      <c r="AQ932" s="48" t="b">
        <v>0</v>
      </c>
      <c r="AR932" s="48">
        <v>0</v>
      </c>
      <c r="AS932" s="48" t="b">
        <v>0</v>
      </c>
      <c r="AT932" s="7" t="b">
        <v>0</v>
      </c>
      <c r="AU932" s="40" t="str" cm="1">
        <f t="array" ref="AU932">_xlfn.XLOOKUP(PROPERTIES[[#This Row],[VEHIDCODE]],GRAPHICS_PROPERTIES[VEHIDCODE],GRAPHICS_PROPERTIES[TEMPLATE_ID]&amp;GRAPHICS_PROPERTIES[TEMPLATE_AMENDMENT_CODE])</f>
        <v>TPL_04U</v>
      </c>
    </row>
    <row r="933" spans="1:47" x14ac:dyDescent="0.35">
      <c r="A933" s="2" t="s">
        <v>1879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0" t="str">
        <f>_xlfn.XLOOKUP(PROPERTIES[[#This Row],[VEHIDCODE]],CONTROL[VEHIDCODE],CONTROL[ENGLISH])</f>
        <v>KA Type Tram Car</v>
      </c>
      <c r="G933" s="40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22</v>
      </c>
      <c r="J933">
        <v>53</v>
      </c>
      <c r="K933">
        <v>6</v>
      </c>
      <c r="L933">
        <v>0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3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0">
        <v>0</v>
      </c>
      <c r="AA933" s="20">
        <f>IFERROR(PROPERTIES[[#This Row],[TE_STARTING_KN]]/(PROPERTIES[[#This Row],[WEIGHT]]*9.81),0)</f>
        <v>0</v>
      </c>
      <c r="AB933" s="20">
        <v>0.3</v>
      </c>
      <c r="AC933" s="16">
        <f>ROUND(IF(IFERROR(PROPERTIES[[#This Row],[TE_COEFFICIENT_CALC]],0)=0,PROPERTIES[[#This Row],[TE_COEFFICIENT_MANUAL]],PROPERTIES[[#This Row],[TE_COEFFICIENT_CALC]]),3)</f>
        <v>0.3</v>
      </c>
      <c r="AD933" s="27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6">
        <v>0</v>
      </c>
      <c r="AF933" s="6">
        <v>0</v>
      </c>
      <c r="AG933" t="s">
        <v>232</v>
      </c>
      <c r="AH933" t="s">
        <v>229</v>
      </c>
      <c r="AI933" t="s">
        <v>229</v>
      </c>
      <c r="AJ933" s="2" t="s">
        <v>229</v>
      </c>
      <c r="AK933" s="2" t="s">
        <v>244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44" t="b">
        <v>0</v>
      </c>
      <c r="AP933" s="48" t="b">
        <v>0</v>
      </c>
      <c r="AQ933" s="48" t="b">
        <v>0</v>
      </c>
      <c r="AR933" s="48">
        <v>0</v>
      </c>
      <c r="AS933" s="48" t="b">
        <v>0</v>
      </c>
      <c r="AT933" s="7" t="b">
        <v>0</v>
      </c>
      <c r="AU933" s="40" t="str" cm="1">
        <f t="array" ref="AU933">_xlfn.XLOOKUP(PROPERTIES[[#This Row],[VEHIDCODE]],GRAPHICS_PROPERTIES[VEHIDCODE],GRAPHICS_PROPERTIES[TEMPLATE_ID]&amp;GRAPHICS_PROPERTIES[TEMPLATE_AMENDMENT_CODE])</f>
        <v>TPL_04U</v>
      </c>
    </row>
    <row r="934" spans="1:47" x14ac:dyDescent="0.35">
      <c r="A934" s="2" t="s">
        <v>3366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0" t="str">
        <f>_xlfn.XLOOKUP(PROPERTIES[[#This Row],[VEHIDCODE]],CONTROL[VEHIDCODE],CONTROL[ENGLISH])</f>
        <v>Comeng 86 Class</v>
      </c>
      <c r="F934" t="s">
        <v>541</v>
      </c>
      <c r="G934" s="40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17</v>
      </c>
      <c r="J934">
        <v>0</v>
      </c>
      <c r="K934">
        <v>8</v>
      </c>
      <c r="L934">
        <v>0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3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0">
        <f>222*1.3</f>
        <v>288.60000000000002</v>
      </c>
      <c r="AA934" s="20">
        <f>IFERROR(PROPERTIES[[#This Row],[TE_STARTING_KN]]/(PROPERTIES[[#This Row],[WEIGHT]]*9.81),0)</f>
        <v>0.24721815331637242</v>
      </c>
      <c r="AB934" s="20">
        <v>0</v>
      </c>
      <c r="AC934" s="16">
        <f>ROUND(IF(IFERROR(PROPERTIES[[#This Row],[TE_COEFFICIENT_CALC]],0)=0,PROPERTIES[[#This Row],[TE_COEFFICIENT_MANUAL]],PROPERTIES[[#This Row],[TE_COEFFICIENT_CALC]]),3)</f>
        <v>0.247</v>
      </c>
      <c r="AD934" s="27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6">
        <v>0</v>
      </c>
      <c r="AF934" s="6">
        <v>0</v>
      </c>
      <c r="AG934" t="s">
        <v>232</v>
      </c>
      <c r="AH934" t="s">
        <v>229</v>
      </c>
      <c r="AI934" t="s">
        <v>229</v>
      </c>
      <c r="AJ934" s="2" t="s">
        <v>229</v>
      </c>
      <c r="AK934" s="2" t="s">
        <v>244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44" t="b">
        <v>0</v>
      </c>
      <c r="AP934" s="48" t="b">
        <v>0</v>
      </c>
      <c r="AQ934" s="48" t="b">
        <v>0</v>
      </c>
      <c r="AR934" s="48">
        <v>0</v>
      </c>
      <c r="AS934" s="48" t="b">
        <v>0</v>
      </c>
      <c r="AT934" s="7" t="b">
        <v>0</v>
      </c>
      <c r="AU934" s="40" t="str" cm="1">
        <f t="array" ref="AU934">_xlfn.XLOOKUP(PROPERTIES[[#This Row],[VEHIDCODE]],GRAPHICS_PROPERTIES[VEHIDCODE],GRAPHICS_PROPERTIES[TEMPLATE_ID]&amp;GRAPHICS_PROPERTIES[TEMPLATE_AMENDMENT_CODE])</f>
        <v>TPL_01A</v>
      </c>
    </row>
    <row r="935" spans="1:47" x14ac:dyDescent="0.35">
      <c r="A935" s="2" t="s">
        <v>3240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0" t="str">
        <f>_xlfn.XLOOKUP(PROPERTIES[[#This Row],[VEHIDCODE]],CONTROL[VEHIDCODE],CONTROL[ENGLISH])</f>
        <v>Ganz-MAVAG EM/ET</v>
      </c>
      <c r="F935" t="s">
        <v>697</v>
      </c>
      <c r="G935" s="40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15</v>
      </c>
      <c r="J935">
        <v>113</v>
      </c>
      <c r="K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3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0">
        <v>0</v>
      </c>
      <c r="AA935" s="20">
        <f>IFERROR(PROPERTIES[[#This Row],[TE_STARTING_KN]]/(PROPERTIES[[#This Row],[WEIGHT]]*9.81),0)</f>
        <v>0</v>
      </c>
      <c r="AB935" s="20">
        <v>0.25</v>
      </c>
      <c r="AC935" s="16">
        <f>ROUND(IF(IFERROR(PROPERTIES[[#This Row],[TE_COEFFICIENT_CALC]],0)=0,PROPERTIES[[#This Row],[TE_COEFFICIENT_MANUAL]],PROPERTIES[[#This Row],[TE_COEFFICIENT_CALC]]),3)</f>
        <v>0.25</v>
      </c>
      <c r="AD935" s="27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6">
        <v>113</v>
      </c>
      <c r="AF935" s="6">
        <v>8</v>
      </c>
      <c r="AG935" t="s">
        <v>232</v>
      </c>
      <c r="AH935" t="s">
        <v>229</v>
      </c>
      <c r="AI935" t="s">
        <v>229</v>
      </c>
      <c r="AJ935" s="2" t="s">
        <v>229</v>
      </c>
      <c r="AK935" s="2" t="s">
        <v>244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44" t="b">
        <v>0</v>
      </c>
      <c r="AP935" s="48" t="b">
        <v>0</v>
      </c>
      <c r="AQ935" s="48" t="b">
        <v>0</v>
      </c>
      <c r="AR935" s="48">
        <v>0</v>
      </c>
      <c r="AS935" s="48" t="b">
        <v>0</v>
      </c>
      <c r="AT935" s="7" t="b">
        <v>0</v>
      </c>
      <c r="AU935" s="40" t="str" cm="1">
        <f t="array" ref="AU935">_xlfn.XLOOKUP(PROPERTIES[[#This Row],[VEHIDCODE]],GRAPHICS_PROPERTIES[VEHIDCODE],GRAPHICS_PROPERTIES[TEMPLATE_ID]&amp;GRAPHICS_PROPERTIES[TEMPLATE_AMENDMENT_CODE])</f>
        <v>TPL_02A</v>
      </c>
    </row>
    <row r="936" spans="1:47" x14ac:dyDescent="0.35">
      <c r="A936" s="2" t="s">
        <v>3367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0" t="str">
        <f>_xlfn.XLOOKUP(PROPERTIES[[#This Row],[VEHIDCODE]],CONTROL[VEHIDCODE],CONTROL[ENGLISH])</f>
        <v>EEC DM EMU</v>
      </c>
      <c r="F936" t="s">
        <v>697</v>
      </c>
      <c r="G936" s="40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15</v>
      </c>
      <c r="J936">
        <f>124/2</f>
        <v>62</v>
      </c>
      <c r="K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3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0">
        <v>0</v>
      </c>
      <c r="AA936" s="20">
        <f>IFERROR(PROPERTIES[[#This Row],[TE_STARTING_KN]]/(PROPERTIES[[#This Row],[WEIGHT]]*9.81),0)</f>
        <v>0</v>
      </c>
      <c r="AB936" s="20">
        <v>0.25</v>
      </c>
      <c r="AC936" s="16">
        <f>ROUND(IF(IFERROR(PROPERTIES[[#This Row],[TE_COEFFICIENT_CALC]],0)=0,PROPERTIES[[#This Row],[TE_COEFFICIENT_MANUAL]],PROPERTIES[[#This Row],[TE_COEFFICIENT_CALC]]),3)</f>
        <v>0.25</v>
      </c>
      <c r="AD936" s="27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6">
        <v>62</v>
      </c>
      <c r="AF936" s="6">
        <v>8</v>
      </c>
      <c r="AG936" t="s">
        <v>232</v>
      </c>
      <c r="AH936" t="s">
        <v>229</v>
      </c>
      <c r="AI936" t="s">
        <v>229</v>
      </c>
      <c r="AJ936" s="2" t="s">
        <v>229</v>
      </c>
      <c r="AK936" s="2" t="s">
        <v>244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44" t="b">
        <v>0</v>
      </c>
      <c r="AP936" s="48" t="b">
        <v>0</v>
      </c>
      <c r="AQ936" s="48" t="b">
        <v>0</v>
      </c>
      <c r="AR936" s="48">
        <v>0</v>
      </c>
      <c r="AS936" s="48" t="b">
        <v>0</v>
      </c>
      <c r="AT936" s="7" t="b">
        <v>0</v>
      </c>
      <c r="AU936" s="40" t="str" cm="1">
        <f t="array" ref="AU936">_xlfn.XLOOKUP(PROPERTIES[[#This Row],[VEHIDCODE]],GRAPHICS_PROPERTIES[VEHIDCODE],GRAPHICS_PROPERTIES[TEMPLATE_ID]&amp;GRAPHICS_PROPERTIES[TEMPLATE_AMENDMENT_CODE])</f>
        <v>TPL_02A</v>
      </c>
    </row>
    <row r="937" spans="1:47" x14ac:dyDescent="0.35">
      <c r="A937" s="2" t="s">
        <v>3368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0" t="str">
        <f>_xlfn.XLOOKUP(PROPERTIES[[#This Row],[VEHIDCODE]],CONTROL[VEHIDCODE],CONTROL[ENGLISH])</f>
        <v>Hyundai Rotem/Mitsui 'Matangi'</v>
      </c>
      <c r="F937" t="s">
        <v>697</v>
      </c>
      <c r="G937" s="40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15</v>
      </c>
      <c r="J937">
        <f>INT((147+230)/2)</f>
        <v>188</v>
      </c>
      <c r="K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3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0">
        <v>0</v>
      </c>
      <c r="AA937" s="20">
        <f>IFERROR(PROPERTIES[[#This Row],[TE_STARTING_KN]]/(PROPERTIES[[#This Row],[WEIGHT]]*9.81),0)</f>
        <v>0</v>
      </c>
      <c r="AB937" s="20">
        <v>0.3</v>
      </c>
      <c r="AC937" s="16">
        <f>ROUND(IF(IFERROR(PROPERTIES[[#This Row],[TE_COEFFICIENT_CALC]],0)=0,PROPERTIES[[#This Row],[TE_COEFFICIENT_MANUAL]],PROPERTIES[[#This Row],[TE_COEFFICIENT_CALC]]),3)</f>
        <v>0.3</v>
      </c>
      <c r="AD937" s="27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6">
        <v>188</v>
      </c>
      <c r="AF937" s="6">
        <v>8</v>
      </c>
      <c r="AG937" t="s">
        <v>232</v>
      </c>
      <c r="AH937" t="s">
        <v>229</v>
      </c>
      <c r="AI937" t="s">
        <v>229</v>
      </c>
      <c r="AJ937" s="2" t="s">
        <v>229</v>
      </c>
      <c r="AK937" s="2" t="s">
        <v>244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44" t="b">
        <v>0</v>
      </c>
      <c r="AP937" s="48" t="b">
        <v>0</v>
      </c>
      <c r="AQ937" s="48" t="b">
        <v>0</v>
      </c>
      <c r="AR937" s="48">
        <v>0</v>
      </c>
      <c r="AS937" s="48" t="b">
        <v>0</v>
      </c>
      <c r="AT937" s="7" t="b">
        <v>0</v>
      </c>
      <c r="AU937" s="40" t="str" cm="1">
        <f t="array" ref="AU937">_xlfn.XLOOKUP(PROPERTIES[[#This Row],[VEHIDCODE]],GRAPHICS_PROPERTIES[VEHIDCODE],GRAPHICS_PROPERTIES[TEMPLATE_ID]&amp;GRAPHICS_PROPERTIES[TEMPLATE_AMENDMENT_CODE])</f>
        <v>TPL_02A</v>
      </c>
    </row>
    <row r="938" spans="1:47" x14ac:dyDescent="0.35">
      <c r="A938" s="2" t="s">
        <v>3369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0" t="str">
        <f>_xlfn.XLOOKUP(PROPERTIES[[#This Row],[VEHIDCODE]],CONTROL[VEHIDCODE],CONTROL[ENGLISH])</f>
        <v>Ganz Hunslet Budapest G2</v>
      </c>
      <c r="F938" t="s">
        <v>626</v>
      </c>
      <c r="G938" s="40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22</v>
      </c>
      <c r="J938">
        <v>132</v>
      </c>
      <c r="K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3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0">
        <v>0</v>
      </c>
      <c r="AA938" s="19">
        <f>IFERROR(PROPERTIES[[#This Row],[TE_STARTING_KN]]/(PROPERTIES[[#This Row],[WEIGHT]]*9.81),0)</f>
        <v>0</v>
      </c>
      <c r="AB938" s="19">
        <v>0.25</v>
      </c>
      <c r="AC938" s="16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6">
        <v>150</v>
      </c>
      <c r="AF938" s="6">
        <v>8</v>
      </c>
      <c r="AG938" t="s">
        <v>236</v>
      </c>
      <c r="AH938" t="s">
        <v>229</v>
      </c>
      <c r="AI938" t="s">
        <v>229</v>
      </c>
      <c r="AJ938" s="2" t="s">
        <v>229</v>
      </c>
      <c r="AK938" s="2" t="s">
        <v>244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44" t="b">
        <v>0</v>
      </c>
      <c r="AP938" s="48" t="b">
        <v>0</v>
      </c>
      <c r="AQ938" s="48" t="b">
        <v>0</v>
      </c>
      <c r="AR938" s="48">
        <v>0</v>
      </c>
      <c r="AS938" s="48" t="b">
        <v>0</v>
      </c>
      <c r="AT938" s="7" t="b">
        <v>0</v>
      </c>
      <c r="AU938" s="40" t="str" cm="1">
        <f t="array" ref="AU938">_xlfn.XLOOKUP(PROPERTIES[[#This Row],[VEHIDCODE]],GRAPHICS_PROPERTIES[VEHIDCODE],GRAPHICS_PROPERTIES[TEMPLATE_ID]&amp;GRAPHICS_PROPERTIES[TEMPLATE_AMENDMENT_CODE])</f>
        <v>TPL_02C</v>
      </c>
    </row>
    <row r="939" spans="1:47" x14ac:dyDescent="0.35">
      <c r="A939" s="2" t="s">
        <v>3370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0" t="str">
        <f>_xlfn.XLOOKUP(PROPERTIES[[#This Row],[VEHIDCODE]],CONTROL[VEHIDCODE],CONTROL[ENGLISH])</f>
        <v>BRC&amp;W NSU Class</v>
      </c>
      <c r="F939" t="s">
        <v>541</v>
      </c>
      <c r="G939" s="40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17</v>
      </c>
      <c r="J939">
        <v>0</v>
      </c>
      <c r="K939">
        <v>6</v>
      </c>
      <c r="L939">
        <v>0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3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0">
        <v>0</v>
      </c>
      <c r="AA939" s="20">
        <f>IFERROR(PROPERTIES[[#This Row],[TE_STARTING_KN]]/(PROPERTIES[[#This Row],[WEIGHT]]*9.81),0)</f>
        <v>0</v>
      </c>
      <c r="AB939" s="20">
        <v>0.3</v>
      </c>
      <c r="AC939" s="16">
        <f>ROUND(IF(IFERROR(PROPERTIES[[#This Row],[TE_COEFFICIENT_CALC]],0)=0,PROPERTIES[[#This Row],[TE_COEFFICIENT_MANUAL]],PROPERTIES[[#This Row],[TE_COEFFICIENT_CALC]]),3)</f>
        <v>0.3</v>
      </c>
      <c r="AD939" s="27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6">
        <v>0</v>
      </c>
      <c r="AF939" s="6">
        <v>0</v>
      </c>
      <c r="AG939" t="s">
        <v>232</v>
      </c>
      <c r="AH939" t="s">
        <v>229</v>
      </c>
      <c r="AI939" t="s">
        <v>229</v>
      </c>
      <c r="AJ939" s="2" t="s">
        <v>229</v>
      </c>
      <c r="AK939" s="2" t="s">
        <v>244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44" t="b">
        <v>0</v>
      </c>
      <c r="AP939" s="48" t="b">
        <v>0</v>
      </c>
      <c r="AQ939" s="48" t="b">
        <v>0</v>
      </c>
      <c r="AR939" s="48">
        <v>0</v>
      </c>
      <c r="AS939" s="48" t="b">
        <v>0</v>
      </c>
      <c r="AT939" s="7" t="b">
        <v>0</v>
      </c>
      <c r="AU939" s="40" t="str" cm="1">
        <f t="array" ref="AU939">_xlfn.XLOOKUP(PROPERTIES[[#This Row],[VEHIDCODE]],GRAPHICS_PROPERTIES[VEHIDCODE],GRAPHICS_PROPERTIES[TEMPLATE_ID]&amp;GRAPHICS_PROPERTIES[TEMPLATE_AMENDMENT_CODE])</f>
        <v>TPL_01A</v>
      </c>
    </row>
    <row r="940" spans="1:47" x14ac:dyDescent="0.35">
      <c r="A940" s="2" t="s">
        <v>3371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0" t="str">
        <f>_xlfn.XLOOKUP(PROPERTIES[[#This Row],[VEHIDCODE]],CONTROL[VEHIDCODE],CONTROL[ENGLISH])</f>
        <v>Itochu/Kinki/Kawasaki SP1900</v>
      </c>
      <c r="F940" t="s">
        <v>621</v>
      </c>
      <c r="G940" s="40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22</v>
      </c>
      <c r="J940">
        <v>250</v>
      </c>
      <c r="K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3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0">
        <v>0</v>
      </c>
      <c r="AA940" s="20">
        <f>IFERROR(PROPERTIES[[#This Row],[TE_STARTING_KN]]/(PROPERTIES[[#This Row],[WEIGHT]]*9.81),0)</f>
        <v>0</v>
      </c>
      <c r="AB940" s="20">
        <v>0.3</v>
      </c>
      <c r="AC940" s="16">
        <f>ROUND(IF(IFERROR(PROPERTIES[[#This Row],[TE_COEFFICIENT_CALC]],0)=0,PROPERTIES[[#This Row],[TE_COEFFICIENT_MANUAL]],PROPERTIES[[#This Row],[TE_COEFFICIENT_CALC]]),3)</f>
        <v>0.3</v>
      </c>
      <c r="AD940" s="27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6">
        <v>250</v>
      </c>
      <c r="AF940" s="6">
        <v>8</v>
      </c>
      <c r="AG940" t="s">
        <v>238</v>
      </c>
      <c r="AH940" t="s">
        <v>229</v>
      </c>
      <c r="AI940" t="s">
        <v>229</v>
      </c>
      <c r="AJ940" s="2" t="s">
        <v>229</v>
      </c>
      <c r="AK940" s="2" t="s">
        <v>244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44" t="b">
        <v>0</v>
      </c>
      <c r="AP940" s="48" t="b">
        <v>0</v>
      </c>
      <c r="AQ940" s="48" t="b">
        <v>0</v>
      </c>
      <c r="AR940" s="48">
        <v>0</v>
      </c>
      <c r="AS940" s="48" t="b">
        <v>0</v>
      </c>
      <c r="AT940" s="7" t="b">
        <v>0</v>
      </c>
      <c r="AU940" s="40" t="str" cm="1">
        <f t="array" ref="AU940">_xlfn.XLOOKUP(PROPERTIES[[#This Row],[VEHIDCODE]],GRAPHICS_PROPERTIES[VEHIDCODE],GRAPHICS_PROPERTIES[TEMPLATE_ID]&amp;GRAPHICS_PROPERTIES[TEMPLATE_AMENDMENT_CODE])</f>
        <v>TPL_02D</v>
      </c>
    </row>
    <row r="941" spans="1:47" x14ac:dyDescent="0.35">
      <c r="A941" t="s">
        <v>3372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0" t="str">
        <f>_xlfn.XLOOKUP(PROPERTIES[[#This Row],[VEHIDCODE]],CONTROL[VEHIDCODE],CONTROL[ENGLISH])</f>
        <v>Alstom/CRRC Datong HXD2</v>
      </c>
      <c r="F941" t="s">
        <v>575</v>
      </c>
      <c r="G941" s="40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17</v>
      </c>
      <c r="J941">
        <v>0</v>
      </c>
      <c r="K941">
        <v>7</v>
      </c>
      <c r="L941">
        <v>0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3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0">
        <v>760</v>
      </c>
      <c r="AA941" s="19">
        <f>IFERROR(PROPERTIES[[#This Row],[TE_STARTING_KN]]/(PROPERTIES[[#This Row],[WEIGHT]]*9.81),0)</f>
        <v>0.3873598369011213</v>
      </c>
      <c r="AB941" s="19">
        <v>0</v>
      </c>
      <c r="AC941" s="16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6">
        <v>0</v>
      </c>
      <c r="AF941" s="6">
        <v>0</v>
      </c>
      <c r="AG941" t="s">
        <v>238</v>
      </c>
      <c r="AH941" t="s">
        <v>229</v>
      </c>
      <c r="AI941" t="s">
        <v>229</v>
      </c>
      <c r="AJ941" s="2" t="s">
        <v>229</v>
      </c>
      <c r="AK941" s="2" t="s">
        <v>244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44" t="b">
        <v>0</v>
      </c>
      <c r="AP941" s="48" t="b">
        <v>0</v>
      </c>
      <c r="AQ941" s="48" t="b">
        <v>0</v>
      </c>
      <c r="AR941" s="48">
        <v>0</v>
      </c>
      <c r="AS941" s="48" t="b">
        <v>0</v>
      </c>
      <c r="AT941" s="7" t="b">
        <v>0</v>
      </c>
      <c r="AU941" s="40" t="str" cm="1">
        <f t="array" ref="AU941">_xlfn.XLOOKUP(PROPERTIES[[#This Row],[VEHIDCODE]],GRAPHICS_PROPERTIES[VEHIDCODE],GRAPHICS_PROPERTIES[TEMPLATE_ID]&amp;GRAPHICS_PROPERTIES[TEMPLATE_AMENDMENT_CODE])</f>
        <v>TPL_03D</v>
      </c>
    </row>
    <row r="942" spans="1:47" x14ac:dyDescent="0.35">
      <c r="A942" t="s">
        <v>3373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0" t="str">
        <f>_xlfn.XLOOKUP(PROPERTIES[[#This Row],[VEHIDCODE]],CONTROL[VEHIDCODE],CONTROL[ENGLISH])</f>
        <v>CRRC Qishuyan DF11</v>
      </c>
      <c r="F942" t="s">
        <v>575</v>
      </c>
      <c r="G942" s="40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17</v>
      </c>
      <c r="J942">
        <v>0</v>
      </c>
      <c r="K942">
        <v>8</v>
      </c>
      <c r="L942">
        <v>0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3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0">
        <v>245</v>
      </c>
      <c r="AA942" s="20">
        <f>IFERROR(PROPERTIES[[#This Row],[TE_STARTING_KN]]/(PROPERTIES[[#This Row],[WEIGHT]]*9.81),0)</f>
        <v>0.18097475217539039</v>
      </c>
      <c r="AB942" s="20">
        <v>0</v>
      </c>
      <c r="AC942" s="16">
        <f>ROUND(IF(IFERROR(PROPERTIES[[#This Row],[TE_COEFFICIENT_CALC]],0)=0,PROPERTIES[[#This Row],[TE_COEFFICIENT_MANUAL]],PROPERTIES[[#This Row],[TE_COEFFICIENT_CALC]]),3)</f>
        <v>0.18099999999999999</v>
      </c>
      <c r="AD942" s="27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6">
        <v>0</v>
      </c>
      <c r="AF942" s="6">
        <v>0</v>
      </c>
      <c r="AG942" t="s">
        <v>238</v>
      </c>
      <c r="AH942" t="s">
        <v>229</v>
      </c>
      <c r="AI942" t="s">
        <v>229</v>
      </c>
      <c r="AJ942" s="2" t="s">
        <v>229</v>
      </c>
      <c r="AK942" s="2" t="s">
        <v>244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44" t="b">
        <v>0</v>
      </c>
      <c r="AP942" s="48" t="b">
        <v>0</v>
      </c>
      <c r="AQ942" s="48" t="b">
        <v>0</v>
      </c>
      <c r="AR942" s="48">
        <v>0</v>
      </c>
      <c r="AS942" s="48" t="b">
        <v>0</v>
      </c>
      <c r="AT942" s="7" t="b">
        <v>0</v>
      </c>
      <c r="AU942" s="40" t="str" cm="1">
        <f t="array" ref="AU942">_xlfn.XLOOKUP(PROPERTIES[[#This Row],[VEHIDCODE]],GRAPHICS_PROPERTIES[VEHIDCODE],GRAPHICS_PROPERTIES[TEMPLATE_ID]&amp;GRAPHICS_PROPERTIES[TEMPLATE_AMENDMENT_CODE])</f>
        <v>TPL_01A</v>
      </c>
    </row>
    <row r="943" spans="1:47" x14ac:dyDescent="0.35">
      <c r="A943" s="2" t="s">
        <v>3374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0" t="str">
        <f>_xlfn.XLOOKUP(PROPERTIES[[#This Row],[VEHIDCODE]],CONTROL[VEHIDCODE],CONTROL[ENGLISH])</f>
        <v>Zhuzhou SS8</v>
      </c>
      <c r="F943" t="s">
        <v>575</v>
      </c>
      <c r="G943" s="40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17</v>
      </c>
      <c r="J943">
        <v>0</v>
      </c>
      <c r="K943">
        <v>7</v>
      </c>
      <c r="L943">
        <v>0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3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0">
        <v>208</v>
      </c>
      <c r="AA943" s="20">
        <f>IFERROR(PROPERTIES[[#This Row],[TE_STARTING_KN]]/(PROPERTIES[[#This Row],[WEIGHT]]*9.81),0)</f>
        <v>0.24094152534519506</v>
      </c>
      <c r="AB943" s="20">
        <v>0</v>
      </c>
      <c r="AC943" s="16">
        <f>ROUND(IF(IFERROR(PROPERTIES[[#This Row],[TE_COEFFICIENT_CALC]],0)=0,PROPERTIES[[#This Row],[TE_COEFFICIENT_MANUAL]],PROPERTIES[[#This Row],[TE_COEFFICIENT_CALC]]),3)</f>
        <v>0.24099999999999999</v>
      </c>
      <c r="AD943" s="27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6">
        <v>0</v>
      </c>
      <c r="AF943" s="6">
        <v>0</v>
      </c>
      <c r="AG943" t="s">
        <v>238</v>
      </c>
      <c r="AH943" t="s">
        <v>229</v>
      </c>
      <c r="AI943" t="s">
        <v>229</v>
      </c>
      <c r="AJ943" s="2" t="s">
        <v>229</v>
      </c>
      <c r="AK943" s="2" t="s">
        <v>244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44" t="b">
        <v>0</v>
      </c>
      <c r="AP943" s="48" t="b">
        <v>0</v>
      </c>
      <c r="AQ943" s="48" t="b">
        <v>0</v>
      </c>
      <c r="AR943" s="48">
        <v>0</v>
      </c>
      <c r="AS943" s="48" t="b">
        <v>0</v>
      </c>
      <c r="AT943" s="7" t="b">
        <v>0</v>
      </c>
      <c r="AU943" s="40" t="str" cm="1">
        <f t="array" ref="AU943">_xlfn.XLOOKUP(PROPERTIES[[#This Row],[VEHIDCODE]],GRAPHICS_PROPERTIES[VEHIDCODE],GRAPHICS_PROPERTIES[TEMPLATE_ID]&amp;GRAPHICS_PROPERTIES[TEMPLATE_AMENDMENT_CODE])</f>
        <v>TPL_01A</v>
      </c>
    </row>
    <row r="944" spans="1:47" x14ac:dyDescent="0.35">
      <c r="A944" s="2" t="s">
        <v>3375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0" t="str">
        <f>_xlfn.XLOOKUP(PROPERTIES[[#This Row],[VEHIDCODE]],CONTROL[VEHIDCODE],CONTROL[ENGLISH])</f>
        <v>Alstom/CRRC Datong HXD2B</v>
      </c>
      <c r="F944" t="s">
        <v>575</v>
      </c>
      <c r="G944" s="40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17</v>
      </c>
      <c r="J944">
        <v>0</v>
      </c>
      <c r="K944">
        <v>8</v>
      </c>
      <c r="L944">
        <v>0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3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0">
        <v>584</v>
      </c>
      <c r="AA944" s="20">
        <f>IFERROR(PROPERTIES[[#This Row],[TE_STARTING_KN]]/(PROPERTIES[[#This Row],[WEIGHT]]*9.81),0)</f>
        <v>0.39687393815834182</v>
      </c>
      <c r="AB944" s="20">
        <v>0</v>
      </c>
      <c r="AC944" s="16">
        <f>ROUND(IF(IFERROR(PROPERTIES[[#This Row],[TE_COEFFICIENT_CALC]],0)=0,PROPERTIES[[#This Row],[TE_COEFFICIENT_MANUAL]],PROPERTIES[[#This Row],[TE_COEFFICIENT_CALC]]),3)</f>
        <v>0.39700000000000002</v>
      </c>
      <c r="AD944" s="27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6">
        <v>0</v>
      </c>
      <c r="AF944" s="6">
        <v>0</v>
      </c>
      <c r="AG944" t="s">
        <v>1948</v>
      </c>
      <c r="AH944" t="s">
        <v>229</v>
      </c>
      <c r="AI944" t="s">
        <v>229</v>
      </c>
      <c r="AJ944" s="2" t="s">
        <v>229</v>
      </c>
      <c r="AK944" s="2" t="s">
        <v>244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44" t="b">
        <v>0</v>
      </c>
      <c r="AP944" s="48" t="b">
        <v>0</v>
      </c>
      <c r="AQ944" s="48" t="b">
        <v>0</v>
      </c>
      <c r="AR944" s="48">
        <v>0</v>
      </c>
      <c r="AS944" s="48" t="b">
        <v>0</v>
      </c>
      <c r="AT944" s="7" t="b">
        <v>0</v>
      </c>
      <c r="AU944" s="40" t="str" cm="1">
        <f t="array" ref="AU944">_xlfn.XLOOKUP(PROPERTIES[[#This Row],[VEHIDCODE]],GRAPHICS_PROPERTIES[VEHIDCODE],GRAPHICS_PROPERTIES[TEMPLATE_ID]&amp;GRAPHICS_PROPERTIES[TEMPLATE_AMENDMENT_CODE])</f>
        <v>TPL_01A</v>
      </c>
    </row>
    <row r="945" spans="1:47" x14ac:dyDescent="0.35">
      <c r="A945" s="2" t="s">
        <v>3376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0" t="str">
        <f>_xlfn.XLOOKUP(PROPERTIES[[#This Row],[VEHIDCODE]],CONTROL[VEHIDCODE],CONTROL[ENGLISH])</f>
        <v>CRRC Dalian HXD3D</v>
      </c>
      <c r="F945" t="s">
        <v>575</v>
      </c>
      <c r="G945" s="40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17</v>
      </c>
      <c r="J945">
        <v>0</v>
      </c>
      <c r="K945">
        <v>8</v>
      </c>
      <c r="L945">
        <v>0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3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0">
        <v>420</v>
      </c>
      <c r="AA945" s="20">
        <f>IFERROR(PROPERTIES[[#This Row],[TE_STARTING_KN]]/(PROPERTIES[[#This Row],[WEIGHT]]*9.81),0)</f>
        <v>0.33448012232415902</v>
      </c>
      <c r="AB945" s="20">
        <v>0</v>
      </c>
      <c r="AC945" s="16">
        <f>ROUND(IF(IFERROR(PROPERTIES[[#This Row],[TE_COEFFICIENT_CALC]],0)=0,PROPERTIES[[#This Row],[TE_COEFFICIENT_MANUAL]],PROPERTIES[[#This Row],[TE_COEFFICIENT_CALC]]),3)</f>
        <v>0.33400000000000002</v>
      </c>
      <c r="AD945" s="27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6">
        <v>0</v>
      </c>
      <c r="AF945" s="6">
        <v>0</v>
      </c>
      <c r="AG945" t="s">
        <v>238</v>
      </c>
      <c r="AH945" t="s">
        <v>229</v>
      </c>
      <c r="AI945" t="s">
        <v>229</v>
      </c>
      <c r="AJ945" s="2" t="s">
        <v>229</v>
      </c>
      <c r="AK945" s="2" t="s">
        <v>244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44" t="b">
        <v>0</v>
      </c>
      <c r="AP945" s="48" t="b">
        <v>0</v>
      </c>
      <c r="AQ945" s="48" t="b">
        <v>0</v>
      </c>
      <c r="AR945" s="48">
        <v>0</v>
      </c>
      <c r="AS945" s="48" t="b">
        <v>0</v>
      </c>
      <c r="AT945" s="7" t="b">
        <v>0</v>
      </c>
      <c r="AU945" s="40" t="str" cm="1">
        <f t="array" ref="AU945">_xlfn.XLOOKUP(PROPERTIES[[#This Row],[VEHIDCODE]],GRAPHICS_PROPERTIES[VEHIDCODE],GRAPHICS_PROPERTIES[TEMPLATE_ID]&amp;GRAPHICS_PROPERTIES[TEMPLATE_AMENDMENT_CODE])</f>
        <v>TPL_01A</v>
      </c>
    </row>
    <row r="946" spans="1:47" x14ac:dyDescent="0.35">
      <c r="A946" s="2" t="s">
        <v>3377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0" t="str">
        <f>_xlfn.XLOOKUP(PROPERTIES[[#This Row],[VEHIDCODE]],CONTROL[VEHIDCODE],CONTROL[ENGLISH])</f>
        <v>CRRC Dalian DF4</v>
      </c>
      <c r="F946" t="s">
        <v>575</v>
      </c>
      <c r="G946" s="40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17</v>
      </c>
      <c r="J946">
        <v>0</v>
      </c>
      <c r="K946">
        <v>8</v>
      </c>
      <c r="L946">
        <v>0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3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0">
        <v>243</v>
      </c>
      <c r="AA946" s="20">
        <f>IFERROR(PROPERTIES[[#This Row],[TE_STARTING_KN]]/(PROPERTIES[[#This Row],[WEIGHT]]*9.81),0)</f>
        <v>0.17949740725967292</v>
      </c>
      <c r="AB946" s="20">
        <v>0</v>
      </c>
      <c r="AC946" s="16">
        <f>ROUND(IF(IFERROR(PROPERTIES[[#This Row],[TE_COEFFICIENT_CALC]],0)=0,PROPERTIES[[#This Row],[TE_COEFFICIENT_MANUAL]],PROPERTIES[[#This Row],[TE_COEFFICIENT_CALC]]),3)</f>
        <v>0.17899999999999999</v>
      </c>
      <c r="AD946" s="27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6">
        <v>0</v>
      </c>
      <c r="AF946" s="6">
        <v>0</v>
      </c>
      <c r="AG946" t="s">
        <v>238</v>
      </c>
      <c r="AH946" t="s">
        <v>229</v>
      </c>
      <c r="AI946" t="s">
        <v>229</v>
      </c>
      <c r="AJ946" s="2" t="s">
        <v>229</v>
      </c>
      <c r="AK946" s="2" t="s">
        <v>244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44" t="b">
        <v>0</v>
      </c>
      <c r="AP946" s="48" t="b">
        <v>0</v>
      </c>
      <c r="AQ946" s="48" t="b">
        <v>0</v>
      </c>
      <c r="AR946" s="48">
        <v>0</v>
      </c>
      <c r="AS946" s="48" t="b">
        <v>0</v>
      </c>
      <c r="AT946" s="7" t="b">
        <v>0</v>
      </c>
      <c r="AU946" s="40" t="str" cm="1">
        <f t="array" ref="AU946">_xlfn.XLOOKUP(PROPERTIES[[#This Row],[VEHIDCODE]],GRAPHICS_PROPERTIES[VEHIDCODE],GRAPHICS_PROPERTIES[TEMPLATE_ID]&amp;GRAPHICS_PROPERTIES[TEMPLATE_AMENDMENT_CODE])</f>
        <v>TPL_01A</v>
      </c>
    </row>
    <row r="947" spans="1:47" x14ac:dyDescent="0.35">
      <c r="A947" s="2" t="s">
        <v>3378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0" t="str">
        <f>_xlfn.XLOOKUP(PROPERTIES[[#This Row],[VEHIDCODE]],CONTROL[VEHIDCODE],CONTROL[ENGLISH])</f>
        <v>Tangshan/Dalian/Sifang DF5</v>
      </c>
      <c r="F947" t="s">
        <v>575</v>
      </c>
      <c r="G947" s="40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17</v>
      </c>
      <c r="J947">
        <v>0</v>
      </c>
      <c r="K947">
        <v>8</v>
      </c>
      <c r="L947">
        <v>0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3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0">
        <v>392</v>
      </c>
      <c r="AA947" s="20">
        <f>IFERROR(PROPERTIES[[#This Row],[TE_STARTING_KN]]/(PROPERTIES[[#This Row],[WEIGHT]]*9.81),0)</f>
        <v>0.28955960348062465</v>
      </c>
      <c r="AB947" s="20">
        <v>0</v>
      </c>
      <c r="AC947" s="16">
        <f>ROUND(IF(IFERROR(PROPERTIES[[#This Row],[TE_COEFFICIENT_CALC]],0)=0,PROPERTIES[[#This Row],[TE_COEFFICIENT_MANUAL]],PROPERTIES[[#This Row],[TE_COEFFICIENT_CALC]]),3)</f>
        <v>0.28999999999999998</v>
      </c>
      <c r="AD947" s="27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6">
        <v>0</v>
      </c>
      <c r="AF947" s="6">
        <v>0</v>
      </c>
      <c r="AG947" t="s">
        <v>238</v>
      </c>
      <c r="AH947" t="s">
        <v>229</v>
      </c>
      <c r="AI947" t="s">
        <v>229</v>
      </c>
      <c r="AJ947" s="2" t="s">
        <v>229</v>
      </c>
      <c r="AK947" s="2" t="s">
        <v>244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44" t="b">
        <v>0</v>
      </c>
      <c r="AP947" s="48" t="b">
        <v>0</v>
      </c>
      <c r="AQ947" s="48" t="b">
        <v>0</v>
      </c>
      <c r="AR947" s="48">
        <v>0</v>
      </c>
      <c r="AS947" s="48" t="b">
        <v>0</v>
      </c>
      <c r="AT947" s="7" t="b">
        <v>0</v>
      </c>
      <c r="AU947" s="40" t="str" cm="1">
        <f t="array" ref="AU947">_xlfn.XLOOKUP(PROPERTIES[[#This Row],[VEHIDCODE]],GRAPHICS_PROPERTIES[VEHIDCODE],GRAPHICS_PROPERTIES[TEMPLATE_ID]&amp;GRAPHICS_PROPERTIES[TEMPLATE_AMENDMENT_CODE])</f>
        <v>TPL_03F</v>
      </c>
    </row>
    <row r="948" spans="1:47" x14ac:dyDescent="0.35">
      <c r="A948" s="2" t="s">
        <v>3379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0" t="str">
        <f>_xlfn.XLOOKUP(PROPERTIES[[#This Row],[VEHIDCODE]],CONTROL[VEHIDCODE],CONTROL[ENGLISH])</f>
        <v>Dalian 2-8-2 JS Class</v>
      </c>
      <c r="F948" t="s">
        <v>575</v>
      </c>
      <c r="G948" s="40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17</v>
      </c>
      <c r="J948">
        <v>0</v>
      </c>
      <c r="K948">
        <v>7</v>
      </c>
      <c r="L948">
        <v>0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3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0">
        <v>250</v>
      </c>
      <c r="AA948" s="20">
        <f>IFERROR(PROPERTIES[[#This Row],[TE_STARTING_KN]]/(PROPERTIES[[#This Row],[WEIGHT]]*9.81),0)</f>
        <v>0.13701182686089464</v>
      </c>
      <c r="AB948" s="20">
        <v>0</v>
      </c>
      <c r="AC948" s="16">
        <f>ROUND(IF(IFERROR(PROPERTIES[[#This Row],[TE_COEFFICIENT_CALC]],0)=0,PROPERTIES[[#This Row],[TE_COEFFICIENT_MANUAL]],PROPERTIES[[#This Row],[TE_COEFFICIENT_CALC]]),3)</f>
        <v>0.13700000000000001</v>
      </c>
      <c r="AD948" s="27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6">
        <v>0</v>
      </c>
      <c r="AF948" s="6">
        <v>4</v>
      </c>
      <c r="AG948" t="s">
        <v>238</v>
      </c>
      <c r="AH948" t="s">
        <v>229</v>
      </c>
      <c r="AI948" t="s">
        <v>229</v>
      </c>
      <c r="AJ948" s="2" t="s">
        <v>229</v>
      </c>
      <c r="AK948" s="2" t="s">
        <v>244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44" t="b">
        <v>0</v>
      </c>
      <c r="AP948" s="48" t="b">
        <v>0</v>
      </c>
      <c r="AQ948" s="48" t="b">
        <v>0</v>
      </c>
      <c r="AR948" s="48">
        <v>0</v>
      </c>
      <c r="AS948" s="48" t="b">
        <v>0</v>
      </c>
      <c r="AT948" s="7" t="b">
        <v>0</v>
      </c>
      <c r="AU948" s="40" t="str" cm="1">
        <f t="array" ref="AU948">_xlfn.XLOOKUP(PROPERTIES[[#This Row],[VEHIDCODE]],GRAPHICS_PROPERTIES[VEHIDCODE],GRAPHICS_PROPERTIES[TEMPLATE_ID]&amp;GRAPHICS_PROPERTIES[TEMPLATE_AMENDMENT_CODE])</f>
        <v>TPL_03A</v>
      </c>
    </row>
    <row r="949" spans="1:47" x14ac:dyDescent="0.35">
      <c r="A949" s="2" t="s">
        <v>3380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0" t="str">
        <f>_xlfn.XLOOKUP(PROPERTIES[[#This Row],[VEHIDCODE]],CONTROL[VEHIDCODE],CONTROL[ENGLISH])</f>
        <v>CSR Sifang 4-6-2 RM</v>
      </c>
      <c r="F949" t="s">
        <v>575</v>
      </c>
      <c r="G949" s="40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17</v>
      </c>
      <c r="J949">
        <v>0</v>
      </c>
      <c r="K949">
        <v>7</v>
      </c>
      <c r="L949">
        <v>0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3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0">
        <v>180</v>
      </c>
      <c r="AA949" s="20">
        <f>IFERROR(PROPERTIES[[#This Row],[TE_STARTING_KN]]/(PROPERTIES[[#This Row],[WEIGHT]]*9.81),0)</f>
        <v>0.1019367991845056</v>
      </c>
      <c r="AB949" s="20">
        <v>0</v>
      </c>
      <c r="AC949" s="16">
        <f>ROUND(IF(IFERROR(PROPERTIES[[#This Row],[TE_COEFFICIENT_CALC]],0)=0,PROPERTIES[[#This Row],[TE_COEFFICIENT_MANUAL]],PROPERTIES[[#This Row],[TE_COEFFICIENT_CALC]]),3)</f>
        <v>0.10199999999999999</v>
      </c>
      <c r="AD949" s="27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6">
        <v>0</v>
      </c>
      <c r="AF949" s="6">
        <v>4</v>
      </c>
      <c r="AG949" t="s">
        <v>238</v>
      </c>
      <c r="AH949" t="s">
        <v>229</v>
      </c>
      <c r="AI949" t="s">
        <v>229</v>
      </c>
      <c r="AJ949" s="2" t="s">
        <v>229</v>
      </c>
      <c r="AK949" s="2" t="s">
        <v>244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44" t="b">
        <v>0</v>
      </c>
      <c r="AP949" s="48" t="b">
        <v>0</v>
      </c>
      <c r="AQ949" s="48" t="b">
        <v>0</v>
      </c>
      <c r="AR949" s="48">
        <v>0</v>
      </c>
      <c r="AS949" s="48" t="b">
        <v>0</v>
      </c>
      <c r="AT949" s="7" t="b">
        <v>0</v>
      </c>
      <c r="AU949" s="40" t="str" cm="1">
        <f t="array" ref="AU949">_xlfn.XLOOKUP(PROPERTIES[[#This Row],[VEHIDCODE]],GRAPHICS_PROPERTIES[VEHIDCODE],GRAPHICS_PROPERTIES[TEMPLATE_ID]&amp;GRAPHICS_PROPERTIES[TEMPLATE_AMENDMENT_CODE])</f>
        <v>TPL_03A</v>
      </c>
    </row>
    <row r="950" spans="1:47" x14ac:dyDescent="0.35">
      <c r="A950" s="2" t="s">
        <v>3381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0" t="str">
        <f>_xlfn.XLOOKUP(PROPERTIES[[#This Row],[VEHIDCODE]],CONTROL[VEHIDCODE],CONTROL[ENGLISH])</f>
        <v>MAV Ikarus 260</v>
      </c>
      <c r="F950" t="s">
        <v>626</v>
      </c>
      <c r="G950" s="40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22</v>
      </c>
      <c r="J950">
        <v>100</v>
      </c>
      <c r="K950">
        <v>7</v>
      </c>
      <c r="L950">
        <v>0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3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0">
        <v>26</v>
      </c>
      <c r="AA950" s="20">
        <f>IFERROR(PROPERTIES[[#This Row],[TE_STARTING_KN]]/(PROPERTIES[[#This Row],[WEIGHT]]*9.81),0)</f>
        <v>0.3118066798584877</v>
      </c>
      <c r="AB950" s="20">
        <v>0</v>
      </c>
      <c r="AC950" s="16">
        <f>ROUND(IF(IFERROR(PROPERTIES[[#This Row],[TE_COEFFICIENT_CALC]],0)=0,PROPERTIES[[#This Row],[TE_COEFFICIENT_MANUAL]],PROPERTIES[[#This Row],[TE_COEFFICIENT_CALC]]),3)</f>
        <v>0.312</v>
      </c>
      <c r="AD950" s="27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6">
        <v>0</v>
      </c>
      <c r="AF950" s="6">
        <v>0</v>
      </c>
      <c r="AG950" t="s">
        <v>236</v>
      </c>
      <c r="AH950" t="s">
        <v>229</v>
      </c>
      <c r="AI950" t="s">
        <v>229</v>
      </c>
      <c r="AJ950" s="2" t="s">
        <v>229</v>
      </c>
      <c r="AK950" s="2" t="s">
        <v>244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44" t="b">
        <v>0</v>
      </c>
      <c r="AP950" s="48" t="b">
        <v>0</v>
      </c>
      <c r="AQ950" s="48" t="b">
        <v>0</v>
      </c>
      <c r="AR950" s="48">
        <v>0</v>
      </c>
      <c r="AS950" s="48" t="b">
        <v>0</v>
      </c>
      <c r="AT950" s="7" t="b">
        <v>0</v>
      </c>
      <c r="AU950" s="40" t="str" cm="1">
        <f t="array" ref="AU950">_xlfn.XLOOKUP(PROPERTIES[[#This Row],[VEHIDCODE]],GRAPHICS_PROPERTIES[VEHIDCODE],GRAPHICS_PROPERTIES[TEMPLATE_ID]&amp;GRAPHICS_PROPERTIES[TEMPLATE_AMENDMENT_CODE])</f>
        <v>TPL_01A</v>
      </c>
    </row>
    <row r="951" spans="1:47" x14ac:dyDescent="0.35">
      <c r="A951" s="2" t="s">
        <v>3382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0" t="str">
        <f>_xlfn.XLOOKUP(PROPERTIES[[#This Row],[VEHIDCODE]],CONTROL[VEHIDCODE],CONTROL[ENGLISH])</f>
        <v>GE ES43ACi</v>
      </c>
      <c r="F951" t="s">
        <v>704</v>
      </c>
      <c r="G951" s="40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17</v>
      </c>
      <c r="J951">
        <v>0</v>
      </c>
      <c r="K951">
        <v>8</v>
      </c>
      <c r="L951">
        <v>0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3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0">
        <v>810</v>
      </c>
      <c r="AA951" s="20">
        <f>IFERROR(PROPERTIES[[#This Row],[TE_STARTING_KN]]/(PROPERTIES[[#This Row],[WEIGHT]]*9.81),0)</f>
        <v>0.42342978122794633</v>
      </c>
      <c r="AB951" s="20">
        <v>0</v>
      </c>
      <c r="AC951" s="16">
        <f>ROUND(IF(IFERROR(PROPERTIES[[#This Row],[TE_COEFFICIENT_CALC]],0)=0,PROPERTIES[[#This Row],[TE_COEFFICIENT_MANUAL]],PROPERTIES[[#This Row],[TE_COEFFICIENT_CALC]]),3)</f>
        <v>0.42299999999999999</v>
      </c>
      <c r="AD951" s="27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6">
        <v>0</v>
      </c>
      <c r="AF951" s="6">
        <v>0</v>
      </c>
      <c r="AG951" t="s">
        <v>241</v>
      </c>
      <c r="AH951" t="s">
        <v>229</v>
      </c>
      <c r="AI951" t="s">
        <v>229</v>
      </c>
      <c r="AJ951" s="2" t="s">
        <v>229</v>
      </c>
      <c r="AK951" s="2" t="s">
        <v>244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44" t="b">
        <v>0</v>
      </c>
      <c r="AP951" s="48" t="b">
        <v>0</v>
      </c>
      <c r="AQ951" s="48" t="b">
        <v>0</v>
      </c>
      <c r="AR951" s="48">
        <v>0</v>
      </c>
      <c r="AS951" s="48" t="b">
        <v>0</v>
      </c>
      <c r="AT951" s="7" t="b">
        <v>0</v>
      </c>
      <c r="AU951" s="40" t="str" cm="1">
        <f t="array" ref="AU951">_xlfn.XLOOKUP(PROPERTIES[[#This Row],[VEHIDCODE]],GRAPHICS_PROPERTIES[VEHIDCODE],GRAPHICS_PROPERTIES[TEMPLATE_ID]&amp;GRAPHICS_PROPERTIES[TEMPLATE_AMENDMENT_CODE])</f>
        <v>TPL_01A</v>
      </c>
    </row>
    <row r="952" spans="1:47" x14ac:dyDescent="0.35">
      <c r="A952" s="2" t="s">
        <v>3383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0" t="str">
        <f>_xlfn.XLOOKUP(PROPERTIES[[#This Row],[VEHIDCODE]],CONTROL[VEHIDCODE],CONTROL[ENGLISH])</f>
        <v>EMD GP40</v>
      </c>
      <c r="F952" t="s">
        <v>757</v>
      </c>
      <c r="G952" s="40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17</v>
      </c>
      <c r="J952">
        <v>0</v>
      </c>
      <c r="K952">
        <v>8</v>
      </c>
      <c r="L952">
        <v>0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3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0">
        <v>410</v>
      </c>
      <c r="AA952" s="20">
        <f>IFERROR(PROPERTIES[[#This Row],[TE_STARTING_KN]]/(PROPERTIES[[#This Row],[WEIGHT]]*9.81),0)</f>
        <v>0.26121304791029559</v>
      </c>
      <c r="AB952" s="20">
        <v>0</v>
      </c>
      <c r="AC952" s="16">
        <f>ROUND(IF(IFERROR(PROPERTIES[[#This Row],[TE_COEFFICIENT_CALC]],0)=0,PROPERTIES[[#This Row],[TE_COEFFICIENT_MANUAL]],PROPERTIES[[#This Row],[TE_COEFFICIENT_CALC]]),3)</f>
        <v>0.26100000000000001</v>
      </c>
      <c r="AD952" s="27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6">
        <v>0</v>
      </c>
      <c r="AF952" s="6">
        <v>0</v>
      </c>
      <c r="AG952" t="s">
        <v>240</v>
      </c>
      <c r="AH952" t="s">
        <v>233</v>
      </c>
      <c r="AI952" t="s">
        <v>229</v>
      </c>
      <c r="AJ952" s="2" t="s">
        <v>229</v>
      </c>
      <c r="AK952" s="2" t="s">
        <v>244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44" t="b">
        <v>0</v>
      </c>
      <c r="AP952" s="48" t="b">
        <v>0</v>
      </c>
      <c r="AQ952" s="48" t="b">
        <v>0</v>
      </c>
      <c r="AR952" s="48">
        <v>0</v>
      </c>
      <c r="AS952" s="48" t="b">
        <v>0</v>
      </c>
      <c r="AT952" s="7" t="b">
        <v>0</v>
      </c>
      <c r="AU952" s="40" t="str" cm="1">
        <f t="array" ref="AU952">_xlfn.XLOOKUP(PROPERTIES[[#This Row],[VEHIDCODE]],GRAPHICS_PROPERTIES[VEHIDCODE],GRAPHICS_PROPERTIES[TEMPLATE_ID]&amp;GRAPHICS_PROPERTIES[TEMPLATE_AMENDMENT_CODE])</f>
        <v>TPL_01A</v>
      </c>
    </row>
    <row r="953" spans="1:47" x14ac:dyDescent="0.35">
      <c r="A953" s="2" t="s">
        <v>3384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0" t="str">
        <f>_xlfn.XLOOKUP(PROPERTIES[[#This Row],[VEHIDCODE]],CONTROL[VEHIDCODE],CONTROL[ENGLISH])</f>
        <v>EMD SD70</v>
      </c>
      <c r="F953" t="s">
        <v>757</v>
      </c>
      <c r="G953" s="40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17</v>
      </c>
      <c r="J953">
        <v>0</v>
      </c>
      <c r="K953">
        <v>8</v>
      </c>
      <c r="L953">
        <v>0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3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0">
        <v>800</v>
      </c>
      <c r="AA953" s="20">
        <f>IFERROR(PROPERTIES[[#This Row],[TE_STARTING_KN]]/(PROPERTIES[[#This Row],[WEIGHT]]*9.81),0)</f>
        <v>0.45814291768317122</v>
      </c>
      <c r="AB953" s="20">
        <v>0</v>
      </c>
      <c r="AC953" s="16">
        <f>ROUND(IF(IFERROR(PROPERTIES[[#This Row],[TE_COEFFICIENT_CALC]],0)=0,PROPERTIES[[#This Row],[TE_COEFFICIENT_MANUAL]],PROPERTIES[[#This Row],[TE_COEFFICIENT_CALC]]),3)</f>
        <v>0.45800000000000002</v>
      </c>
      <c r="AD953" s="27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6">
        <v>0</v>
      </c>
      <c r="AF953" s="6">
        <v>0</v>
      </c>
      <c r="AG953" t="s">
        <v>240</v>
      </c>
      <c r="AH953" t="s">
        <v>233</v>
      </c>
      <c r="AI953" t="s">
        <v>233</v>
      </c>
      <c r="AJ953" s="2" t="s">
        <v>229</v>
      </c>
      <c r="AK953" s="2" t="s">
        <v>244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44" t="b">
        <v>0</v>
      </c>
      <c r="AP953" s="48" t="b">
        <v>0</v>
      </c>
      <c r="AQ953" s="48" t="b">
        <v>0</v>
      </c>
      <c r="AR953" s="48">
        <v>0</v>
      </c>
      <c r="AS953" s="48" t="b">
        <v>0</v>
      </c>
      <c r="AT953" s="7" t="b">
        <v>0</v>
      </c>
      <c r="AU953" s="40" t="str" cm="1">
        <f t="array" ref="AU953">_xlfn.XLOOKUP(PROPERTIES[[#This Row],[VEHIDCODE]],GRAPHICS_PROPERTIES[VEHIDCODE],GRAPHICS_PROPERTIES[TEMPLATE_ID]&amp;GRAPHICS_PROPERTIES[TEMPLATE_AMENDMENT_CODE])</f>
        <v>TPL_01A</v>
      </c>
    </row>
    <row r="954" spans="1:47" x14ac:dyDescent="0.35">
      <c r="A954" s="2" t="s">
        <v>3385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0" t="str">
        <f>_xlfn.XLOOKUP(PROPERTIES[[#This Row],[VEHIDCODE]],CONTROL[VEHIDCODE],CONTROL[ENGLISH])</f>
        <v>GE C30-7 'Dash 7'</v>
      </c>
      <c r="F954" t="s">
        <v>683</v>
      </c>
      <c r="G954" s="40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17</v>
      </c>
      <c r="J954">
        <v>0</v>
      </c>
      <c r="K954">
        <v>8</v>
      </c>
      <c r="L954">
        <v>0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3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0">
        <v>407</v>
      </c>
      <c r="AA954" s="20">
        <f>IFERROR(PROPERTIES[[#This Row],[TE_STARTING_KN]]/(PROPERTIES[[#This Row],[WEIGHT]]*9.81),0)</f>
        <v>0.24992938113309507</v>
      </c>
      <c r="AB954" s="20">
        <v>0</v>
      </c>
      <c r="AC954" s="16">
        <f>ROUND(IF(IFERROR(PROPERTIES[[#This Row],[TE_COEFFICIENT_CALC]],0)=0,PROPERTIES[[#This Row],[TE_COEFFICIENT_MANUAL]],PROPERTIES[[#This Row],[TE_COEFFICIENT_CALC]]),3)</f>
        <v>0.25</v>
      </c>
      <c r="AD954" s="27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6">
        <v>0</v>
      </c>
      <c r="AF954" s="6">
        <v>0</v>
      </c>
      <c r="AG954" t="s">
        <v>240</v>
      </c>
      <c r="AH954" t="s">
        <v>234</v>
      </c>
      <c r="AI954" t="s">
        <v>238</v>
      </c>
      <c r="AJ954" s="2" t="s">
        <v>229</v>
      </c>
      <c r="AK954" s="2" t="s">
        <v>244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44" t="b">
        <v>0</v>
      </c>
      <c r="AP954" s="48" t="b">
        <v>0</v>
      </c>
      <c r="AQ954" s="48" t="b">
        <v>0</v>
      </c>
      <c r="AR954" s="48">
        <v>0</v>
      </c>
      <c r="AS954" s="48" t="b">
        <v>0</v>
      </c>
      <c r="AT954" s="7" t="b">
        <v>0</v>
      </c>
      <c r="AU954" s="40" t="str" cm="1">
        <f t="array" ref="AU954">_xlfn.XLOOKUP(PROPERTIES[[#This Row],[VEHIDCODE]],GRAPHICS_PROPERTIES[VEHIDCODE],GRAPHICS_PROPERTIES[TEMPLATE_ID]&amp;GRAPHICS_PROPERTIES[TEMPLATE_AMENDMENT_CODE])</f>
        <v>TPL_01A</v>
      </c>
    </row>
    <row r="955" spans="1:47" x14ac:dyDescent="0.35">
      <c r="A955" s="2" t="s">
        <v>3386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0" t="str">
        <f>_xlfn.XLOOKUP(PROPERTIES[[#This Row],[VEHIDCODE]],CONTROL[VEHIDCODE],CONTROL[ENGLISH])</f>
        <v>GE C40-8 'Dash-8'</v>
      </c>
      <c r="F955" t="s">
        <v>558</v>
      </c>
      <c r="G955" s="40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17</v>
      </c>
      <c r="J955">
        <v>0</v>
      </c>
      <c r="K955">
        <v>8</v>
      </c>
      <c r="L955">
        <v>0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3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0">
        <v>400</v>
      </c>
      <c r="AA955" s="20">
        <f>IFERROR(PROPERTIES[[#This Row],[TE_STARTING_KN]]/(PROPERTIES[[#This Row],[WEIGHT]]*9.81),0)</f>
        <v>0.22958738555068831</v>
      </c>
      <c r="AB955" s="20">
        <v>0</v>
      </c>
      <c r="AC955" s="16">
        <f>ROUND(IF(IFERROR(PROPERTIES[[#This Row],[TE_COEFFICIENT_CALC]],0)=0,PROPERTIES[[#This Row],[TE_COEFFICIENT_MANUAL]],PROPERTIES[[#This Row],[TE_COEFFICIENT_CALC]]),3)</f>
        <v>0.23</v>
      </c>
      <c r="AD955" s="27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6">
        <v>0</v>
      </c>
      <c r="AF955" s="6">
        <v>0</v>
      </c>
      <c r="AG955" t="s">
        <v>240</v>
      </c>
      <c r="AH955" t="s">
        <v>229</v>
      </c>
      <c r="AI955" t="s">
        <v>229</v>
      </c>
      <c r="AJ955" s="2" t="s">
        <v>229</v>
      </c>
      <c r="AK955" s="2" t="s">
        <v>244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44" t="b">
        <v>0</v>
      </c>
      <c r="AP955" s="48" t="b">
        <v>0</v>
      </c>
      <c r="AQ955" s="48" t="b">
        <v>0</v>
      </c>
      <c r="AR955" s="48">
        <v>0</v>
      </c>
      <c r="AS955" s="48" t="b">
        <v>0</v>
      </c>
      <c r="AT955" s="7" t="b">
        <v>0</v>
      </c>
      <c r="AU955" s="40" t="str" cm="1">
        <f t="array" ref="AU955">_xlfn.XLOOKUP(PROPERTIES[[#This Row],[VEHIDCODE]],GRAPHICS_PROPERTIES[VEHIDCODE],GRAPHICS_PROPERTIES[TEMPLATE_ID]&amp;GRAPHICS_PROPERTIES[TEMPLATE_AMENDMENT_CODE])</f>
        <v>TPL_01A</v>
      </c>
    </row>
    <row r="956" spans="1:47" x14ac:dyDescent="0.35">
      <c r="A956" s="2" t="s">
        <v>3387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0" t="str">
        <f>_xlfn.XLOOKUP(PROPERTIES[[#This Row],[VEHIDCODE]],CONTROL[VEHIDCODE],CONTROL[ENGLISH])</f>
        <v>GE C44-9W 'Dash 9'</v>
      </c>
      <c r="F956" t="s">
        <v>565</v>
      </c>
      <c r="G956" s="40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17</v>
      </c>
      <c r="J956">
        <v>0</v>
      </c>
      <c r="K956">
        <v>8</v>
      </c>
      <c r="L956">
        <v>0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3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0">
        <v>640</v>
      </c>
      <c r="AA956" s="20">
        <f>IFERROR(PROPERTIES[[#This Row],[TE_STARTING_KN]]/(PROPERTIES[[#This Row],[WEIGHT]]*9.81),0)</f>
        <v>0.3380287641351481</v>
      </c>
      <c r="AB956" s="20">
        <v>0</v>
      </c>
      <c r="AC956" s="16">
        <f>ROUND(IF(IFERROR(PROPERTIES[[#This Row],[TE_COEFFICIENT_CALC]],0)=0,PROPERTIES[[#This Row],[TE_COEFFICIENT_MANUAL]],PROPERTIES[[#This Row],[TE_COEFFICIENT_CALC]]),3)</f>
        <v>0.33800000000000002</v>
      </c>
      <c r="AD956" s="27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6">
        <v>0</v>
      </c>
      <c r="AF956" s="6">
        <v>0</v>
      </c>
      <c r="AG956" t="s">
        <v>240</v>
      </c>
      <c r="AH956" t="s">
        <v>232</v>
      </c>
      <c r="AI956" t="s">
        <v>229</v>
      </c>
      <c r="AJ956" s="2" t="s">
        <v>229</v>
      </c>
      <c r="AK956" s="2" t="s">
        <v>244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44" t="b">
        <v>0</v>
      </c>
      <c r="AP956" s="48" t="b">
        <v>0</v>
      </c>
      <c r="AQ956" s="48" t="b">
        <v>0</v>
      </c>
      <c r="AR956" s="48">
        <v>0</v>
      </c>
      <c r="AS956" s="48" t="b">
        <v>0</v>
      </c>
      <c r="AT956" s="7" t="b">
        <v>0</v>
      </c>
      <c r="AU956" s="40" t="str" cm="1">
        <f t="array" ref="AU956">_xlfn.XLOOKUP(PROPERTIES[[#This Row],[VEHIDCODE]],GRAPHICS_PROPERTIES[VEHIDCODE],GRAPHICS_PROPERTIES[TEMPLATE_ID]&amp;GRAPHICS_PROPERTIES[TEMPLATE_AMENDMENT_CODE])</f>
        <v>TPL_01A</v>
      </c>
    </row>
    <row r="957" spans="1:47" x14ac:dyDescent="0.35">
      <c r="A957" s="2" t="s">
        <v>3477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0" t="str">
        <f>_xlfn.XLOOKUP(PROPERTIES[[#This Row],[VEHIDCODE]],CONTROL[VEHIDCODE],CONTROL[ENGLISH])</f>
        <v>EMD GP40</v>
      </c>
      <c r="F957" t="s">
        <v>757</v>
      </c>
      <c r="G957" s="40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17</v>
      </c>
      <c r="J957">
        <v>0</v>
      </c>
      <c r="K957">
        <v>7</v>
      </c>
      <c r="L957">
        <v>0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3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0">
        <v>278</v>
      </c>
      <c r="AA957" s="20">
        <f>IFERROR(PROPERTIES[[#This Row],[TE_STARTING_KN]]/(PROPERTIES[[#This Row],[WEIGHT]]*9.81),0)</f>
        <v>0.23813806868313073</v>
      </c>
      <c r="AB957" s="20">
        <v>0</v>
      </c>
      <c r="AC957" s="16">
        <f>ROUND(IF(IFERROR(PROPERTIES[[#This Row],[TE_COEFFICIENT_CALC]],0)=0,PROPERTIES[[#This Row],[TE_COEFFICIENT_MANUAL]],PROPERTIES[[#This Row],[TE_COEFFICIENT_CALC]]),3)</f>
        <v>0.23799999999999999</v>
      </c>
      <c r="AD957" s="27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6">
        <v>0</v>
      </c>
      <c r="AF957" s="6">
        <v>0</v>
      </c>
      <c r="AG957" t="s">
        <v>240</v>
      </c>
      <c r="AH957" t="s">
        <v>229</v>
      </c>
      <c r="AI957" t="s">
        <v>229</v>
      </c>
      <c r="AJ957" s="2" t="s">
        <v>229</v>
      </c>
      <c r="AK957" s="2" t="s">
        <v>244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44" t="b">
        <v>0</v>
      </c>
      <c r="AP957" s="48" t="b">
        <v>0</v>
      </c>
      <c r="AQ957" s="48" t="b">
        <v>1</v>
      </c>
      <c r="AR957" s="48">
        <v>0</v>
      </c>
      <c r="AS957" s="48" t="b">
        <v>0</v>
      </c>
      <c r="AT957" s="7" t="b">
        <v>1</v>
      </c>
      <c r="AU957" s="40" t="str" cm="1">
        <f t="array" ref="AU957">_xlfn.XLOOKUP(PROPERTIES[[#This Row],[VEHIDCODE]],GRAPHICS_PROPERTIES[VEHIDCODE],GRAPHICS_PROPERTIES[TEMPLATE_ID]&amp;GRAPHICS_PROPERTIES[TEMPLATE_AMENDMENT_CODE])</f>
        <v>TPL_01A</v>
      </c>
    </row>
    <row r="958" spans="1:47" x14ac:dyDescent="0.35">
      <c r="A958" s="2" t="s">
        <v>3388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0" t="str">
        <f>_xlfn.XLOOKUP(PROPERTIES[[#This Row],[VEHIDCODE]],CONTROL[VEHIDCODE],CONTROL[ENGLISH])</f>
        <v>Kitson 2-2-2 3166-3171</v>
      </c>
      <c r="F958" t="s">
        <v>592</v>
      </c>
      <c r="G958" s="40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17</v>
      </c>
      <c r="J958">
        <v>0</v>
      </c>
      <c r="K958">
        <v>4</v>
      </c>
      <c r="L958">
        <v>0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3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0">
        <v>47.2</v>
      </c>
      <c r="AA958" s="19">
        <f>IFERROR(PROPERTIES[[#This Row],[TE_STARTING_KN]]/(PROPERTIES[[#This Row],[WEIGHT]]*9.81),0)</f>
        <v>7.4595611186180855E-2</v>
      </c>
      <c r="AB958" s="19">
        <v>0</v>
      </c>
      <c r="AC958" s="16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6">
        <v>0</v>
      </c>
      <c r="AF958" s="6">
        <v>3</v>
      </c>
      <c r="AG958" t="s">
        <v>233</v>
      </c>
      <c r="AH958" t="s">
        <v>229</v>
      </c>
      <c r="AI958" t="s">
        <v>229</v>
      </c>
      <c r="AJ958" s="2" t="s">
        <v>229</v>
      </c>
      <c r="AK958" s="2" t="s">
        <v>244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44" t="b">
        <v>0</v>
      </c>
      <c r="AP958" s="48" t="b">
        <v>0</v>
      </c>
      <c r="AQ958" s="48" t="b">
        <v>0</v>
      </c>
      <c r="AR958" s="48">
        <v>0</v>
      </c>
      <c r="AS958" s="48" t="b">
        <v>0</v>
      </c>
      <c r="AT958" s="7" t="b">
        <v>0</v>
      </c>
      <c r="AU958" s="40" t="str" cm="1">
        <f t="array" ref="AU958">_xlfn.XLOOKUP(PROPERTIES[[#This Row],[VEHIDCODE]],GRAPHICS_PROPERTIES[VEHIDCODE],GRAPHICS_PROPERTIES[TEMPLATE_ID]&amp;GRAPHICS_PROPERTIES[TEMPLATE_AMENDMENT_CODE])</f>
        <v>TPL_03A</v>
      </c>
    </row>
    <row r="959" spans="1:47" x14ac:dyDescent="0.35">
      <c r="A959" t="s">
        <v>3389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0" t="str">
        <f>_xlfn.XLOOKUP(PROPERTIES[[#This Row],[VEHIDCODE]],CONTROL[VEHIDCODE],CONTROL[ENGLISH])</f>
        <v>Burnham 2-6-0 15857-15871</v>
      </c>
      <c r="F959" t="s">
        <v>592</v>
      </c>
      <c r="G959" s="40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17</v>
      </c>
      <c r="J959">
        <v>0</v>
      </c>
      <c r="K959">
        <v>5</v>
      </c>
      <c r="L959">
        <v>0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3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0">
        <v>80</v>
      </c>
      <c r="AA959" s="19">
        <f>IFERROR(PROPERTIES[[#This Row],[TE_STARTING_KN]]/(PROPERTIES[[#This Row],[WEIGHT]]*9.81),0)</f>
        <v>0.12702404882804436</v>
      </c>
      <c r="AB959" s="19">
        <v>0</v>
      </c>
      <c r="AC959" s="16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6">
        <v>0</v>
      </c>
      <c r="AF959" s="6">
        <v>3</v>
      </c>
      <c r="AG959" t="s">
        <v>233</v>
      </c>
      <c r="AH959" t="s">
        <v>229</v>
      </c>
      <c r="AI959" t="s">
        <v>229</v>
      </c>
      <c r="AJ959" s="2" t="s">
        <v>229</v>
      </c>
      <c r="AK959" s="2" t="s">
        <v>244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44" t="b">
        <v>0</v>
      </c>
      <c r="AP959" s="48" t="b">
        <v>0</v>
      </c>
      <c r="AQ959" s="48" t="b">
        <v>0</v>
      </c>
      <c r="AR959" s="48">
        <v>0</v>
      </c>
      <c r="AS959" s="48" t="b">
        <v>0</v>
      </c>
      <c r="AT959" s="7" t="b">
        <v>0</v>
      </c>
      <c r="AU959" s="40" t="str" cm="1">
        <f t="array" ref="AU959">_xlfn.XLOOKUP(PROPERTIES[[#This Row],[VEHIDCODE]],GRAPHICS_PROPERTIES[VEHIDCODE],GRAPHICS_PROPERTIES[TEMPLATE_ID]&amp;GRAPHICS_PROPERTIES[TEMPLATE_AMENDMENT_CODE])</f>
        <v>TPL_03A</v>
      </c>
    </row>
    <row r="960" spans="1:47" x14ac:dyDescent="0.35">
      <c r="A960" t="s">
        <v>3390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0" t="str">
        <f>_xlfn.XLOOKUP(PROPERTIES[[#This Row],[VEHIDCODE]],CONTROL[VEHIDCODE],CONTROL[ENGLISH])</f>
        <v>SA Franco-Belge 0-6-0 'Class 4'</v>
      </c>
      <c r="F960" t="s">
        <v>592</v>
      </c>
      <c r="G960" s="40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17</v>
      </c>
      <c r="J960">
        <v>0</v>
      </c>
      <c r="K960">
        <v>5</v>
      </c>
      <c r="L960">
        <v>0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3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0">
        <v>66.13</v>
      </c>
      <c r="AA960" s="19">
        <f>IFERROR(PROPERTIES[[#This Row],[TE_STARTING_KN]]/(PROPERTIES[[#This Row],[WEIGHT]]*9.81),0)</f>
        <v>0.10323247366112337</v>
      </c>
      <c r="AB960" s="19">
        <v>0</v>
      </c>
      <c r="AC960" s="16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6">
        <v>0</v>
      </c>
      <c r="AF960" s="6">
        <v>3</v>
      </c>
      <c r="AG960" t="s">
        <v>233</v>
      </c>
      <c r="AH960" t="s">
        <v>229</v>
      </c>
      <c r="AI960" t="s">
        <v>229</v>
      </c>
      <c r="AJ960" s="2" t="s">
        <v>229</v>
      </c>
      <c r="AK960" s="7" t="s">
        <v>244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44" t="b">
        <v>0</v>
      </c>
      <c r="AP960" s="48" t="b">
        <v>0</v>
      </c>
      <c r="AQ960" s="48" t="b">
        <v>0</v>
      </c>
      <c r="AR960" s="48">
        <v>0</v>
      </c>
      <c r="AS960" s="48" t="b">
        <v>0</v>
      </c>
      <c r="AT960" s="7" t="b">
        <v>0</v>
      </c>
      <c r="AU960" s="40" t="str" cm="1">
        <f t="array" ref="AU960">_xlfn.XLOOKUP(PROPERTIES[[#This Row],[VEHIDCODE]],GRAPHICS_PROPERTIES[VEHIDCODE],GRAPHICS_PROPERTIES[TEMPLATE_ID]&amp;GRAPHICS_PROPERTIES[TEMPLATE_AMENDMENT_CODE])</f>
        <v>TPL_03C</v>
      </c>
    </row>
    <row r="961" spans="1:47" x14ac:dyDescent="0.35">
      <c r="A961" s="2" t="s">
        <v>3391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0" t="str">
        <f>_xlfn.XLOOKUP(PROPERTIES[[#This Row],[VEHIDCODE]],CONTROL[VEHIDCODE],CONTROL[ENGLISH])</f>
        <v>ACME Corp. Pegasus</v>
      </c>
      <c r="F961" t="s">
        <v>1028</v>
      </c>
      <c r="G961" s="40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17</v>
      </c>
      <c r="J961">
        <v>0</v>
      </c>
      <c r="K961">
        <v>7</v>
      </c>
      <c r="L961">
        <v>0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3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0">
        <v>800</v>
      </c>
      <c r="AA961" s="20">
        <f>IFERROR(PROPERTIES[[#This Row],[TE_STARTING_KN]]/(PROPERTIES[[#This Row],[WEIGHT]]*9.81),0)</f>
        <v>0.62730337959695759</v>
      </c>
      <c r="AB961" s="20">
        <v>0</v>
      </c>
      <c r="AC961" s="16">
        <f>ROUND(IF(IFERROR(PROPERTIES[[#This Row],[TE_COEFFICIENT_CALC]],0)=0,PROPERTIES[[#This Row],[TE_COEFFICIENT_MANUAL]],PROPERTIES[[#This Row],[TE_COEFFICIENT_CALC]]),3)</f>
        <v>0.627</v>
      </c>
      <c r="AD961" s="27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6">
        <v>0</v>
      </c>
      <c r="AF961" s="6">
        <v>0</v>
      </c>
      <c r="AG961" t="s">
        <v>241</v>
      </c>
      <c r="AH961" t="s">
        <v>229</v>
      </c>
      <c r="AI961" t="s">
        <v>229</v>
      </c>
      <c r="AJ961" s="2" t="s">
        <v>229</v>
      </c>
      <c r="AK961" s="7" t="s">
        <v>245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44" t="b">
        <v>0</v>
      </c>
      <c r="AP961" s="48" t="b">
        <v>0</v>
      </c>
      <c r="AQ961" s="49" t="b">
        <v>0</v>
      </c>
      <c r="AR961" s="49">
        <v>0</v>
      </c>
      <c r="AS961" s="49" t="b">
        <v>0</v>
      </c>
      <c r="AT961" s="6" t="b">
        <v>0</v>
      </c>
      <c r="AU961" s="40" t="str" cm="1">
        <f t="array" ref="AU961">_xlfn.XLOOKUP(PROPERTIES[[#This Row],[VEHIDCODE]],GRAPHICS_PROPERTIES[VEHIDCODE],GRAPHICS_PROPERTIES[TEMPLATE_ID]&amp;GRAPHICS_PROPERTIES[TEMPLATE_AMENDMENT_CODE])</f>
        <v>TPL_01A</v>
      </c>
    </row>
    <row r="962" spans="1:47" x14ac:dyDescent="0.35">
      <c r="A962" s="2" t="s">
        <v>3392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0" t="str">
        <f>_xlfn.XLOOKUP(PROPERTIES[[#This Row],[VEHIDCODE]],CONTROL[VEHIDCODE],CONTROL[ENGLISH])</f>
        <v>ACME Corp. Chimaera</v>
      </c>
      <c r="F962" t="s">
        <v>1028</v>
      </c>
      <c r="G962" s="40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22</v>
      </c>
      <c r="J962">
        <v>150</v>
      </c>
      <c r="K962">
        <v>7</v>
      </c>
      <c r="L962">
        <v>0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3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0">
        <v>1000</v>
      </c>
      <c r="AA962" s="20">
        <f>IFERROR(PROPERTIES[[#This Row],[TE_STARTING_KN]]/(PROPERTIES[[#This Row],[WEIGHT]]*9.81),0)</f>
        <v>0.67957866123003741</v>
      </c>
      <c r="AB962" s="20">
        <v>0</v>
      </c>
      <c r="AC962" s="16">
        <f>ROUND(IF(IFERROR(PROPERTIES[[#This Row],[TE_COEFFICIENT_CALC]],0)=0,PROPERTIES[[#This Row],[TE_COEFFICIENT_MANUAL]],PROPERTIES[[#This Row],[TE_COEFFICIENT_CALC]]),3)</f>
        <v>0.68</v>
      </c>
      <c r="AD962" s="27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6">
        <v>150</v>
      </c>
      <c r="AF962" s="6">
        <v>7</v>
      </c>
      <c r="AG962" t="s">
        <v>241</v>
      </c>
      <c r="AH962" t="s">
        <v>229</v>
      </c>
      <c r="AI962" t="s">
        <v>229</v>
      </c>
      <c r="AJ962" s="2" t="s">
        <v>229</v>
      </c>
      <c r="AK962" s="7" t="s">
        <v>245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44" t="b">
        <v>0</v>
      </c>
      <c r="AP962" s="48" t="b">
        <v>0</v>
      </c>
      <c r="AQ962" s="49" t="b">
        <v>0</v>
      </c>
      <c r="AR962" s="49">
        <v>0</v>
      </c>
      <c r="AS962" s="49" t="b">
        <v>0</v>
      </c>
      <c r="AT962" s="6" t="b">
        <v>0</v>
      </c>
      <c r="AU962" s="40" t="str" cm="1">
        <f t="array" ref="AU962">_xlfn.XLOOKUP(PROPERTIES[[#This Row],[VEHIDCODE]],GRAPHICS_PROPERTIES[VEHIDCODE],GRAPHICS_PROPERTIES[TEMPLATE_ID]&amp;GRAPHICS_PROPERTIES[TEMPLATE_AMENDMENT_CODE])</f>
        <v>TPL_02A</v>
      </c>
    </row>
    <row r="963" spans="1:47" x14ac:dyDescent="0.35">
      <c r="A963" s="2" t="s">
        <v>1915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0" t="str">
        <f>_xlfn.XLOOKUP(PROPERTIES[[#This Row],[VEHIDCODE]],CONTROL[VEHIDCODE],CONTROL[ENGLISH])</f>
        <v>ACME Corp. Chimaera Passenger Coach</v>
      </c>
      <c r="F963" t="s">
        <v>1028</v>
      </c>
      <c r="G963" s="40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22</v>
      </c>
      <c r="J963">
        <v>150</v>
      </c>
      <c r="K963">
        <v>7</v>
      </c>
      <c r="L963">
        <v>0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3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0">
        <v>0</v>
      </c>
      <c r="AA963" s="20">
        <f>IFERROR(PROPERTIES[[#This Row],[TE_STARTING_KN]]/(PROPERTIES[[#This Row],[WEIGHT]]*9.81),0)</f>
        <v>0</v>
      </c>
      <c r="AB963" s="20">
        <v>0.3</v>
      </c>
      <c r="AC963" s="16">
        <f>ROUND(IF(IFERROR(PROPERTIES[[#This Row],[TE_COEFFICIENT_CALC]],0)=0,PROPERTIES[[#This Row],[TE_COEFFICIENT_MANUAL]],PROPERTIES[[#This Row],[TE_COEFFICIENT_CALC]]),3)</f>
        <v>0.3</v>
      </c>
      <c r="AD963" s="27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6">
        <v>150</v>
      </c>
      <c r="AF963" s="6">
        <v>7</v>
      </c>
      <c r="AG963" t="s">
        <v>241</v>
      </c>
      <c r="AH963" t="s">
        <v>229</v>
      </c>
      <c r="AI963" t="s">
        <v>229</v>
      </c>
      <c r="AJ963" s="2" t="s">
        <v>229</v>
      </c>
      <c r="AK963" s="7" t="s">
        <v>245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44" t="b">
        <v>0</v>
      </c>
      <c r="AP963" s="48" t="b">
        <v>0</v>
      </c>
      <c r="AQ963" s="49" t="b">
        <v>0</v>
      </c>
      <c r="AR963" s="49">
        <v>0</v>
      </c>
      <c r="AS963" s="49" t="b">
        <v>0</v>
      </c>
      <c r="AT963" s="6" t="b">
        <v>0</v>
      </c>
      <c r="AU963" s="40" t="str" cm="1">
        <f t="array" ref="AU963">_xlfn.XLOOKUP(PROPERTIES[[#This Row],[VEHIDCODE]],GRAPHICS_PROPERTIES[VEHIDCODE],GRAPHICS_PROPERTIES[TEMPLATE_ID]&amp;GRAPHICS_PROPERTIES[TEMPLATE_AMENDMENT_CODE])</f>
        <v>TPL_04U</v>
      </c>
    </row>
    <row r="964" spans="1:47" x14ac:dyDescent="0.35">
      <c r="A964" s="2" t="s">
        <v>1916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0" t="str">
        <f>_xlfn.XLOOKUP(PROPERTIES[[#This Row],[VEHIDCODE]],CONTROL[VEHIDCODE],CONTROL[ENGLISH])</f>
        <v>ACME Corp. Chimaera Mail Coach</v>
      </c>
      <c r="F964" t="s">
        <v>1028</v>
      </c>
      <c r="G964" s="40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36</v>
      </c>
      <c r="J964">
        <v>150</v>
      </c>
      <c r="K964">
        <v>7</v>
      </c>
      <c r="L964">
        <v>0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3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0">
        <v>0</v>
      </c>
      <c r="AA964" s="20">
        <f>IFERROR(PROPERTIES[[#This Row],[TE_STARTING_KN]]/(PROPERTIES[[#This Row],[WEIGHT]]*9.81),0)</f>
        <v>0</v>
      </c>
      <c r="AB964" s="20">
        <v>0.3</v>
      </c>
      <c r="AC964" s="16">
        <f>ROUND(IF(IFERROR(PROPERTIES[[#This Row],[TE_COEFFICIENT_CALC]],0)=0,PROPERTIES[[#This Row],[TE_COEFFICIENT_MANUAL]],PROPERTIES[[#This Row],[TE_COEFFICIENT_CALC]]),3)</f>
        <v>0.3</v>
      </c>
      <c r="AD964" s="27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6">
        <v>150</v>
      </c>
      <c r="AF964" s="6">
        <v>7</v>
      </c>
      <c r="AG964" t="s">
        <v>241</v>
      </c>
      <c r="AH964" t="s">
        <v>229</v>
      </c>
      <c r="AI964" t="s">
        <v>229</v>
      </c>
      <c r="AJ964" s="2" t="s">
        <v>229</v>
      </c>
      <c r="AK964" s="7" t="s">
        <v>245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44" t="b">
        <v>0</v>
      </c>
      <c r="AP964" s="48" t="b">
        <v>0</v>
      </c>
      <c r="AQ964" s="49" t="b">
        <v>0</v>
      </c>
      <c r="AR964" s="49">
        <v>0</v>
      </c>
      <c r="AS964" s="49" t="b">
        <v>0</v>
      </c>
      <c r="AT964" s="6" t="b">
        <v>0</v>
      </c>
      <c r="AU964" s="40" t="str" cm="1">
        <f t="array" ref="AU964">_xlfn.XLOOKUP(PROPERTIES[[#This Row],[VEHIDCODE]],GRAPHICS_PROPERTIES[VEHIDCODE],GRAPHICS_PROPERTIES[TEMPLATE_ID]&amp;GRAPHICS_PROPERTIES[TEMPLATE_AMENDMENT_CODE])</f>
        <v>TPL_04U</v>
      </c>
    </row>
    <row r="965" spans="1:47" x14ac:dyDescent="0.35">
      <c r="A965" s="2" t="s">
        <v>3393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0" t="str">
        <f>_xlfn.XLOOKUP(PROPERTIES[[#This Row],[VEHIDCODE]],CONTROL[VEHIDCODE],CONTROL[ENGLISH])</f>
        <v>Sharp/BP 0-6-0 BDZ 142-150</v>
      </c>
      <c r="F965" t="s">
        <v>550</v>
      </c>
      <c r="G965" s="40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17</v>
      </c>
      <c r="J965">
        <v>0</v>
      </c>
      <c r="K965">
        <v>5</v>
      </c>
      <c r="L965">
        <v>0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3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0">
        <v>57.45</v>
      </c>
      <c r="AA965" s="19">
        <f>IFERROR(PROPERTIES[[#This Row],[TE_STARTING_KN]]/(PROPERTIES[[#This Row],[WEIGHT]]*9.81),0)</f>
        <v>0.10238232715296935</v>
      </c>
      <c r="AB965" s="19">
        <v>0</v>
      </c>
      <c r="AC965" s="16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6">
        <v>0</v>
      </c>
      <c r="AF965" s="6">
        <v>3</v>
      </c>
      <c r="AG965" t="s">
        <v>236</v>
      </c>
      <c r="AH965" t="s">
        <v>229</v>
      </c>
      <c r="AI965" t="s">
        <v>229</v>
      </c>
      <c r="AJ965" s="2" t="s">
        <v>229</v>
      </c>
      <c r="AK965" s="2" t="s">
        <v>244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44" t="b">
        <v>0</v>
      </c>
      <c r="AP965" s="48" t="b">
        <v>0</v>
      </c>
      <c r="AQ965" s="48" t="b">
        <v>0</v>
      </c>
      <c r="AR965" s="48">
        <v>0</v>
      </c>
      <c r="AS965" s="48" t="b">
        <v>0</v>
      </c>
      <c r="AT965" s="7" t="b">
        <v>0</v>
      </c>
      <c r="AU965" s="40" t="str" cm="1">
        <f t="array" ref="AU965">_xlfn.XLOOKUP(PROPERTIES[[#This Row],[VEHIDCODE]],GRAPHICS_PROPERTIES[VEHIDCODE],GRAPHICS_PROPERTIES[TEMPLATE_ID]&amp;GRAPHICS_PROPERTIES[TEMPLATE_AMENDMENT_CODE])</f>
        <v>TPL_03A</v>
      </c>
    </row>
    <row r="966" spans="1:47" x14ac:dyDescent="0.35">
      <c r="A966" s="2" t="s">
        <v>3394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0" t="str">
        <f>_xlfn.XLOOKUP(PROPERTIES[[#This Row],[VEHIDCODE]],CONTROL[VEHIDCODE],CONTROL[ENGLISH])</f>
        <v>MAVAG 4-4-2 Class 203</v>
      </c>
      <c r="F966" t="s">
        <v>626</v>
      </c>
      <c r="G966" s="40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17</v>
      </c>
      <c r="J966">
        <v>0</v>
      </c>
      <c r="K966">
        <v>8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3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0">
        <v>76.709999999999994</v>
      </c>
      <c r="AA966" s="19">
        <f>IFERROR(PROPERTIES[[#This Row],[TE_STARTING_KN]]/(PROPERTIES[[#This Row],[WEIGHT]]*9.81),0)</f>
        <v>0.1052432283370582</v>
      </c>
      <c r="AB966" s="19">
        <v>0</v>
      </c>
      <c r="AC966" s="16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6">
        <v>0</v>
      </c>
      <c r="AF966" s="6">
        <v>4</v>
      </c>
      <c r="AG966" t="s">
        <v>236</v>
      </c>
      <c r="AH966" t="s">
        <v>229</v>
      </c>
      <c r="AI966" t="s">
        <v>229</v>
      </c>
      <c r="AJ966" s="2" t="s">
        <v>229</v>
      </c>
      <c r="AK966" s="2" t="s">
        <v>244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44" t="b">
        <v>0</v>
      </c>
      <c r="AP966" s="48" t="b">
        <v>0</v>
      </c>
      <c r="AQ966" s="48" t="b">
        <v>0</v>
      </c>
      <c r="AR966" s="48">
        <v>0</v>
      </c>
      <c r="AS966" s="48" t="b">
        <v>0</v>
      </c>
      <c r="AT966" s="7" t="b">
        <v>0</v>
      </c>
      <c r="AU966" s="40" t="str" cm="1">
        <f t="array" ref="AU966">_xlfn.XLOOKUP(PROPERTIES[[#This Row],[VEHIDCODE]],GRAPHICS_PROPERTIES[VEHIDCODE],GRAPHICS_PROPERTIES[TEMPLATE_ID]&amp;GRAPHICS_PROPERTIES[TEMPLATE_AMENDMENT_CODE])</f>
        <v>TPL_03A</v>
      </c>
    </row>
    <row r="967" spans="1:47" x14ac:dyDescent="0.35">
      <c r="A967" s="2" t="s">
        <v>3395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0" t="str">
        <f>_xlfn.XLOOKUP(PROPERTIES[[#This Row],[VEHIDCODE]],CONTROL[VEHIDCODE],CONTROL[ENGLISH])</f>
        <v>MAVAG 2-6-6-0 Class 601</v>
      </c>
      <c r="F967" t="s">
        <v>626</v>
      </c>
      <c r="G967" s="40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17</v>
      </c>
      <c r="J967">
        <v>0</v>
      </c>
      <c r="K967">
        <v>8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3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0">
        <v>218</v>
      </c>
      <c r="AA967" s="19">
        <f>IFERROR(PROPERTIES[[#This Row],[TE_STARTING_KN]]/(PROPERTIES[[#This Row],[WEIGHT]]*9.81),0)</f>
        <v>0.20865936358894102</v>
      </c>
      <c r="AB967" s="19">
        <v>0</v>
      </c>
      <c r="AC967" s="16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6">
        <v>0</v>
      </c>
      <c r="AF967" s="6">
        <v>5</v>
      </c>
      <c r="AG967" t="s">
        <v>236</v>
      </c>
      <c r="AH967" t="s">
        <v>229</v>
      </c>
      <c r="AI967" t="s">
        <v>229</v>
      </c>
      <c r="AJ967" s="2" t="s">
        <v>229</v>
      </c>
      <c r="AK967" s="2" t="s">
        <v>244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44" t="b">
        <v>0</v>
      </c>
      <c r="AP967" s="48" t="b">
        <v>0</v>
      </c>
      <c r="AQ967" s="48" t="b">
        <v>0</v>
      </c>
      <c r="AR967" s="48">
        <v>0</v>
      </c>
      <c r="AS967" s="48" t="b">
        <v>0</v>
      </c>
      <c r="AT967" s="7" t="b">
        <v>0</v>
      </c>
      <c r="AU967" s="40" t="str" cm="1">
        <f t="array" ref="AU967">_xlfn.XLOOKUP(PROPERTIES[[#This Row],[VEHIDCODE]],GRAPHICS_PROPERTIES[VEHIDCODE],GRAPHICS_PROPERTIES[TEMPLATE_ID]&amp;GRAPHICS_PROPERTIES[TEMPLATE_AMENDMENT_CODE])</f>
        <v>TPL_03A</v>
      </c>
    </row>
    <row r="968" spans="1:47" x14ac:dyDescent="0.35">
      <c r="A968" s="2" t="s">
        <v>3396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0" t="str">
        <f>_xlfn.XLOOKUP(PROPERTIES[[#This Row],[VEHIDCODE]],CONTROL[VEHIDCODE],CONTROL[ENGLISH])</f>
        <v>Ganz-MAVAG VM7 'V40'</v>
      </c>
      <c r="F968" t="s">
        <v>626</v>
      </c>
      <c r="G968" s="40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17</v>
      </c>
      <c r="J968">
        <v>0</v>
      </c>
      <c r="K968">
        <v>6</v>
      </c>
      <c r="L968">
        <v>0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3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0">
        <v>200</v>
      </c>
      <c r="AA968" s="19">
        <f>IFERROR(PROPERTIES[[#This Row],[TE_STARTING_KN]]/(PROPERTIES[[#This Row],[WEIGHT]]*9.81),0)</f>
        <v>0.21688680677554381</v>
      </c>
      <c r="AB968" s="19">
        <v>0</v>
      </c>
      <c r="AC968" s="16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6">
        <v>0</v>
      </c>
      <c r="AF968" s="6">
        <v>0</v>
      </c>
      <c r="AG968" t="s">
        <v>236</v>
      </c>
      <c r="AH968" t="s">
        <v>229</v>
      </c>
      <c r="AI968" t="s">
        <v>229</v>
      </c>
      <c r="AJ968" s="2" t="s">
        <v>229</v>
      </c>
      <c r="AK968" s="2" t="s">
        <v>244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44" t="b">
        <v>0</v>
      </c>
      <c r="AP968" s="48" t="b">
        <v>0</v>
      </c>
      <c r="AQ968" s="48" t="b">
        <v>0</v>
      </c>
      <c r="AR968" s="48">
        <v>0</v>
      </c>
      <c r="AS968" s="48" t="b">
        <v>0</v>
      </c>
      <c r="AT968" s="7" t="b">
        <v>0</v>
      </c>
      <c r="AU968" s="40" t="str" cm="1">
        <f t="array" ref="AU968">_xlfn.XLOOKUP(PROPERTIES[[#This Row],[VEHIDCODE]],GRAPHICS_PROPERTIES[VEHIDCODE],GRAPHICS_PROPERTIES[TEMPLATE_ID]&amp;GRAPHICS_PROPERTIES[TEMPLATE_AMENDMENT_CODE])</f>
        <v>TPL_01A</v>
      </c>
    </row>
    <row r="969" spans="1:47" x14ac:dyDescent="0.35">
      <c r="A969" s="2" t="s">
        <v>3397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0" t="str">
        <f>_xlfn.XLOOKUP(PROPERTIES[[#This Row],[VEHIDCODE]],CONTROL[VEHIDCODE],CONTROL[ENGLISH])</f>
        <v>PESA 111D</v>
      </c>
      <c r="F969" t="s">
        <v>705</v>
      </c>
      <c r="G969" s="40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17</v>
      </c>
      <c r="J969">
        <v>0</v>
      </c>
      <c r="K969">
        <v>8</v>
      </c>
      <c r="L969">
        <v>0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3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0">
        <v>275</v>
      </c>
      <c r="AA969" s="20">
        <f>IFERROR(PROPERTIES[[#This Row],[TE_STARTING_KN]]/(PROPERTIES[[#This Row],[WEIGHT]]*9.81),0)</f>
        <v>0.33372166399689335</v>
      </c>
      <c r="AB969" s="20">
        <v>0</v>
      </c>
      <c r="AC969" s="16">
        <f>ROUND(IF(IFERROR(PROPERTIES[[#This Row],[TE_COEFFICIENT_CALC]],0)=0,PROPERTIES[[#This Row],[TE_COEFFICIENT_MANUAL]],PROPERTIES[[#This Row],[TE_COEFFICIENT_CALC]]),3)</f>
        <v>0.33400000000000002</v>
      </c>
      <c r="AD969" s="27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6">
        <v>0</v>
      </c>
      <c r="AF969" s="6">
        <v>0</v>
      </c>
      <c r="AG969" t="s">
        <v>236</v>
      </c>
      <c r="AH969" t="s">
        <v>229</v>
      </c>
      <c r="AI969" t="s">
        <v>229</v>
      </c>
      <c r="AJ969" s="2" t="s">
        <v>229</v>
      </c>
      <c r="AK969" s="2" t="s">
        <v>244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44" t="b">
        <v>0</v>
      </c>
      <c r="AP969" s="48" t="b">
        <v>0</v>
      </c>
      <c r="AQ969" s="48" t="b">
        <v>0</v>
      </c>
      <c r="AR969" s="48">
        <v>0</v>
      </c>
      <c r="AS969" s="48" t="b">
        <v>0</v>
      </c>
      <c r="AT969" s="7" t="b">
        <v>0</v>
      </c>
      <c r="AU969" s="40" t="str" cm="1">
        <f t="array" ref="AU969">_xlfn.XLOOKUP(PROPERTIES[[#This Row],[VEHIDCODE]],GRAPHICS_PROPERTIES[VEHIDCODE],GRAPHICS_PROPERTIES[TEMPLATE_ID]&amp;GRAPHICS_PROPERTIES[TEMPLATE_AMENDMENT_CODE])</f>
        <v>TPL_01A</v>
      </c>
    </row>
    <row r="970" spans="1:47" x14ac:dyDescent="0.35">
      <c r="A970" s="2" t="s">
        <v>3398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0" t="str">
        <f>_xlfn.XLOOKUP(PROPERTIES[[#This Row],[VEHIDCODE]],CONTROL[VEHIDCODE],CONTROL[ENGLISH])</f>
        <v>Stephenson/BP 2-2-2 LVCI Class 1</v>
      </c>
      <c r="F970" t="s">
        <v>636</v>
      </c>
      <c r="G970" s="40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17</v>
      </c>
      <c r="J970">
        <v>0</v>
      </c>
      <c r="K970">
        <v>7</v>
      </c>
      <c r="L970">
        <v>0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3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0">
        <v>26.31</v>
      </c>
      <c r="AA970" s="19">
        <f>IFERROR(PROPERTIES[[#This Row],[TE_STARTING_KN]]/(PROPERTIES[[#This Row],[WEIGHT]]*9.81),0)</f>
        <v>9.7172361831316736E-2</v>
      </c>
      <c r="AB970" s="19">
        <v>0</v>
      </c>
      <c r="AC970" s="16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6">
        <v>0</v>
      </c>
      <c r="AF970" s="6">
        <v>3</v>
      </c>
      <c r="AG970" t="s">
        <v>231</v>
      </c>
      <c r="AH970" t="s">
        <v>229</v>
      </c>
      <c r="AI970" t="s">
        <v>229</v>
      </c>
      <c r="AJ970" s="2" t="s">
        <v>229</v>
      </c>
      <c r="AK970" s="2" t="s">
        <v>244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44" t="b">
        <v>0</v>
      </c>
      <c r="AP970" s="48" t="b">
        <v>0</v>
      </c>
      <c r="AQ970" s="48" t="b">
        <v>0</v>
      </c>
      <c r="AR970" s="48">
        <v>0</v>
      </c>
      <c r="AS970" s="48" t="b">
        <v>0</v>
      </c>
      <c r="AT970" s="7" t="b">
        <v>0</v>
      </c>
      <c r="AU970" s="40" t="str" cm="1">
        <f t="array" ref="AU970">_xlfn.XLOOKUP(PROPERTIES[[#This Row],[VEHIDCODE]],GRAPHICS_PROPERTIES[VEHIDCODE],GRAPHICS_PROPERTIES[TEMPLATE_ID]&amp;GRAPHICS_PROPERTIES[TEMPLATE_AMENDMENT_CODE])</f>
        <v>TPL_03A</v>
      </c>
    </row>
    <row r="971" spans="1:47" x14ac:dyDescent="0.35">
      <c r="A971" t="s">
        <v>3399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0" t="str">
        <f>_xlfn.XLOOKUP(PROPERTIES[[#This Row],[VEHIDCODE]],CONTROL[VEHIDCODE],CONTROL[ENGLISH])</f>
        <v>Babcock 4-6-2+2-6-4T '462'</v>
      </c>
      <c r="F971" t="s">
        <v>595</v>
      </c>
      <c r="G971" s="40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17</v>
      </c>
      <c r="J971">
        <v>0</v>
      </c>
      <c r="K971">
        <v>4</v>
      </c>
      <c r="L971">
        <v>4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3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0">
        <v>205</v>
      </c>
      <c r="AA971" s="19">
        <f>IFERROR(PROPERTIES[[#This Row],[TE_STARTING_KN]]/(PROPERTIES[[#This Row],[WEIGHT]]*9.81),0)</f>
        <v>0.11641807149205376</v>
      </c>
      <c r="AB971" s="19">
        <v>0</v>
      </c>
      <c r="AC971" s="16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6">
        <v>0</v>
      </c>
      <c r="AF971" s="6">
        <v>4</v>
      </c>
      <c r="AG971" t="s">
        <v>231</v>
      </c>
      <c r="AH971" t="s">
        <v>229</v>
      </c>
      <c r="AI971" t="s">
        <v>229</v>
      </c>
      <c r="AJ971" s="2" t="s">
        <v>229</v>
      </c>
      <c r="AK971" s="2" t="s">
        <v>244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44" t="b">
        <v>0</v>
      </c>
      <c r="AP971" s="48" t="b">
        <v>0</v>
      </c>
      <c r="AQ971" s="48" t="b">
        <v>0</v>
      </c>
      <c r="AR971" s="48">
        <v>0</v>
      </c>
      <c r="AS971" s="48" t="b">
        <v>0</v>
      </c>
      <c r="AT971" s="7" t="b">
        <v>0</v>
      </c>
      <c r="AU971" s="40" t="str" cm="1">
        <f t="array" ref="AU971">_xlfn.XLOOKUP(PROPERTIES[[#This Row],[VEHIDCODE]],GRAPHICS_PROPERTIES[VEHIDCODE],GRAPHICS_PROPERTIES[TEMPLATE_ID]&amp;GRAPHICS_PROPERTIES[TEMPLATE_AMENDMENT_CODE])</f>
        <v>TPL_17C</v>
      </c>
    </row>
    <row r="972" spans="1:47" x14ac:dyDescent="0.35">
      <c r="A972" s="2" t="s">
        <v>3400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0" t="str">
        <f>_xlfn.XLOOKUP(PROPERTIES[[#This Row],[VEHIDCODE]],CONTROL[VEHIDCODE],CONTROL[ENGLISH])</f>
        <v>Koechlin 0-6-0 '030'</v>
      </c>
      <c r="F972" t="s">
        <v>595</v>
      </c>
      <c r="G972" s="40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17</v>
      </c>
      <c r="J972">
        <v>0</v>
      </c>
      <c r="K972">
        <v>5</v>
      </c>
      <c r="L972">
        <v>0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3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0">
        <f>13829*0.0049</f>
        <v>67.762100000000004</v>
      </c>
      <c r="AA972" s="19">
        <f>IFERROR(PROPERTIES[[#This Row],[TE_STARTING_KN]]/(PROPERTIES[[#This Row],[WEIGHT]]*9.81),0)</f>
        <v>0.10964208857175217</v>
      </c>
      <c r="AB972" s="19">
        <v>0</v>
      </c>
      <c r="AC972" s="16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6">
        <v>0</v>
      </c>
      <c r="AF972" s="6">
        <v>3</v>
      </c>
      <c r="AG972" t="s">
        <v>231</v>
      </c>
      <c r="AH972" t="s">
        <v>229</v>
      </c>
      <c r="AI972" t="s">
        <v>229</v>
      </c>
      <c r="AJ972" s="2" t="s">
        <v>229</v>
      </c>
      <c r="AK972" s="2" t="s">
        <v>244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44" t="b">
        <v>0</v>
      </c>
      <c r="AP972" s="48" t="b">
        <v>0</v>
      </c>
      <c r="AQ972" s="48" t="b">
        <v>0</v>
      </c>
      <c r="AR972" s="48">
        <v>0</v>
      </c>
      <c r="AS972" s="48" t="b">
        <v>0</v>
      </c>
      <c r="AT972" s="7" t="b">
        <v>0</v>
      </c>
      <c r="AU972" s="40" t="str" cm="1">
        <f t="array" ref="AU972">_xlfn.XLOOKUP(PROPERTIES[[#This Row],[VEHIDCODE]],GRAPHICS_PROPERTIES[VEHIDCODE],GRAPHICS_PROPERTIES[TEMPLATE_ID]&amp;GRAPHICS_PROPERTIES[TEMPLATE_AMENDMENT_CODE])</f>
        <v>TPL_03C</v>
      </c>
    </row>
    <row r="973" spans="1:47" x14ac:dyDescent="0.35">
      <c r="A973" s="2" t="s">
        <v>3401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0" t="str">
        <f>_xlfn.XLOOKUP(PROPERTIES[[#This Row],[VEHIDCODE]],CONTROL[VEHIDCODE],CONTROL[ENGLISH])</f>
        <v>Hanomag/ALCO 4-8-0 '240'</v>
      </c>
      <c r="F973" t="s">
        <v>595</v>
      </c>
      <c r="G973" s="40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17</v>
      </c>
      <c r="J973">
        <v>0</v>
      </c>
      <c r="K973">
        <v>7</v>
      </c>
      <c r="L973">
        <v>0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3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0">
        <f>30634*0.0049</f>
        <v>150.10659999999999</v>
      </c>
      <c r="AA973" s="19">
        <f>IFERROR(PROPERTIES[[#This Row],[TE_STARTING_KN]]/(PROPERTIES[[#This Row],[WEIGHT]]*9.81),0)</f>
        <v>0.10852047049977949</v>
      </c>
      <c r="AB973" s="19">
        <v>0</v>
      </c>
      <c r="AC973" s="16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6">
        <v>0</v>
      </c>
      <c r="AF973" s="6">
        <v>4</v>
      </c>
      <c r="AG973" t="s">
        <v>231</v>
      </c>
      <c r="AH973" t="s">
        <v>229</v>
      </c>
      <c r="AI973" t="s">
        <v>229</v>
      </c>
      <c r="AJ973" s="2" t="s">
        <v>229</v>
      </c>
      <c r="AK973" s="2" t="s">
        <v>244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44" t="b">
        <v>0</v>
      </c>
      <c r="AP973" s="48" t="b">
        <v>0</v>
      </c>
      <c r="AQ973" s="48" t="b">
        <v>0</v>
      </c>
      <c r="AR973" s="48">
        <v>0</v>
      </c>
      <c r="AS973" s="48" t="b">
        <v>0</v>
      </c>
      <c r="AT973" s="7" t="b">
        <v>0</v>
      </c>
      <c r="AU973" s="40" t="str" cm="1">
        <f t="array" ref="AU973">_xlfn.XLOOKUP(PROPERTIES[[#This Row],[VEHIDCODE]],GRAPHICS_PROPERTIES[VEHIDCODE],GRAPHICS_PROPERTIES[TEMPLATE_ID]&amp;GRAPHICS_PROPERTIES[TEMPLATE_AMENDMENT_CODE])</f>
        <v>TPL_03C</v>
      </c>
    </row>
    <row r="974" spans="1:47" x14ac:dyDescent="0.35">
      <c r="A974" s="2" t="s">
        <v>3402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0" t="str">
        <f>_xlfn.XLOOKUP(PROPERTIES[[#This Row],[VEHIDCODE]],CONTROL[VEHIDCODE],CONTROL[ENGLISH])</f>
        <v>CRRC Sifang SFB-500</v>
      </c>
      <c r="F974" t="s">
        <v>573</v>
      </c>
      <c r="G974" s="40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15</v>
      </c>
      <c r="J974">
        <f>INT(236/2)</f>
        <v>118</v>
      </c>
      <c r="K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3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0">
        <v>120</v>
      </c>
      <c r="AA974" s="20">
        <f>IFERROR(PROPERTIES[[#This Row],[TE_STARTING_KN]]/(PROPERTIES[[#This Row],[WEIGHT]]*9.81),0)</f>
        <v>0.23637518651479561</v>
      </c>
      <c r="AB974" s="20">
        <v>0</v>
      </c>
      <c r="AC974" s="16">
        <f>ROUND(IF(IFERROR(PROPERTIES[[#This Row],[TE_COEFFICIENT_CALC]],0)=0,PROPERTIES[[#This Row],[TE_COEFFICIENT_MANUAL]],PROPERTIES[[#This Row],[TE_COEFFICIENT_CALC]]),3)</f>
        <v>0.23599999999999999</v>
      </c>
      <c r="AD974" s="39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6">
        <v>118</v>
      </c>
      <c r="AF974" s="6">
        <v>8</v>
      </c>
      <c r="AG974" t="s">
        <v>237</v>
      </c>
      <c r="AH974" t="s">
        <v>229</v>
      </c>
      <c r="AI974" t="s">
        <v>229</v>
      </c>
      <c r="AJ974" s="2" t="s">
        <v>229</v>
      </c>
      <c r="AK974" s="2" t="s">
        <v>244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44" t="b">
        <v>0</v>
      </c>
      <c r="AP974" s="48" t="b">
        <v>0</v>
      </c>
      <c r="AQ974" s="48" t="b">
        <v>0</v>
      </c>
      <c r="AR974" s="48">
        <v>0</v>
      </c>
      <c r="AS974" s="48" t="b">
        <v>0</v>
      </c>
      <c r="AT974" s="7" t="b">
        <v>0</v>
      </c>
      <c r="AU974" s="40" t="str" cm="1">
        <f t="array" ref="AU974">_xlfn.XLOOKUP(PROPERTIES[[#This Row],[VEHIDCODE]],GRAPHICS_PROPERTIES[VEHIDCODE],GRAPHICS_PROPERTIES[TEMPLATE_ID]&amp;GRAPHICS_PROPERTIES[TEMPLATE_AMENDMENT_CODE])</f>
        <v>TPL_02A</v>
      </c>
    </row>
    <row r="975" spans="1:47" x14ac:dyDescent="0.35">
      <c r="A975" s="2" t="s">
        <v>3403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0" t="str">
        <f>_xlfn.XLOOKUP(PROPERTIES[[#This Row],[VEHIDCODE]],CONTROL[VEHIDCODE],CONTROL[ENGLISH])</f>
        <v>EMC E3</v>
      </c>
      <c r="F975" t="s">
        <v>757</v>
      </c>
      <c r="G975" s="40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17</v>
      </c>
      <c r="J975">
        <v>0</v>
      </c>
      <c r="K975">
        <v>8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3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0">
        <f>56500*0.0049</f>
        <v>276.84999999999997</v>
      </c>
      <c r="AA975" s="20">
        <f>IFERROR(PROPERTIES[[#This Row],[TE_STARTING_KN]]/(PROPERTIES[[#This Row],[WEIGHT]]*9.81),0)</f>
        <v>0.20158002038735981</v>
      </c>
      <c r="AB975" s="20">
        <v>0</v>
      </c>
      <c r="AC975" s="16">
        <f>ROUND(IF(IFERROR(PROPERTIES[[#This Row],[TE_COEFFICIENT_CALC]],0)=0,PROPERTIES[[#This Row],[TE_COEFFICIENT_MANUAL]],PROPERTIES[[#This Row],[TE_COEFFICIENT_CALC]]),3)</f>
        <v>0.20200000000000001</v>
      </c>
      <c r="AD975" s="39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6">
        <v>0</v>
      </c>
      <c r="AF975" s="6">
        <v>8</v>
      </c>
      <c r="AG975" t="s">
        <v>235</v>
      </c>
      <c r="AH975" t="s">
        <v>229</v>
      </c>
      <c r="AI975" t="s">
        <v>229</v>
      </c>
      <c r="AJ975" s="2" t="s">
        <v>229</v>
      </c>
      <c r="AK975" s="2" t="s">
        <v>244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44" t="b">
        <v>0</v>
      </c>
      <c r="AP975" s="48" t="b">
        <v>0</v>
      </c>
      <c r="AQ975" s="48" t="b">
        <v>0</v>
      </c>
      <c r="AR975" s="48">
        <v>0</v>
      </c>
      <c r="AS975" s="48" t="b">
        <v>0</v>
      </c>
      <c r="AT975" s="7" t="b">
        <v>0</v>
      </c>
      <c r="AU975" s="40" t="str" cm="1">
        <f t="array" ref="AU975">_xlfn.XLOOKUP(PROPERTIES[[#This Row],[VEHIDCODE]],GRAPHICS_PROPERTIES[VEHIDCODE],GRAPHICS_PROPERTIES[TEMPLATE_ID]&amp;GRAPHICS_PROPERTIES[TEMPLATE_AMENDMENT_CODE])</f>
        <v>TPL_03F</v>
      </c>
    </row>
    <row r="976" spans="1:47" x14ac:dyDescent="0.35">
      <c r="A976" s="2" t="s">
        <v>3404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0" t="str">
        <f>_xlfn.XLOOKUP(PROPERTIES[[#This Row],[VEHIDCODE]],CONTROL[VEHIDCODE],CONTROL[ENGLISH])</f>
        <v>EMD FT</v>
      </c>
      <c r="F976" t="s">
        <v>757</v>
      </c>
      <c r="G976" s="40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17</v>
      </c>
      <c r="J976">
        <v>0</v>
      </c>
      <c r="K976">
        <v>6</v>
      </c>
      <c r="L976">
        <v>0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3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0">
        <v>245</v>
      </c>
      <c r="AA976" s="20">
        <f>IFERROR(PROPERTIES[[#This Row],[TE_STARTING_KN]]/(PROPERTIES[[#This Row],[WEIGHT]]*9.81),0)</f>
        <v>0.12302717142957573</v>
      </c>
      <c r="AB976" s="20">
        <v>0</v>
      </c>
      <c r="AC976" s="16">
        <f>ROUND(IF(IFERROR(PROPERTIES[[#This Row],[TE_COEFFICIENT_CALC]],0)=0,PROPERTIES[[#This Row],[TE_COEFFICIENT_MANUAL]],PROPERTIES[[#This Row],[TE_COEFFICIENT_CALC]]),3)</f>
        <v>0.123</v>
      </c>
      <c r="AD976" s="39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6">
        <v>0</v>
      </c>
      <c r="AF976" s="6">
        <v>6</v>
      </c>
      <c r="AG976" t="s">
        <v>235</v>
      </c>
      <c r="AH976" t="s">
        <v>229</v>
      </c>
      <c r="AI976" t="s">
        <v>229</v>
      </c>
      <c r="AJ976" s="2" t="s">
        <v>229</v>
      </c>
      <c r="AK976" s="2" t="s">
        <v>244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44" t="b">
        <v>0</v>
      </c>
      <c r="AP976" s="48" t="b">
        <v>0</v>
      </c>
      <c r="AQ976" s="48" t="b">
        <v>0</v>
      </c>
      <c r="AR976" s="48">
        <v>0</v>
      </c>
      <c r="AS976" s="48" t="b">
        <v>0</v>
      </c>
      <c r="AT976" s="7" t="b">
        <v>0</v>
      </c>
      <c r="AU976" s="40" t="str" cm="1">
        <f t="array" ref="AU976">_xlfn.XLOOKUP(PROPERTIES[[#This Row],[VEHIDCODE]],GRAPHICS_PROPERTIES[VEHIDCODE],GRAPHICS_PROPERTIES[TEMPLATE_ID]&amp;GRAPHICS_PROPERTIES[TEMPLATE_AMENDMENT_CODE])</f>
        <v>TPL_03F</v>
      </c>
    </row>
    <row r="977" spans="1:47" x14ac:dyDescent="0.35">
      <c r="A977" s="2" t="s">
        <v>3405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0" t="str">
        <f>_xlfn.XLOOKUP(PROPERTIES[[#This Row],[VEHIDCODE]],CONTROL[VEHIDCODE],CONTROL[ENGLISH])</f>
        <v>LTZ TE109</v>
      </c>
      <c r="F977" t="s">
        <v>584</v>
      </c>
      <c r="G977" s="40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17</v>
      </c>
      <c r="J977">
        <v>0</v>
      </c>
      <c r="K977">
        <v>8</v>
      </c>
      <c r="L977">
        <v>0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3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0">
        <v>265</v>
      </c>
      <c r="AA977" s="19">
        <f>IFERROR(PROPERTIES[[#This Row],[TE_STARTING_KN]]/(PROPERTIES[[#This Row],[WEIGHT]]*9.81),0)</f>
        <v>0.1929517984563856</v>
      </c>
      <c r="AB977" s="19">
        <v>0</v>
      </c>
      <c r="AC977" s="16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6">
        <v>0</v>
      </c>
      <c r="AF977" s="6">
        <v>0</v>
      </c>
      <c r="AG977" t="s">
        <v>230</v>
      </c>
      <c r="AH977" t="s">
        <v>1948</v>
      </c>
      <c r="AI977" t="s">
        <v>229</v>
      </c>
      <c r="AJ977" s="2" t="s">
        <v>229</v>
      </c>
      <c r="AK977" s="2" t="s">
        <v>244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44" t="b">
        <v>0</v>
      </c>
      <c r="AP977" s="48" t="b">
        <v>0</v>
      </c>
      <c r="AQ977" s="48" t="b">
        <v>0</v>
      </c>
      <c r="AR977" s="48">
        <v>0</v>
      </c>
      <c r="AS977" s="48" t="b">
        <v>0</v>
      </c>
      <c r="AT977" s="7" t="b">
        <v>0</v>
      </c>
      <c r="AU977" s="40" t="str" cm="1">
        <f t="array" ref="AU977">_xlfn.XLOOKUP(PROPERTIES[[#This Row],[VEHIDCODE]],GRAPHICS_PROPERTIES[VEHIDCODE],GRAPHICS_PROPERTIES[TEMPLATE_ID]&amp;GRAPHICS_PROPERTIES[TEMPLATE_AMENDMENT_CODE])</f>
        <v>TPL_01A</v>
      </c>
    </row>
    <row r="978" spans="1:47" x14ac:dyDescent="0.35">
      <c r="A978" s="2" t="s">
        <v>3406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0" t="str">
        <f>_xlfn.XLOOKUP(PROPERTIES[[#This Row],[VEHIDCODE]],CONTROL[VEHIDCODE],CONTROL[ENGLISH])</f>
        <v>Hitachi/Kawasaki Shinkansen Series 100</v>
      </c>
      <c r="F978" t="s">
        <v>640</v>
      </c>
      <c r="G978" s="40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15</v>
      </c>
      <c r="J978">
        <v>75</v>
      </c>
      <c r="K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3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0">
        <v>0</v>
      </c>
      <c r="AA978" s="19">
        <f>IFERROR(PROPERTIES[[#This Row],[TE_STARTING_KN]]/(PROPERTIES[[#This Row],[WEIGHT]]*9.81),0)</f>
        <v>0</v>
      </c>
      <c r="AB978" s="19">
        <v>0.3</v>
      </c>
      <c r="AC978" s="16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6">
        <v>100</v>
      </c>
      <c r="AF978" s="6">
        <v>8</v>
      </c>
      <c r="AG978" t="s">
        <v>238</v>
      </c>
      <c r="AH978" t="s">
        <v>229</v>
      </c>
      <c r="AI978" t="s">
        <v>229</v>
      </c>
      <c r="AJ978" s="2" t="s">
        <v>229</v>
      </c>
      <c r="AK978" s="2" t="s">
        <v>244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44" t="b">
        <v>0</v>
      </c>
      <c r="AP978" s="48" t="b">
        <v>0</v>
      </c>
      <c r="AQ978" s="48" t="b">
        <v>0</v>
      </c>
      <c r="AR978" s="48">
        <v>0</v>
      </c>
      <c r="AS978" s="48" t="b">
        <v>0</v>
      </c>
      <c r="AT978" s="7" t="b">
        <v>0</v>
      </c>
      <c r="AU978" s="40" t="str" cm="1">
        <f t="array" ref="AU978">_xlfn.XLOOKUP(PROPERTIES[[#This Row],[VEHIDCODE]],GRAPHICS_PROPERTIES[VEHIDCODE],GRAPHICS_PROPERTIES[TEMPLATE_ID]&amp;GRAPHICS_PROPERTIES[TEMPLATE_AMENDMENT_CODE])</f>
        <v>TPL_02D</v>
      </c>
    </row>
    <row r="979" spans="1:47" x14ac:dyDescent="0.35">
      <c r="A979" s="2" t="s">
        <v>3407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0" t="str">
        <f>_xlfn.XLOOKUP(PROPERTIES[[#This Row],[VEHIDCODE]],CONTROL[VEHIDCODE],CONTROL[ENGLISH])</f>
        <v>Krauss-Maffei ML 2200</v>
      </c>
      <c r="F979" t="s">
        <v>776</v>
      </c>
      <c r="G979" s="40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17</v>
      </c>
      <c r="J979">
        <v>0</v>
      </c>
      <c r="K979">
        <v>8</v>
      </c>
      <c r="L979">
        <v>0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3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0">
        <v>336</v>
      </c>
      <c r="AA979" s="20">
        <f>IFERROR(PROPERTIES[[#This Row],[TE_STARTING_KN]]/(PROPERTIES[[#This Row],[WEIGHT]]*9.81),0)</f>
        <v>0.3567787971457696</v>
      </c>
      <c r="AB979" s="20">
        <v>0</v>
      </c>
      <c r="AC979" s="16">
        <f>ROUND(IF(IFERROR(PROPERTIES[[#This Row],[TE_COEFFICIENT_CALC]],0)=0,PROPERTIES[[#This Row],[TE_COEFFICIENT_MANUAL]],PROPERTIES[[#This Row],[TE_COEFFICIENT_CALC]]),3)</f>
        <v>0.35699999999999998</v>
      </c>
      <c r="AD979" s="39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6">
        <v>0</v>
      </c>
      <c r="AF979" s="6">
        <v>0</v>
      </c>
      <c r="AG979" t="s">
        <v>236</v>
      </c>
      <c r="AH979" t="s">
        <v>229</v>
      </c>
      <c r="AI979" t="s">
        <v>229</v>
      </c>
      <c r="AJ979" s="2" t="s">
        <v>229</v>
      </c>
      <c r="AK979" s="2" t="s">
        <v>244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44" t="b">
        <v>0</v>
      </c>
      <c r="AP979" s="48" t="b">
        <v>0</v>
      </c>
      <c r="AQ979" s="48" t="b">
        <v>0</v>
      </c>
      <c r="AR979" s="48">
        <v>0</v>
      </c>
      <c r="AS979" s="48" t="b">
        <v>0</v>
      </c>
      <c r="AT979" s="7" t="b">
        <v>0</v>
      </c>
      <c r="AU979" s="40" t="str" cm="1">
        <f t="array" ref="AU979">_xlfn.XLOOKUP(PROPERTIES[[#This Row],[VEHIDCODE]],GRAPHICS_PROPERTIES[VEHIDCODE],GRAPHICS_PROPERTIES[TEMPLATE_ID]&amp;GRAPHICS_PROPERTIES[TEMPLATE_AMENDMENT_CODE])</f>
        <v>TPL_01A</v>
      </c>
    </row>
    <row r="980" spans="1:47" x14ac:dyDescent="0.35">
      <c r="A980" s="2" t="s">
        <v>3408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0" t="str">
        <f>_xlfn.XLOOKUP(PROPERTIES[[#This Row],[VEHIDCODE]],CONTROL[VEHIDCODE],CONTROL[ENGLISH])</f>
        <v>Ganz 'Hargita' M440</v>
      </c>
      <c r="F980" t="s">
        <v>626</v>
      </c>
      <c r="G980" s="40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15</v>
      </c>
      <c r="J980">
        <v>54</v>
      </c>
      <c r="K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3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0">
        <v>38</v>
      </c>
      <c r="AA980" s="19">
        <f>IFERROR(PROPERTIES[[#This Row],[TE_STARTING_KN]]/(PROPERTIES[[#This Row],[WEIGHT]]*9.81),0)</f>
        <v>7.2743631342933573E-2</v>
      </c>
      <c r="AB980" s="19">
        <v>0</v>
      </c>
      <c r="AC980" s="16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6">
        <v>54</v>
      </c>
      <c r="AF980" s="6">
        <v>8</v>
      </c>
      <c r="AG980" t="s">
        <v>236</v>
      </c>
      <c r="AH980" t="s">
        <v>230</v>
      </c>
      <c r="AI980" t="s">
        <v>229</v>
      </c>
      <c r="AJ980" s="2" t="s">
        <v>229</v>
      </c>
      <c r="AK980" s="2" t="s">
        <v>244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44" t="b">
        <v>0</v>
      </c>
      <c r="AP980" s="48" t="b">
        <v>0</v>
      </c>
      <c r="AQ980" s="48" t="b">
        <v>0</v>
      </c>
      <c r="AR980" s="48">
        <v>0</v>
      </c>
      <c r="AS980" s="48" t="b">
        <v>0</v>
      </c>
      <c r="AT980" s="7" t="b">
        <v>0</v>
      </c>
      <c r="AU980" s="40" t="str" cm="1">
        <f t="array" ref="AU980">_xlfn.XLOOKUP(PROPERTIES[[#This Row],[VEHIDCODE]],GRAPHICS_PROPERTIES[VEHIDCODE],GRAPHICS_PROPERTIES[TEMPLATE_ID]&amp;GRAPHICS_PROPERTIES[TEMPLATE_AMENDMENT_CODE])</f>
        <v>TPL_02A</v>
      </c>
    </row>
    <row r="981" spans="1:47" x14ac:dyDescent="0.35">
      <c r="A981" s="2" t="s">
        <v>3409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0" t="str">
        <f>_xlfn.XLOOKUP(PROPERTIES[[#This Row],[VEHIDCODE]],CONTROL[VEHIDCODE],CONTROL[ENGLISH])</f>
        <v>SSW/Krauss E44</v>
      </c>
      <c r="F981" t="s">
        <v>584</v>
      </c>
      <c r="G981" s="40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17</v>
      </c>
      <c r="J981">
        <v>0</v>
      </c>
      <c r="K981">
        <v>8</v>
      </c>
      <c r="L981">
        <v>0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3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0">
        <v>196</v>
      </c>
      <c r="AA981" s="19">
        <f>IFERROR(PROPERTIES[[#This Row],[TE_STARTING_KN]]/(PROPERTIES[[#This Row],[WEIGHT]]*9.81),0)</f>
        <v>0.25614888000209102</v>
      </c>
      <c r="AB981" s="19">
        <v>0</v>
      </c>
      <c r="AC981" s="16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6">
        <v>0</v>
      </c>
      <c r="AF981" s="6">
        <v>0</v>
      </c>
      <c r="AG981" t="s">
        <v>230</v>
      </c>
      <c r="AH981" t="s">
        <v>229</v>
      </c>
      <c r="AI981" t="s">
        <v>229</v>
      </c>
      <c r="AJ981" s="2" t="s">
        <v>229</v>
      </c>
      <c r="AK981" s="2" t="s">
        <v>244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44" t="b">
        <v>0</v>
      </c>
      <c r="AP981" s="48" t="b">
        <v>0</v>
      </c>
      <c r="AQ981" s="48" t="b">
        <v>0</v>
      </c>
      <c r="AR981" s="48">
        <v>0</v>
      </c>
      <c r="AS981" s="48" t="b">
        <v>0</v>
      </c>
      <c r="AT981" s="7" t="b">
        <v>0</v>
      </c>
      <c r="AU981" s="40" t="str" cm="1">
        <f t="array" ref="AU981">_xlfn.XLOOKUP(PROPERTIES[[#This Row],[VEHIDCODE]],GRAPHICS_PROPERTIES[VEHIDCODE],GRAPHICS_PROPERTIES[TEMPLATE_ID]&amp;GRAPHICS_PROPERTIES[TEMPLATE_AMENDMENT_CODE])</f>
        <v>TPL_01A</v>
      </c>
    </row>
    <row r="982" spans="1:47" x14ac:dyDescent="0.35">
      <c r="A982" s="2" t="s">
        <v>3410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0" t="str">
        <f>_xlfn.XLOOKUP(PROPERTIES[[#This Row],[VEHIDCODE]],CONTROL[VEHIDCODE],CONTROL[ENGLISH])</f>
        <v>PESA 111MS</v>
      </c>
      <c r="F982" t="s">
        <v>705</v>
      </c>
      <c r="G982" s="40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17</v>
      </c>
      <c r="J982">
        <v>0</v>
      </c>
      <c r="K982">
        <v>8</v>
      </c>
      <c r="L982">
        <v>0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3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0">
        <v>275</v>
      </c>
      <c r="AA982" s="20">
        <f>IFERROR(PROPERTIES[[#This Row],[TE_STARTING_KN]]/(PROPERTIES[[#This Row],[WEIGHT]]*9.81),0)</f>
        <v>0.34186121677730535</v>
      </c>
      <c r="AB982" s="20">
        <v>0</v>
      </c>
      <c r="AC982" s="16">
        <f>ROUND(IF(IFERROR(PROPERTIES[[#This Row],[TE_COEFFICIENT_CALC]],0)=0,PROPERTIES[[#This Row],[TE_COEFFICIENT_MANUAL]],PROPERTIES[[#This Row],[TE_COEFFICIENT_CALC]]),3)</f>
        <v>0.34200000000000003</v>
      </c>
      <c r="AD982" s="39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6">
        <v>0</v>
      </c>
      <c r="AF982" s="6">
        <v>0</v>
      </c>
      <c r="AG982" t="s">
        <v>236</v>
      </c>
      <c r="AH982" t="s">
        <v>229</v>
      </c>
      <c r="AI982" t="s">
        <v>229</v>
      </c>
      <c r="AJ982" s="2" t="s">
        <v>229</v>
      </c>
      <c r="AK982" s="2" t="s">
        <v>244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44" t="b">
        <v>0</v>
      </c>
      <c r="AP982" s="48" t="b">
        <v>0</v>
      </c>
      <c r="AQ982" s="48" t="b">
        <v>0</v>
      </c>
      <c r="AR982" s="48">
        <v>0</v>
      </c>
      <c r="AS982" s="48" t="b">
        <v>0</v>
      </c>
      <c r="AT982" s="7" t="b">
        <v>0</v>
      </c>
      <c r="AU982" s="40" t="str" cm="1">
        <f t="array" ref="AU982">_xlfn.XLOOKUP(PROPERTIES[[#This Row],[VEHIDCODE]],GRAPHICS_PROPERTIES[VEHIDCODE],GRAPHICS_PROPERTIES[TEMPLATE_ID]&amp;GRAPHICS_PROPERTIES[TEMPLATE_AMENDMENT_CODE])</f>
        <v>TPL_01A</v>
      </c>
    </row>
    <row r="983" spans="1:47" x14ac:dyDescent="0.35">
      <c r="A983" s="2" t="s">
        <v>3411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0" t="str">
        <f>_xlfn.XLOOKUP(PROPERTIES[[#This Row],[VEHIDCODE]],CONTROL[VEHIDCODE],CONTROL[ENGLISH])</f>
        <v>Kolomna VL19</v>
      </c>
      <c r="F983" t="s">
        <v>716</v>
      </c>
      <c r="G983" s="40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17</v>
      </c>
      <c r="J983">
        <v>0</v>
      </c>
      <c r="K983">
        <v>8</v>
      </c>
      <c r="L983">
        <v>0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3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0">
        <v>200</v>
      </c>
      <c r="AA983" s="20">
        <f>IFERROR(PROPERTIES[[#This Row],[TE_STARTING_KN]]/(PROPERTIES[[#This Row],[WEIGHT]]*9.81),0)</f>
        <v>0.17883648979737823</v>
      </c>
      <c r="AB983" s="20">
        <v>0</v>
      </c>
      <c r="AC983" s="16">
        <f>ROUND(IF(IFERROR(PROPERTIES[[#This Row],[TE_COEFFICIENT_CALC]],0)=0,PROPERTIES[[#This Row],[TE_COEFFICIENT_MANUAL]],PROPERTIES[[#This Row],[TE_COEFFICIENT_CALC]]),3)</f>
        <v>0.17899999999999999</v>
      </c>
      <c r="AD983" s="39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6">
        <v>0</v>
      </c>
      <c r="AF983" s="6">
        <v>0</v>
      </c>
      <c r="AG983" t="s">
        <v>1948</v>
      </c>
      <c r="AH983" t="s">
        <v>229</v>
      </c>
      <c r="AI983" t="s">
        <v>229</v>
      </c>
      <c r="AJ983" s="2" t="s">
        <v>229</v>
      </c>
      <c r="AK983" s="2" t="s">
        <v>244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44" t="b">
        <v>0</v>
      </c>
      <c r="AP983" s="48" t="b">
        <v>0</v>
      </c>
      <c r="AQ983" s="48" t="b">
        <v>0</v>
      </c>
      <c r="AR983" s="48">
        <v>0</v>
      </c>
      <c r="AS983" s="48" t="b">
        <v>0</v>
      </c>
      <c r="AT983" s="7" t="b">
        <v>0</v>
      </c>
      <c r="AU983" s="40" t="str" cm="1">
        <f t="array" ref="AU983">_xlfn.XLOOKUP(PROPERTIES[[#This Row],[VEHIDCODE]],GRAPHICS_PROPERTIES[VEHIDCODE],GRAPHICS_PROPERTIES[TEMPLATE_ID]&amp;GRAPHICS_PROPERTIES[TEMPLATE_AMENDMENT_CODE])</f>
        <v>TPL_01A</v>
      </c>
    </row>
    <row r="984" spans="1:47" x14ac:dyDescent="0.35">
      <c r="A984" s="2" t="s">
        <v>3412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0" t="str">
        <f>_xlfn.XLOOKUP(PROPERTIES[[#This Row],[VEHIDCODE]],CONTROL[VEHIDCODE],CONTROL[ENGLISH])</f>
        <v>AEG/Krupp E18</v>
      </c>
      <c r="F984" t="s">
        <v>584</v>
      </c>
      <c r="G984" s="40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17</v>
      </c>
      <c r="J984">
        <v>0</v>
      </c>
      <c r="K984">
        <v>8</v>
      </c>
      <c r="L984">
        <v>0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3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0">
        <v>206</v>
      </c>
      <c r="AA984" s="20">
        <f>IFERROR(PROPERTIES[[#This Row],[TE_STARTING_KN]]/(PROPERTIES[[#This Row],[WEIGHT]]*9.81),0)</f>
        <v>0.19353899200007516</v>
      </c>
      <c r="AB984" s="20">
        <v>0</v>
      </c>
      <c r="AC984" s="16">
        <f>ROUND(IF(IFERROR(PROPERTIES[[#This Row],[TE_COEFFICIENT_CALC]],0)=0,PROPERTIES[[#This Row],[TE_COEFFICIENT_MANUAL]],PROPERTIES[[#This Row],[TE_COEFFICIENT_CALC]]),3)</f>
        <v>0.19400000000000001</v>
      </c>
      <c r="AD984" s="39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6">
        <v>0</v>
      </c>
      <c r="AF984" s="6">
        <v>0</v>
      </c>
      <c r="AG984" t="s">
        <v>230</v>
      </c>
      <c r="AH984" t="s">
        <v>229</v>
      </c>
      <c r="AI984" t="s">
        <v>229</v>
      </c>
      <c r="AJ984" s="2" t="s">
        <v>229</v>
      </c>
      <c r="AK984" s="2" t="s">
        <v>244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44" t="b">
        <v>0</v>
      </c>
      <c r="AP984" s="48" t="b">
        <v>0</v>
      </c>
      <c r="AQ984" s="48" t="b">
        <v>0</v>
      </c>
      <c r="AR984" s="48">
        <v>0</v>
      </c>
      <c r="AS984" s="48" t="b">
        <v>0</v>
      </c>
      <c r="AT984" s="7" t="b">
        <v>0</v>
      </c>
      <c r="AU984" s="40" t="str" cm="1">
        <f t="array" ref="AU984">_xlfn.XLOOKUP(PROPERTIES[[#This Row],[VEHIDCODE]],GRAPHICS_PROPERTIES[VEHIDCODE],GRAPHICS_PROPERTIES[TEMPLATE_ID]&amp;GRAPHICS_PROPERTIES[TEMPLATE_AMENDMENT_CODE])</f>
        <v>TPL_01A</v>
      </c>
    </row>
    <row r="985" spans="1:47" x14ac:dyDescent="0.35">
      <c r="A985" s="2" t="s">
        <v>3413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0" t="str">
        <f>_xlfn.XLOOKUP(PROPERTIES[[#This Row],[VEHIDCODE]],CONTROL[VEHIDCODE],CONTROL[ENGLISH])</f>
        <v>Hitachi-Alstom Zefiro Class 895 'HS2'</v>
      </c>
      <c r="F985" t="s">
        <v>603</v>
      </c>
      <c r="G985" s="40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15</v>
      </c>
      <c r="J985">
        <f>INT(504/7)</f>
        <v>72</v>
      </c>
      <c r="K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3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0">
        <f>370/2</f>
        <v>185</v>
      </c>
      <c r="AA985" s="20">
        <f>IFERROR(PROPERTIES[[#This Row],[TE_STARTING_KN]]/(PROPERTIES[[#This Row],[WEIGHT]]*9.81),0)</f>
        <v>0.30173292558613657</v>
      </c>
      <c r="AB985" s="20">
        <v>0</v>
      </c>
      <c r="AC985" s="16">
        <f>ROUND(IF(IFERROR(PROPERTIES[[#This Row],[TE_COEFFICIENT_CALC]],0)=0,PROPERTIES[[#This Row],[TE_COEFFICIENT_MANUAL]],PROPERTIES[[#This Row],[TE_COEFFICIENT_CALC]]),3)</f>
        <v>0.30199999999999999</v>
      </c>
      <c r="AD985" s="39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6">
        <f>300/4</f>
        <v>75</v>
      </c>
      <c r="AF985" s="6">
        <v>8</v>
      </c>
      <c r="AG985" t="s">
        <v>234</v>
      </c>
      <c r="AH985" t="s">
        <v>229</v>
      </c>
      <c r="AI985" t="s">
        <v>229</v>
      </c>
      <c r="AJ985" s="2" t="s">
        <v>229</v>
      </c>
      <c r="AK985" s="2" t="s">
        <v>244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44" t="b">
        <v>0</v>
      </c>
      <c r="AP985" s="48" t="b">
        <v>0</v>
      </c>
      <c r="AQ985" s="48" t="b">
        <v>0</v>
      </c>
      <c r="AR985" s="48">
        <v>0</v>
      </c>
      <c r="AS985" s="48" t="b">
        <v>0</v>
      </c>
      <c r="AT985" s="7" t="b">
        <v>0</v>
      </c>
      <c r="AU985" s="40" t="str" cm="1">
        <f t="array" ref="AU985">_xlfn.XLOOKUP(PROPERTIES[[#This Row],[VEHIDCODE]],GRAPHICS_PROPERTIES[VEHIDCODE],GRAPHICS_PROPERTIES[TEMPLATE_ID]&amp;GRAPHICS_PROPERTIES[TEMPLATE_AMENDMENT_CODE])</f>
        <v>TPL_02D</v>
      </c>
    </row>
    <row r="986" spans="1:47" x14ac:dyDescent="0.35">
      <c r="A986" s="2" t="s">
        <v>3414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0" t="str">
        <f>_xlfn.XLOOKUP(PROPERTIES[[#This Row],[VEHIDCODE]],CONTROL[VEHIDCODE],CONTROL[ENGLISH])</f>
        <v>EMD JT22CW</v>
      </c>
      <c r="F986" t="s">
        <v>757</v>
      </c>
      <c r="G986" s="40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17</v>
      </c>
      <c r="J986">
        <v>0</v>
      </c>
      <c r="K986">
        <v>8</v>
      </c>
      <c r="L986">
        <v>0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3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0">
        <v>289</v>
      </c>
      <c r="AA986" s="20">
        <f>IFERROR(PROPERTIES[[#This Row],[TE_STARTING_KN]]/(PROPERTIES[[#This Row],[WEIGHT]]*9.81),0)</f>
        <v>0.29459734964322121</v>
      </c>
      <c r="AB986" s="20">
        <v>0</v>
      </c>
      <c r="AC986" s="16">
        <f>ROUND(IF(IFERROR(PROPERTIES[[#This Row],[TE_COEFFICIENT_CALC]],0)=0,PROPERTIES[[#This Row],[TE_COEFFICIENT_MANUAL]],PROPERTIES[[#This Row],[TE_COEFFICIENT_CALC]]),3)</f>
        <v>0.29499999999999998</v>
      </c>
      <c r="AD986" s="39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6">
        <v>0</v>
      </c>
      <c r="AF986" s="6">
        <v>0</v>
      </c>
      <c r="AG986" t="s">
        <v>234</v>
      </c>
      <c r="AH986" t="s">
        <v>236</v>
      </c>
      <c r="AI986" t="s">
        <v>229</v>
      </c>
      <c r="AJ986" s="2" t="s">
        <v>229</v>
      </c>
      <c r="AK986" s="2" t="s">
        <v>244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44" t="b">
        <v>0</v>
      </c>
      <c r="AP986" s="48" t="b">
        <v>0</v>
      </c>
      <c r="AQ986" s="48" t="b">
        <v>0</v>
      </c>
      <c r="AR986" s="48">
        <v>0</v>
      </c>
      <c r="AS986" s="48" t="b">
        <v>0</v>
      </c>
      <c r="AT986" s="7" t="b">
        <v>0</v>
      </c>
      <c r="AU986" s="40" t="str" cm="1">
        <f t="array" ref="AU986">_xlfn.XLOOKUP(PROPERTIES[[#This Row],[VEHIDCODE]],GRAPHICS_PROPERTIES[VEHIDCODE],GRAPHICS_PROPERTIES[TEMPLATE_ID]&amp;GRAPHICS_PROPERTIES[TEMPLATE_AMENDMENT_CODE])</f>
        <v>TPL_01A</v>
      </c>
    </row>
    <row r="987" spans="1:47" x14ac:dyDescent="0.35">
      <c r="A987" s="2" t="s">
        <v>3415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0" t="str">
        <f>_xlfn.XLOOKUP(PROPERTIES[[#This Row],[VEHIDCODE]],CONTROL[VEHIDCODE],CONTROL[ENGLISH])</f>
        <v>RVR DR1A</v>
      </c>
      <c r="F987" t="s">
        <v>659</v>
      </c>
      <c r="G987" s="40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15</v>
      </c>
      <c r="J987">
        <v>68</v>
      </c>
      <c r="K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3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0">
        <v>0</v>
      </c>
      <c r="AA987" s="20">
        <f>IFERROR(PROPERTIES[[#This Row],[TE_STARTING_KN]]/(PROPERTIES[[#This Row],[WEIGHT]]*9.81),0)</f>
        <v>0</v>
      </c>
      <c r="AB987" s="20">
        <v>0.2</v>
      </c>
      <c r="AC987" s="16">
        <f>ROUND(IF(IFERROR(PROPERTIES[[#This Row],[TE_COEFFICIENT_CALC]],0)=0,PROPERTIES[[#This Row],[TE_COEFFICIENT_MANUAL]],PROPERTIES[[#This Row],[TE_COEFFICIENT_CALC]]),3)</f>
        <v>0.2</v>
      </c>
      <c r="AD987" s="39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1951</v>
      </c>
      <c r="AH987" t="s">
        <v>229</v>
      </c>
      <c r="AI987" t="s">
        <v>229</v>
      </c>
      <c r="AJ987" s="2" t="s">
        <v>229</v>
      </c>
      <c r="AK987" s="2" t="s">
        <v>244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44" t="b">
        <v>0</v>
      </c>
      <c r="AP987" s="48" t="b">
        <v>0</v>
      </c>
      <c r="AQ987" s="48" t="b">
        <v>0</v>
      </c>
      <c r="AR987" s="48">
        <v>0</v>
      </c>
      <c r="AS987" s="48" t="b">
        <v>0</v>
      </c>
      <c r="AT987" s="7" t="b">
        <v>0</v>
      </c>
      <c r="AU987" s="40" t="str" cm="1">
        <f t="array" ref="AU987">_xlfn.XLOOKUP(PROPERTIES[[#This Row],[VEHIDCODE]],GRAPHICS_PROPERTIES[VEHIDCODE],GRAPHICS_PROPERTIES[TEMPLATE_ID]&amp;GRAPHICS_PROPERTIES[TEMPLATE_AMENDMENT_CODE])</f>
        <v>TPL_02D</v>
      </c>
    </row>
    <row r="988" spans="1:47" x14ac:dyDescent="0.35">
      <c r="A988" s="2" t="s">
        <v>3416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0" t="str">
        <f>_xlfn.XLOOKUP(PROPERTIES[[#This Row],[VEHIDCODE]],CONTROL[VEHIDCODE],CONTROL[ENGLISH])</f>
        <v>ACME Corp. HS001</v>
      </c>
      <c r="F988" t="s">
        <v>692</v>
      </c>
      <c r="G988" s="40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17</v>
      </c>
      <c r="J988">
        <v>0</v>
      </c>
      <c r="K988">
        <v>8</v>
      </c>
      <c r="L988">
        <v>0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3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0">
        <v>0</v>
      </c>
      <c r="AA988" s="20">
        <f>IFERROR(PROPERTIES[[#This Row],[TE_STARTING_KN]]/(PROPERTIES[[#This Row],[WEIGHT]]*9.81),0)</f>
        <v>0</v>
      </c>
      <c r="AB988" s="20">
        <v>0.38700000000000001</v>
      </c>
      <c r="AC988" s="16">
        <f>ROUND(IF(IFERROR(PROPERTIES[[#This Row],[TE_COEFFICIENT_CALC]],0)=0,PROPERTIES[[#This Row],[TE_COEFFICIENT_MANUAL]],PROPERTIES[[#This Row],[TE_COEFFICIENT_CALC]]),3)</f>
        <v>0.38700000000000001</v>
      </c>
      <c r="AD988" s="39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6">
        <v>0</v>
      </c>
      <c r="AF988" s="6">
        <v>0</v>
      </c>
      <c r="AG988" t="s">
        <v>230</v>
      </c>
      <c r="AH988" t="s">
        <v>229</v>
      </c>
      <c r="AI988" t="s">
        <v>229</v>
      </c>
      <c r="AJ988" s="2" t="s">
        <v>229</v>
      </c>
      <c r="AK988" s="2" t="s">
        <v>245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44" t="b">
        <v>0</v>
      </c>
      <c r="AP988" s="48" t="b">
        <v>0</v>
      </c>
      <c r="AQ988" s="48" t="b">
        <v>0</v>
      </c>
      <c r="AR988" s="48">
        <v>0</v>
      </c>
      <c r="AS988" s="48" t="b">
        <v>0</v>
      </c>
      <c r="AT988" s="7" t="b">
        <v>0</v>
      </c>
      <c r="AU988" s="40" t="str" cm="1">
        <f t="array" ref="AU988">_xlfn.XLOOKUP(PROPERTIES[[#This Row],[VEHIDCODE]],GRAPHICS_PROPERTIES[VEHIDCODE],GRAPHICS_PROPERTIES[TEMPLATE_ID]&amp;GRAPHICS_PROPERTIES[TEMPLATE_AMENDMENT_CODE])</f>
        <v>TPL_01A</v>
      </c>
    </row>
    <row r="989" spans="1:47" x14ac:dyDescent="0.35">
      <c r="A989" s="2" t="s">
        <v>3417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0" t="str">
        <f>_xlfn.XLOOKUP(PROPERTIES[[#This Row],[VEHIDCODE]],CONTROL[VEHIDCODE],CONTROL[ENGLISH])</f>
        <v>ACME Corp. HS002</v>
      </c>
      <c r="F989" t="s">
        <v>692</v>
      </c>
      <c r="G989" s="40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17</v>
      </c>
      <c r="J989">
        <v>0</v>
      </c>
      <c r="K989">
        <v>8</v>
      </c>
      <c r="L989">
        <v>0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3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0">
        <v>0</v>
      </c>
      <c r="AA989" s="20">
        <f>IFERROR(PROPERTIES[[#This Row],[TE_STARTING_KN]]/(PROPERTIES[[#This Row],[WEIGHT]]*9.81),0)</f>
        <v>0</v>
      </c>
      <c r="AB989" s="20">
        <v>0.45800000000000002</v>
      </c>
      <c r="AC989" s="16">
        <f>ROUND(IF(IFERROR(PROPERTIES[[#This Row],[TE_COEFFICIENT_CALC]],0)=0,PROPERTIES[[#This Row],[TE_COEFFICIENT_MANUAL]],PROPERTIES[[#This Row],[TE_COEFFICIENT_CALC]]),3)</f>
        <v>0.45800000000000002</v>
      </c>
      <c r="AD989" s="39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6">
        <v>0</v>
      </c>
      <c r="AF989" s="6">
        <v>0</v>
      </c>
      <c r="AG989" t="s">
        <v>230</v>
      </c>
      <c r="AH989" t="s">
        <v>229</v>
      </c>
      <c r="AI989" t="s">
        <v>229</v>
      </c>
      <c r="AJ989" s="2" t="s">
        <v>229</v>
      </c>
      <c r="AK989" s="2" t="s">
        <v>245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44" t="b">
        <v>0</v>
      </c>
      <c r="AP989" s="48" t="b">
        <v>0</v>
      </c>
      <c r="AQ989" s="48" t="b">
        <v>0</v>
      </c>
      <c r="AR989" s="48">
        <v>0</v>
      </c>
      <c r="AS989" s="48" t="b">
        <v>0</v>
      </c>
      <c r="AT989" s="7" t="b">
        <v>0</v>
      </c>
      <c r="AU989" s="40" t="str" cm="1">
        <f t="array" ref="AU989">_xlfn.XLOOKUP(PROPERTIES[[#This Row],[VEHIDCODE]],GRAPHICS_PROPERTIES[VEHIDCODE],GRAPHICS_PROPERTIES[TEMPLATE_ID]&amp;GRAPHICS_PROPERTIES[TEMPLATE_AMENDMENT_CODE])</f>
        <v>TPL_03D</v>
      </c>
    </row>
    <row r="990" spans="1:47" x14ac:dyDescent="0.35">
      <c r="A990" s="2" t="s">
        <v>3418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0" t="str">
        <f>_xlfn.XLOOKUP(PROPERTIES[[#This Row],[VEHIDCODE]],CONTROL[VEHIDCODE],CONTROL[ENGLISH])</f>
        <v>ACME Corp. V200D DMU</v>
      </c>
      <c r="F990" t="s">
        <v>692</v>
      </c>
      <c r="G990" s="40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22</v>
      </c>
      <c r="J990">
        <v>60</v>
      </c>
      <c r="K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3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0">
        <v>0</v>
      </c>
      <c r="AA990" s="20">
        <f>IFERROR(PROPERTIES[[#This Row],[TE_STARTING_KN]]/(PROPERTIES[[#This Row],[WEIGHT]]*9.81),0)</f>
        <v>0</v>
      </c>
      <c r="AB990" s="20">
        <v>0.2</v>
      </c>
      <c r="AC990" s="16">
        <f>ROUND(IF(IFERROR(PROPERTIES[[#This Row],[TE_COEFFICIENT_CALC]],0)=0,PROPERTIES[[#This Row],[TE_COEFFICIENT_MANUAL]],PROPERTIES[[#This Row],[TE_COEFFICIENT_CALC]]),3)</f>
        <v>0.2</v>
      </c>
      <c r="AD990" s="39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6">
        <v>240</v>
      </c>
      <c r="AF990" s="6">
        <v>8</v>
      </c>
      <c r="AG990" t="s">
        <v>230</v>
      </c>
      <c r="AH990" t="s">
        <v>229</v>
      </c>
      <c r="AI990" t="s">
        <v>229</v>
      </c>
      <c r="AJ990" s="2" t="s">
        <v>229</v>
      </c>
      <c r="AK990" s="2" t="s">
        <v>245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44" t="b">
        <v>0</v>
      </c>
      <c r="AP990" s="48" t="b">
        <v>0</v>
      </c>
      <c r="AQ990" s="48" t="b">
        <v>0</v>
      </c>
      <c r="AR990" s="48">
        <v>0</v>
      </c>
      <c r="AS990" s="48" t="b">
        <v>0</v>
      </c>
      <c r="AT990" s="7" t="b">
        <v>0</v>
      </c>
      <c r="AU990" s="40" t="str" cm="1">
        <f t="array" ref="AU990">_xlfn.XLOOKUP(PROPERTIES[[#This Row],[VEHIDCODE]],GRAPHICS_PROPERTIES[VEHIDCODE],GRAPHICS_PROPERTIES[TEMPLATE_ID]&amp;GRAPHICS_PROPERTIES[TEMPLATE_AMENDMENT_CODE])</f>
        <v>TPL_02G</v>
      </c>
    </row>
    <row r="991" spans="1:47" x14ac:dyDescent="0.35">
      <c r="A991" s="2" t="s">
        <v>3419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0" t="str">
        <f>_xlfn.XLOOKUP(PROPERTIES[[#This Row],[VEHIDCODE]],CONTROL[VEHIDCODE],CONTROL[ENGLISH])</f>
        <v>ACME Corp. V200E EMU</v>
      </c>
      <c r="F991" t="s">
        <v>692</v>
      </c>
      <c r="G991" s="40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22</v>
      </c>
      <c r="J991">
        <v>60</v>
      </c>
      <c r="K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3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0">
        <v>0</v>
      </c>
      <c r="AA991" s="20">
        <f>IFERROR(PROPERTIES[[#This Row],[TE_STARTING_KN]]/(PROPERTIES[[#This Row],[WEIGHT]]*9.81),0)</f>
        <v>0</v>
      </c>
      <c r="AB991" s="20">
        <v>0.15</v>
      </c>
      <c r="AC991" s="16">
        <f>ROUND(IF(IFERROR(PROPERTIES[[#This Row],[TE_COEFFICIENT_CALC]],0)=0,PROPERTIES[[#This Row],[TE_COEFFICIENT_MANUAL]],PROPERTIES[[#This Row],[TE_COEFFICIENT_CALC]]),3)</f>
        <v>0.15</v>
      </c>
      <c r="AD991" s="39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6">
        <v>120</v>
      </c>
      <c r="AF991" s="6">
        <v>8</v>
      </c>
      <c r="AG991" t="s">
        <v>230</v>
      </c>
      <c r="AH991" t="s">
        <v>229</v>
      </c>
      <c r="AI991" t="s">
        <v>229</v>
      </c>
      <c r="AJ991" s="2" t="s">
        <v>229</v>
      </c>
      <c r="AK991" s="2" t="s">
        <v>245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44" t="b">
        <v>0</v>
      </c>
      <c r="AP991" s="48" t="b">
        <v>0</v>
      </c>
      <c r="AQ991" s="48" t="b">
        <v>0</v>
      </c>
      <c r="AR991" s="48">
        <v>0</v>
      </c>
      <c r="AS991" s="48" t="b">
        <v>0</v>
      </c>
      <c r="AT991" s="7" t="b">
        <v>0</v>
      </c>
      <c r="AU991" s="40" t="str" cm="1">
        <f t="array" ref="AU991">_xlfn.XLOOKUP(PROPERTIES[[#This Row],[VEHIDCODE]],GRAPHICS_PROPERTIES[VEHIDCODE],GRAPHICS_PROPERTIES[TEMPLATE_ID]&amp;GRAPHICS_PROPERTIES[TEMPLATE_AMENDMENT_CODE])</f>
        <v>TPL_02G</v>
      </c>
    </row>
    <row r="992" spans="1:47" x14ac:dyDescent="0.35">
      <c r="A992" s="2" t="s">
        <v>3420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0" t="str">
        <f>_xlfn.XLOOKUP(PROPERTIES[[#This Row],[VEHIDCODE]],CONTROL[VEHIDCODE],CONTROL[ENGLISH])</f>
        <v>ACME Corp. DD CargoEMU</v>
      </c>
      <c r="F992" t="s">
        <v>692</v>
      </c>
      <c r="G992" s="40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24</v>
      </c>
      <c r="J992">
        <v>60</v>
      </c>
      <c r="K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3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0">
        <v>0</v>
      </c>
      <c r="AA992" s="19">
        <f>IFERROR(PROPERTIES[[#This Row],[TE_STARTING_KN]]/(PROPERTIES[[#This Row],[WEIGHT]]*9.81),0)</f>
        <v>0</v>
      </c>
      <c r="AB992" s="19">
        <v>7.4999999999999997E-2</v>
      </c>
      <c r="AC992" s="16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6">
        <v>60</v>
      </c>
      <c r="AF992" s="6">
        <v>8</v>
      </c>
      <c r="AG992" t="s">
        <v>241</v>
      </c>
      <c r="AH992" t="s">
        <v>229</v>
      </c>
      <c r="AI992" t="s">
        <v>229</v>
      </c>
      <c r="AJ992" s="2" t="s">
        <v>229</v>
      </c>
      <c r="AK992" s="2" t="s">
        <v>245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44" t="b">
        <v>0</v>
      </c>
      <c r="AP992" s="48" t="b">
        <v>0</v>
      </c>
      <c r="AQ992" s="48" t="b">
        <v>0</v>
      </c>
      <c r="AR992" s="48">
        <v>0</v>
      </c>
      <c r="AS992" s="48" t="b">
        <v>0</v>
      </c>
      <c r="AT992" s="7" t="b">
        <v>0</v>
      </c>
      <c r="AU992" s="40" t="str" cm="1">
        <f t="array" ref="AU992">_xlfn.XLOOKUP(PROPERTIES[[#This Row],[VEHIDCODE]],GRAPHICS_PROPERTIES[VEHIDCODE],GRAPHICS_PROPERTIES[TEMPLATE_ID]&amp;GRAPHICS_PROPERTIES[TEMPLATE_AMENDMENT_CODE])</f>
        <v>TPL_42C</v>
      </c>
    </row>
    <row r="993" spans="1:47" x14ac:dyDescent="0.35">
      <c r="A993" s="2" t="s">
        <v>3421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0" t="str">
        <f>_xlfn.XLOOKUP(PROPERTIES[[#This Row],[VEHIDCODE]],CONTROL[VEHIDCODE],CONTROL[ENGLISH])</f>
        <v>VEB LKM V180 B'B'</v>
      </c>
      <c r="F993" t="s">
        <v>584</v>
      </c>
      <c r="G993" s="40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17</v>
      </c>
      <c r="J993">
        <v>0</v>
      </c>
      <c r="K993">
        <v>8</v>
      </c>
      <c r="L993">
        <v>0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3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0">
        <v>255</v>
      </c>
      <c r="AA993" s="20">
        <f>IFERROR(PROPERTIES[[#This Row],[TE_STARTING_KN]]/(PROPERTIES[[#This Row],[WEIGHT]]*9.81),0)</f>
        <v>0.33325492041088367</v>
      </c>
      <c r="AB993" s="20">
        <v>0</v>
      </c>
      <c r="AC993" s="16">
        <f>ROUND(IF(IFERROR(PROPERTIES[[#This Row],[TE_COEFFICIENT_CALC]],0)=0,PROPERTIES[[#This Row],[TE_COEFFICIENT_MANUAL]],PROPERTIES[[#This Row],[TE_COEFFICIENT_CALC]]),3)</f>
        <v>0.33300000000000002</v>
      </c>
      <c r="AD993" s="39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6">
        <v>0</v>
      </c>
      <c r="AF993" s="6">
        <v>0</v>
      </c>
      <c r="AG993" t="s">
        <v>230</v>
      </c>
      <c r="AH993" t="s">
        <v>229</v>
      </c>
      <c r="AI993" t="s">
        <v>229</v>
      </c>
      <c r="AJ993" s="2" t="s">
        <v>229</v>
      </c>
      <c r="AK993" s="2" t="s">
        <v>244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44" t="b">
        <v>0</v>
      </c>
      <c r="AP993" s="48" t="b">
        <v>0</v>
      </c>
      <c r="AQ993" s="48" t="b">
        <v>0</v>
      </c>
      <c r="AR993" s="48">
        <v>0</v>
      </c>
      <c r="AS993" s="48" t="b">
        <v>0</v>
      </c>
      <c r="AT993" s="7" t="b">
        <v>0</v>
      </c>
      <c r="AU993" s="40" t="str" cm="1">
        <f t="array" ref="AU993">_xlfn.XLOOKUP(PROPERTIES[[#This Row],[VEHIDCODE]],GRAPHICS_PROPERTIES[VEHIDCODE],GRAPHICS_PROPERTIES[TEMPLATE_ID]&amp;GRAPHICS_PROPERTIES[TEMPLATE_AMENDMENT_CODE])</f>
        <v>TPL_01A</v>
      </c>
    </row>
    <row r="994" spans="1:47" x14ac:dyDescent="0.35">
      <c r="A994" s="2" t="s">
        <v>3422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0" t="str">
        <f>_xlfn.XLOOKUP(PROPERTIES[[#This Row],[VEHIDCODE]],CONTROL[VEHIDCODE],CONTROL[ENGLISH])</f>
        <v>PESA 43WE 'DART'</v>
      </c>
      <c r="F994" t="s">
        <v>705</v>
      </c>
      <c r="G994" s="40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22</v>
      </c>
      <c r="J994">
        <f>INT(352/8)</f>
        <v>44</v>
      </c>
      <c r="K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3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0">
        <v>0</v>
      </c>
      <c r="AA994" s="20">
        <f>IFERROR(PROPERTIES[[#This Row],[TE_STARTING_KN]]/(PROPERTIES[[#This Row],[WEIGHT]]*9.81),0)</f>
        <v>0</v>
      </c>
      <c r="AB994" s="20">
        <v>0.3</v>
      </c>
      <c r="AC994" s="16">
        <f>ROUND(IF(IFERROR(PROPERTIES[[#This Row],[TE_COEFFICIENT_CALC]],0)=0,PROPERTIES[[#This Row],[TE_COEFFICIENT_MANUAL]],PROPERTIES[[#This Row],[TE_COEFFICIENT_CALC]]),3)</f>
        <v>0.3</v>
      </c>
      <c r="AD994" s="39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6">
        <f>INT(352/8)</f>
        <v>44</v>
      </c>
      <c r="AF994" s="6">
        <v>8</v>
      </c>
      <c r="AG994" t="s">
        <v>236</v>
      </c>
      <c r="AH994" t="s">
        <v>229</v>
      </c>
      <c r="AI994" t="s">
        <v>229</v>
      </c>
      <c r="AJ994" s="2" t="s">
        <v>229</v>
      </c>
      <c r="AK994" s="2" t="s">
        <v>244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44" t="b">
        <v>0</v>
      </c>
      <c r="AP994" s="48" t="b">
        <v>0</v>
      </c>
      <c r="AQ994" s="48" t="b">
        <v>0</v>
      </c>
      <c r="AR994" s="48">
        <v>0</v>
      </c>
      <c r="AS994" s="48" t="b">
        <v>0</v>
      </c>
      <c r="AT994" s="7" t="b">
        <v>0</v>
      </c>
      <c r="AU994" s="40" t="str" cm="1">
        <f t="array" ref="AU994">_xlfn.XLOOKUP(PROPERTIES[[#This Row],[VEHIDCODE]],GRAPHICS_PROPERTIES[VEHIDCODE],GRAPHICS_PROPERTIES[TEMPLATE_ID]&amp;GRAPHICS_PROPERTIES[TEMPLATE_AMENDMENT_CODE])</f>
        <v>TPL_02E</v>
      </c>
    </row>
    <row r="995" spans="1:47" x14ac:dyDescent="0.35">
      <c r="A995" s="2" t="s">
        <v>3423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0" t="str">
        <f>_xlfn.XLOOKUP(PROPERTIES[[#This Row],[VEHIDCODE]],CONTROL[VEHIDCODE],CONTROL[ENGLISH])</f>
        <v>LEW EL2</v>
      </c>
      <c r="F995" t="s">
        <v>584</v>
      </c>
      <c r="G995" s="40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17</v>
      </c>
      <c r="J995">
        <v>0</v>
      </c>
      <c r="K995">
        <v>8</v>
      </c>
      <c r="L995">
        <v>0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3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0">
        <v>300</v>
      </c>
      <c r="AA995" s="20">
        <f>IFERROR(PROPERTIES[[#This Row],[TE_STARTING_KN]]/(PROPERTIES[[#This Row],[WEIGHT]]*9.81),0)</f>
        <v>0.3058103975535168</v>
      </c>
      <c r="AB995" s="20">
        <v>0</v>
      </c>
      <c r="AC995" s="16">
        <f>ROUND(IF(IFERROR(PROPERTIES[[#This Row],[TE_COEFFICIENT_CALC]],0)=0,PROPERTIES[[#This Row],[TE_COEFFICIENT_MANUAL]],PROPERTIES[[#This Row],[TE_COEFFICIENT_CALC]]),3)</f>
        <v>0.30599999999999999</v>
      </c>
      <c r="AD995" s="39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6">
        <v>0</v>
      </c>
      <c r="AF995" s="6">
        <v>0</v>
      </c>
      <c r="AG995" t="s">
        <v>1948</v>
      </c>
      <c r="AH995" t="s">
        <v>229</v>
      </c>
      <c r="AI995" t="s">
        <v>229</v>
      </c>
      <c r="AJ995" s="2" t="s">
        <v>229</v>
      </c>
      <c r="AK995" s="2" t="s">
        <v>244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44" t="b">
        <v>0</v>
      </c>
      <c r="AP995" s="48" t="b">
        <v>0</v>
      </c>
      <c r="AQ995" s="48" t="b">
        <v>0</v>
      </c>
      <c r="AR995" s="48">
        <v>0</v>
      </c>
      <c r="AS995" s="48" t="b">
        <v>0</v>
      </c>
      <c r="AT995" s="7" t="b">
        <v>0</v>
      </c>
      <c r="AU995" s="40" t="str" cm="1">
        <f t="array" ref="AU995">_xlfn.XLOOKUP(PROPERTIES[[#This Row],[VEHIDCODE]],GRAPHICS_PROPERTIES[VEHIDCODE],GRAPHICS_PROPERTIES[TEMPLATE_ID]&amp;GRAPHICS_PROPERTIES[TEMPLATE_AMENDMENT_CODE])</f>
        <v>TPL_01A</v>
      </c>
    </row>
    <row r="996" spans="1:47" x14ac:dyDescent="0.35">
      <c r="A996" s="2" t="s">
        <v>3424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0" t="str">
        <f>_xlfn.XLOOKUP(PROPERTIES[[#This Row],[VEHIDCODE]],CONTROL[VEHIDCODE],CONTROL[ENGLISH])</f>
        <v>Pafawag 201E</v>
      </c>
      <c r="F996" t="s">
        <v>705</v>
      </c>
      <c r="G996" s="40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17</v>
      </c>
      <c r="J996">
        <v>0</v>
      </c>
      <c r="K996">
        <v>8</v>
      </c>
      <c r="L996">
        <v>0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3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0">
        <v>420</v>
      </c>
      <c r="AA996" s="20">
        <f>IFERROR(PROPERTIES[[#This Row],[TE_STARTING_KN]]/(PROPERTIES[[#This Row],[WEIGHT]]*9.81),0)</f>
        <v>0.3567787971457696</v>
      </c>
      <c r="AB996" s="20">
        <v>0</v>
      </c>
      <c r="AC996" s="16">
        <f>ROUND(IF(IFERROR(PROPERTIES[[#This Row],[TE_COEFFICIENT_CALC]],0)=0,PROPERTIES[[#This Row],[TE_COEFFICIENT_MANUAL]],PROPERTIES[[#This Row],[TE_COEFFICIENT_CALC]]),3)</f>
        <v>0.35699999999999998</v>
      </c>
      <c r="AD996" s="39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6">
        <v>0</v>
      </c>
      <c r="AF996" s="6">
        <v>0</v>
      </c>
      <c r="AG996" t="s">
        <v>236</v>
      </c>
      <c r="AH996" t="s">
        <v>233</v>
      </c>
      <c r="AI996" t="s">
        <v>229</v>
      </c>
      <c r="AJ996" s="2" t="s">
        <v>229</v>
      </c>
      <c r="AK996" s="2" t="s">
        <v>244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44" t="b">
        <v>0</v>
      </c>
      <c r="AP996" s="48" t="b">
        <v>0</v>
      </c>
      <c r="AQ996" s="48" t="b">
        <v>0</v>
      </c>
      <c r="AR996" s="48">
        <v>0</v>
      </c>
      <c r="AS996" s="48" t="b">
        <v>0</v>
      </c>
      <c r="AT996" s="7" t="b">
        <v>0</v>
      </c>
      <c r="AU996" s="40" t="str" cm="1">
        <f t="array" ref="AU996">_xlfn.XLOOKUP(PROPERTIES[[#This Row],[VEHIDCODE]],GRAPHICS_PROPERTIES[VEHIDCODE],GRAPHICS_PROPERTIES[TEMPLATE_ID]&amp;GRAPHICS_PROPERTIES[TEMPLATE_AMENDMENT_CODE])</f>
        <v>TPL_01A</v>
      </c>
    </row>
    <row r="997" spans="1:47" x14ac:dyDescent="0.35">
      <c r="A997" s="2" t="s">
        <v>3425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0" t="str">
        <f>_xlfn.XLOOKUP(PROPERTIES[[#This Row],[VEHIDCODE]],CONTROL[VEHIDCODE],CONTROL[ENGLISH])</f>
        <v>NOHAB AA16</v>
      </c>
      <c r="F997" t="s">
        <v>722</v>
      </c>
      <c r="G997" s="40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17</v>
      </c>
      <c r="J997">
        <v>0</v>
      </c>
      <c r="K997">
        <v>8</v>
      </c>
      <c r="L997">
        <v>0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3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0">
        <v>290</v>
      </c>
      <c r="AA997" s="20">
        <f>IFERROR(PROPERTIES[[#This Row],[TE_STARTING_KN]]/(PROPERTIES[[#This Row],[WEIGHT]]*9.81),0)</f>
        <v>0.271207997830336</v>
      </c>
      <c r="AB997" s="20">
        <v>0</v>
      </c>
      <c r="AC997" s="16">
        <f>ROUND(IF(IFERROR(PROPERTIES[[#This Row],[TE_COEFFICIENT_CALC]],0)=0,PROPERTIES[[#This Row],[TE_COEFFICIENT_MANUAL]],PROPERTIES[[#This Row],[TE_COEFFICIENT_CALC]]),3)</f>
        <v>0.27100000000000002</v>
      </c>
      <c r="AD997" s="39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6">
        <v>0</v>
      </c>
      <c r="AF997" s="6">
        <v>0</v>
      </c>
      <c r="AG997" t="s">
        <v>239</v>
      </c>
      <c r="AH997" t="s">
        <v>229</v>
      </c>
      <c r="AI997" t="s">
        <v>229</v>
      </c>
      <c r="AJ997" s="2" t="s">
        <v>229</v>
      </c>
      <c r="AK997" s="2" t="s">
        <v>244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44" t="b">
        <v>0</v>
      </c>
      <c r="AP997" s="48" t="b">
        <v>0</v>
      </c>
      <c r="AQ997" s="48" t="b">
        <v>0</v>
      </c>
      <c r="AR997" s="48">
        <v>0</v>
      </c>
      <c r="AS997" s="48" t="b">
        <v>0</v>
      </c>
      <c r="AT997" s="7" t="b">
        <v>0</v>
      </c>
      <c r="AU997" s="40" t="str" cm="1">
        <f t="array" ref="AU997">_xlfn.XLOOKUP(PROPERTIES[[#This Row],[VEHIDCODE]],GRAPHICS_PROPERTIES[VEHIDCODE],GRAPHICS_PROPERTIES[TEMPLATE_ID]&amp;GRAPHICS_PROPERTIES[TEMPLATE_AMENDMENT_CODE])</f>
        <v>TPL_01A</v>
      </c>
    </row>
    <row r="998" spans="1:47" x14ac:dyDescent="0.35">
      <c r="A998" s="2" t="s">
        <v>3426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0" t="str">
        <f>_xlfn.XLOOKUP(PROPERTIES[[#This Row],[VEHIDCODE]],CONTROL[VEHIDCODE],CONTROL[ENGLISH])</f>
        <v>LEW V100</v>
      </c>
      <c r="F998" t="s">
        <v>584</v>
      </c>
      <c r="G998" s="40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17</v>
      </c>
      <c r="J998">
        <v>0</v>
      </c>
      <c r="K998">
        <v>7</v>
      </c>
      <c r="L998">
        <v>0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3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0">
        <v>227</v>
      </c>
      <c r="AA998" s="20">
        <f>IFERROR(PROPERTIES[[#This Row],[TE_STARTING_KN]]/(PROPERTIES[[#This Row],[WEIGHT]]*9.81),0)</f>
        <v>0.36155708460754332</v>
      </c>
      <c r="AB998" s="20">
        <v>0</v>
      </c>
      <c r="AC998" s="16">
        <f>ROUND(IF(IFERROR(PROPERTIES[[#This Row],[TE_COEFFICIENT_CALC]],0)=0,PROPERTIES[[#This Row],[TE_COEFFICIENT_MANUAL]],PROPERTIES[[#This Row],[TE_COEFFICIENT_CALC]]),3)</f>
        <v>0.36199999999999999</v>
      </c>
      <c r="AD998" s="39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6">
        <v>0</v>
      </c>
      <c r="AF998" s="6">
        <v>0</v>
      </c>
      <c r="AG998" t="s">
        <v>1948</v>
      </c>
      <c r="AH998" t="s">
        <v>230</v>
      </c>
      <c r="AI998" t="s">
        <v>229</v>
      </c>
      <c r="AJ998" s="2" t="s">
        <v>229</v>
      </c>
      <c r="AK998" s="2" t="s">
        <v>244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44" t="b">
        <v>0</v>
      </c>
      <c r="AP998" s="48" t="b">
        <v>0</v>
      </c>
      <c r="AQ998" s="48" t="b">
        <v>0</v>
      </c>
      <c r="AR998" s="48">
        <v>0</v>
      </c>
      <c r="AS998" s="48" t="b">
        <v>0</v>
      </c>
      <c r="AT998" s="7" t="b">
        <v>0</v>
      </c>
      <c r="AU998" s="40" t="str" cm="1">
        <f t="array" ref="AU998">_xlfn.XLOOKUP(PROPERTIES[[#This Row],[VEHIDCODE]],GRAPHICS_PROPERTIES[VEHIDCODE],GRAPHICS_PROPERTIES[TEMPLATE_ID]&amp;GRAPHICS_PROPERTIES[TEMPLATE_AMENDMENT_CODE])</f>
        <v>TPL_01A</v>
      </c>
    </row>
    <row r="999" spans="1:47" x14ac:dyDescent="0.35">
      <c r="A999" s="2" t="s">
        <v>3427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0" t="str">
        <f>_xlfn.XLOOKUP(PROPERTIES[[#This Row],[VEHIDCODE]],CONTROL[VEHIDCODE],CONTROL[ENGLISH])</f>
        <v>Fablok 6D</v>
      </c>
      <c r="F999" t="s">
        <v>705</v>
      </c>
      <c r="G999" s="40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17</v>
      </c>
      <c r="J999">
        <v>0</v>
      </c>
      <c r="K999">
        <v>6</v>
      </c>
      <c r="L999">
        <v>0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3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0">
        <v>228</v>
      </c>
      <c r="AA999" s="19">
        <f>IFERROR(PROPERTIES[[#This Row],[TE_STARTING_KN]]/(PROPERTIES[[#This Row],[WEIGHT]]*9.81),0)</f>
        <v>0.3140755434333416</v>
      </c>
      <c r="AB999" s="19">
        <v>0</v>
      </c>
      <c r="AC999" s="16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6">
        <v>0</v>
      </c>
      <c r="AF999" s="6">
        <v>0</v>
      </c>
      <c r="AG999" t="s">
        <v>236</v>
      </c>
      <c r="AH999" t="s">
        <v>233</v>
      </c>
      <c r="AI999" t="s">
        <v>229</v>
      </c>
      <c r="AJ999" s="2" t="s">
        <v>229</v>
      </c>
      <c r="AK999" s="2" t="s">
        <v>244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44" t="b">
        <v>0</v>
      </c>
      <c r="AP999" s="48" t="b">
        <v>0</v>
      </c>
      <c r="AQ999" s="48" t="b">
        <v>0</v>
      </c>
      <c r="AR999" s="48">
        <v>0</v>
      </c>
      <c r="AS999" s="48" t="b">
        <v>0</v>
      </c>
      <c r="AT999" s="7" t="b">
        <v>0</v>
      </c>
      <c r="AU999" s="40" t="str" cm="1">
        <f t="array" ref="AU999">_xlfn.XLOOKUP(PROPERTIES[[#This Row],[VEHIDCODE]],GRAPHICS_PROPERTIES[VEHIDCODE],GRAPHICS_PROPERTIES[TEMPLATE_ID]&amp;GRAPHICS_PROPERTIES[TEMPLATE_AMENDMENT_CODE])</f>
        <v>TPL_01A</v>
      </c>
    </row>
    <row r="1000" spans="1:47" x14ac:dyDescent="0.35">
      <c r="A1000" s="2" t="s">
        <v>3428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0" t="str">
        <f>_xlfn.XLOOKUP(PROPERTIES[[#This Row],[VEHIDCODE]],CONTROL[VEHIDCODE],CONTROL[ENGLISH])</f>
        <v>HCP 301D</v>
      </c>
      <c r="F1000" t="s">
        <v>705</v>
      </c>
      <c r="G1000" s="40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17</v>
      </c>
      <c r="J1000">
        <v>0</v>
      </c>
      <c r="K1000">
        <v>8</v>
      </c>
      <c r="L1000">
        <v>0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3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0">
        <v>320</v>
      </c>
      <c r="AA1000" s="20">
        <f>IFERROR(PROPERTIES[[#This Row],[TE_STARTING_KN]]/(PROPERTIES[[#This Row],[WEIGHT]]*9.81),0)</f>
        <v>0.31980172293178227</v>
      </c>
      <c r="AB1000" s="20">
        <v>0</v>
      </c>
      <c r="AC1000" s="16">
        <f>ROUND(IF(IFERROR(PROPERTIES[[#This Row],[TE_COEFFICIENT_CALC]],0)=0,PROPERTIES[[#This Row],[TE_COEFFICIENT_MANUAL]],PROPERTIES[[#This Row],[TE_COEFFICIENT_CALC]]),3)</f>
        <v>0.32</v>
      </c>
      <c r="AD1000" s="39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6">
        <v>0</v>
      </c>
      <c r="AF1000" s="6">
        <v>0</v>
      </c>
      <c r="AG1000" t="s">
        <v>236</v>
      </c>
      <c r="AH1000" t="s">
        <v>233</v>
      </c>
      <c r="AI1000" t="s">
        <v>229</v>
      </c>
      <c r="AJ1000" s="2" t="s">
        <v>229</v>
      </c>
      <c r="AK1000" s="2" t="s">
        <v>244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44" t="b">
        <v>0</v>
      </c>
      <c r="AP1000" s="48" t="b">
        <v>0</v>
      </c>
      <c r="AQ1000" s="48" t="b">
        <v>0</v>
      </c>
      <c r="AR1000" s="48">
        <v>0</v>
      </c>
      <c r="AS1000" s="48" t="b">
        <v>0</v>
      </c>
      <c r="AT1000" s="7" t="b">
        <v>0</v>
      </c>
      <c r="AU1000" s="40" t="str" cm="1">
        <f t="array" ref="AU1000">_xlfn.XLOOKUP(PROPERTIES[[#This Row],[VEHIDCODE]],GRAPHICS_PROPERTIES[VEHIDCODE],GRAPHICS_PROPERTIES[TEMPLATE_ID]&amp;GRAPHICS_PROPERTIES[TEMPLATE_AMENDMENT_CODE])</f>
        <v>TPL_01A</v>
      </c>
    </row>
    <row r="1001" spans="1:47" x14ac:dyDescent="0.35">
      <c r="A1001" s="2" t="s">
        <v>3429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0" t="str">
        <f>_xlfn.XLOOKUP(PROPERTIES[[#This Row],[VEHIDCODE]],CONTROL[VEHIDCODE],CONTROL[ENGLISH])</f>
        <v>Stadler 'Flirt' PowerPack DMU</v>
      </c>
      <c r="F1001" t="s">
        <v>570</v>
      </c>
      <c r="G1001" s="40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15</v>
      </c>
      <c r="J1001">
        <v>50</v>
      </c>
      <c r="K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3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0">
        <f>200/2</f>
        <v>100</v>
      </c>
      <c r="AA1001" s="19">
        <f>IFERROR(PROPERTIES[[#This Row],[TE_STARTING_KN]]/(PROPERTIES[[#This Row],[WEIGHT]]*9.81),0)</f>
        <v>0.32882838446614709</v>
      </c>
      <c r="AB1001" s="19">
        <v>0</v>
      </c>
      <c r="AC1001" s="16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6">
        <v>50</v>
      </c>
      <c r="AF1001" s="6">
        <v>7</v>
      </c>
      <c r="AG1001" t="s">
        <v>239</v>
      </c>
      <c r="AH1001" t="s">
        <v>235</v>
      </c>
      <c r="AI1001" t="s">
        <v>229</v>
      </c>
      <c r="AJ1001" s="2" t="s">
        <v>229</v>
      </c>
      <c r="AK1001" s="2" t="s">
        <v>244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44" t="b">
        <v>0</v>
      </c>
      <c r="AP1001" s="48" t="b">
        <v>0</v>
      </c>
      <c r="AQ1001" s="48" t="b">
        <v>0</v>
      </c>
      <c r="AR1001" s="48">
        <v>0</v>
      </c>
      <c r="AS1001" s="48" t="b">
        <v>0</v>
      </c>
      <c r="AT1001" s="7" t="b">
        <v>0</v>
      </c>
      <c r="AU1001" s="40" t="str" cm="1">
        <f t="array" ref="AU1001">_xlfn.XLOOKUP(PROPERTIES[[#This Row],[VEHIDCODE]],GRAPHICS_PROPERTIES[VEHIDCODE],GRAPHICS_PROPERTIES[TEMPLATE_ID]&amp;GRAPHICS_PROPERTIES[TEMPLATE_AMENDMENT_CODE])</f>
        <v>TPL_02E</v>
      </c>
    </row>
    <row r="1002" spans="1:47" x14ac:dyDescent="0.35">
      <c r="A1002" s="2" t="s">
        <v>3430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0" t="str">
        <f>_xlfn.XLOOKUP(PROPERTIES[[#This Row],[VEHIDCODE]],CONTROL[VEHIDCODE],CONTROL[ENGLISH])</f>
        <v>JNR Container Bullet Train Concept</v>
      </c>
      <c r="F1002" t="s">
        <v>640</v>
      </c>
      <c r="G1002" s="40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24</v>
      </c>
      <c r="J1002">
        <v>60</v>
      </c>
      <c r="K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3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0">
        <f>98/2</f>
        <v>49</v>
      </c>
      <c r="AA1002" s="19">
        <f>IFERROR(PROPERTIES[[#This Row],[TE_STARTING_KN]]/(PROPERTIES[[#This Row],[WEIGHT]]*9.81),0)</f>
        <v>0.19587855529571666</v>
      </c>
      <c r="AB1002" s="19">
        <v>0</v>
      </c>
      <c r="AC1002" s="16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6">
        <v>60</v>
      </c>
      <c r="AF1002" s="6">
        <v>8</v>
      </c>
      <c r="AG1002" t="s">
        <v>238</v>
      </c>
      <c r="AH1002" t="s">
        <v>229</v>
      </c>
      <c r="AI1002" t="s">
        <v>229</v>
      </c>
      <c r="AJ1002" s="2" t="s">
        <v>229</v>
      </c>
      <c r="AK1002" s="7" t="s">
        <v>245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44" t="b">
        <v>0</v>
      </c>
      <c r="AP1002" s="48" t="b">
        <v>0</v>
      </c>
      <c r="AQ1002" s="48" t="b">
        <v>0</v>
      </c>
      <c r="AR1002" s="48">
        <v>0</v>
      </c>
      <c r="AS1002" s="48" t="b">
        <v>0</v>
      </c>
      <c r="AT1002" s="7" t="b">
        <v>0</v>
      </c>
      <c r="AU1002" s="40" t="str" cm="1">
        <f t="array" ref="AU1002">_xlfn.XLOOKUP(PROPERTIES[[#This Row],[VEHIDCODE]],GRAPHICS_PROPERTIES[VEHIDCODE],GRAPHICS_PROPERTIES[TEMPLATE_ID]&amp;GRAPHICS_PROPERTIES[TEMPLATE_AMENDMENT_CODE])</f>
        <v>TPL_42B</v>
      </c>
    </row>
    <row r="1003" spans="1:47" x14ac:dyDescent="0.35">
      <c r="A1003" s="2" t="s">
        <v>3431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0" t="str">
        <f>_xlfn.XLOOKUP(PROPERTIES[[#This Row],[VEHIDCODE]],CONTROL[VEHIDCODE],CONTROL[ENGLISH])</f>
        <v>Hitachi WAG-6B/C</v>
      </c>
      <c r="F1003" t="s">
        <v>631</v>
      </c>
      <c r="G1003" s="40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17</v>
      </c>
      <c r="J1003">
        <v>0</v>
      </c>
      <c r="K1003">
        <v>8</v>
      </c>
      <c r="L1003">
        <v>0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3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0">
        <v>440</v>
      </c>
      <c r="AA1003" s="20">
        <f>IFERROR(PROPERTIES[[#This Row],[TE_STARTING_KN]]/(PROPERTIES[[#This Row],[WEIGHT]]*9.81),0)</f>
        <v>0.36465196456245907</v>
      </c>
      <c r="AB1003" s="20">
        <v>0</v>
      </c>
      <c r="AC1003" s="16">
        <f>ROUND(IF(IFERROR(PROPERTIES[[#This Row],[TE_COEFFICIENT_CALC]],0)=0,PROPERTIES[[#This Row],[TE_COEFFICIENT_MANUAL]],PROPERTIES[[#This Row],[TE_COEFFICIENT_CALC]]),3)</f>
        <v>0.36499999999999999</v>
      </c>
      <c r="AD1003" s="39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6">
        <v>0</v>
      </c>
      <c r="AF1003" s="6">
        <v>0</v>
      </c>
      <c r="AG1003" t="s">
        <v>238</v>
      </c>
      <c r="AH1003" t="s">
        <v>229</v>
      </c>
      <c r="AI1003" t="s">
        <v>229</v>
      </c>
      <c r="AJ1003" s="2" t="s">
        <v>229</v>
      </c>
      <c r="AK1003" s="7" t="s">
        <v>244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44" t="b">
        <v>0</v>
      </c>
      <c r="AP1003" s="48" t="b">
        <v>0</v>
      </c>
      <c r="AQ1003" s="48" t="b">
        <v>0</v>
      </c>
      <c r="AR1003" s="48">
        <v>0</v>
      </c>
      <c r="AS1003" s="48" t="b">
        <v>0</v>
      </c>
      <c r="AT1003" s="7" t="b">
        <v>0</v>
      </c>
      <c r="AU1003" s="40" t="str" cm="1">
        <f t="array" ref="AU1003">_xlfn.XLOOKUP(PROPERTIES[[#This Row],[VEHIDCODE]],GRAPHICS_PROPERTIES[VEHIDCODE],GRAPHICS_PROPERTIES[TEMPLATE_ID]&amp;GRAPHICS_PROPERTIES[TEMPLATE_AMENDMENT_CODE])</f>
        <v>TPL_01A</v>
      </c>
    </row>
    <row r="1004" spans="1:47" x14ac:dyDescent="0.35">
      <c r="A1004" s="2" t="s">
        <v>3432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0" t="str">
        <f>_xlfn.XLOOKUP(PROPERTIES[[#This Row],[VEHIDCODE]],CONTROL[VEHIDCODE],CONTROL[ENGLISH])</f>
        <v>Toshiba 10E</v>
      </c>
      <c r="F1004" t="s">
        <v>771</v>
      </c>
      <c r="G1004" s="40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17</v>
      </c>
      <c r="J1004">
        <v>0</v>
      </c>
      <c r="K1004">
        <v>8</v>
      </c>
      <c r="L1004">
        <v>0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3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0">
        <v>450</v>
      </c>
      <c r="AA1004" s="20">
        <f>IFERROR(PROPERTIES[[#This Row],[TE_STARTING_KN]]/(PROPERTIES[[#This Row],[WEIGHT]]*9.81),0)</f>
        <v>0.3669724770642202</v>
      </c>
      <c r="AB1004" s="20">
        <v>0</v>
      </c>
      <c r="AC1004" s="16">
        <f>ROUND(IF(IFERROR(PROPERTIES[[#This Row],[TE_COEFFICIENT_CALC]],0)=0,PROPERTIES[[#This Row],[TE_COEFFICIENT_MANUAL]],PROPERTIES[[#This Row],[TE_COEFFICIENT_CALC]]),3)</f>
        <v>0.36699999999999999</v>
      </c>
      <c r="AD1004" s="39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6">
        <v>0</v>
      </c>
      <c r="AF1004" s="6">
        <v>0</v>
      </c>
      <c r="AG1004" t="s">
        <v>233</v>
      </c>
      <c r="AH1004" t="s">
        <v>229</v>
      </c>
      <c r="AI1004" t="s">
        <v>229</v>
      </c>
      <c r="AJ1004" s="2" t="s">
        <v>229</v>
      </c>
      <c r="AK1004" s="7" t="s">
        <v>244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44" t="b">
        <v>0</v>
      </c>
      <c r="AP1004" s="48" t="b">
        <v>0</v>
      </c>
      <c r="AQ1004" s="48" t="b">
        <v>0</v>
      </c>
      <c r="AR1004" s="48">
        <v>0</v>
      </c>
      <c r="AS1004" s="48" t="b">
        <v>0</v>
      </c>
      <c r="AT1004" s="7" t="b">
        <v>0</v>
      </c>
      <c r="AU1004" s="40" t="str" cm="1">
        <f t="array" ref="AU1004">_xlfn.XLOOKUP(PROPERTIES[[#This Row],[VEHIDCODE]],GRAPHICS_PROPERTIES[VEHIDCODE],GRAPHICS_PROPERTIES[TEMPLATE_ID]&amp;GRAPHICS_PROPERTIES[TEMPLATE_AMENDMENT_CODE])</f>
        <v>TPL_01A</v>
      </c>
    </row>
    <row r="1005" spans="1:47" x14ac:dyDescent="0.35">
      <c r="A1005" s="2" t="s">
        <v>3433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0" t="str">
        <f>_xlfn.XLOOKUP(PROPERTIES[[#This Row],[VEHIDCODE]],CONTROL[VEHIDCODE],CONTROL[ENGLISH])</f>
        <v>GEC 9E</v>
      </c>
      <c r="F1005" t="s">
        <v>771</v>
      </c>
      <c r="G1005" s="40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17</v>
      </c>
      <c r="J1005">
        <v>0</v>
      </c>
      <c r="K1005">
        <v>8</v>
      </c>
      <c r="L1005">
        <v>0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3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0">
        <v>570</v>
      </c>
      <c r="AA1005" s="20">
        <f>IFERROR(PROPERTIES[[#This Row],[TE_STARTING_KN]]/(PROPERTIES[[#This Row],[WEIGHT]]*9.81),0)</f>
        <v>0.34939251674785438</v>
      </c>
      <c r="AB1005" s="20">
        <v>0</v>
      </c>
      <c r="AC1005" s="16">
        <f>ROUND(IF(IFERROR(PROPERTIES[[#This Row],[TE_COEFFICIENT_CALC]],0)=0,PROPERTIES[[#This Row],[TE_COEFFICIENT_MANUAL]],PROPERTIES[[#This Row],[TE_COEFFICIENT_CALC]]),3)</f>
        <v>0.34899999999999998</v>
      </c>
      <c r="AD1005" s="39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6">
        <v>0</v>
      </c>
      <c r="AF1005" s="6">
        <v>0</v>
      </c>
      <c r="AG1005" t="s">
        <v>233</v>
      </c>
      <c r="AH1005" t="s">
        <v>229</v>
      </c>
      <c r="AI1005" t="s">
        <v>229</v>
      </c>
      <c r="AJ1005" s="2" t="s">
        <v>229</v>
      </c>
      <c r="AK1005" s="7" t="s">
        <v>244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44" t="b">
        <v>0</v>
      </c>
      <c r="AP1005" s="48" t="b">
        <v>0</v>
      </c>
      <c r="AQ1005" s="48" t="b">
        <v>0</v>
      </c>
      <c r="AR1005" s="48">
        <v>0</v>
      </c>
      <c r="AS1005" s="48" t="b">
        <v>0</v>
      </c>
      <c r="AT1005" s="7" t="b">
        <v>0</v>
      </c>
      <c r="AU1005" s="40" t="str" cm="1">
        <f t="array" ref="AU1005">_xlfn.XLOOKUP(PROPERTIES[[#This Row],[VEHIDCODE]],GRAPHICS_PROPERTIES[VEHIDCODE],GRAPHICS_PROPERTIES[TEMPLATE_ID]&amp;GRAPHICS_PROPERTIES[TEMPLATE_AMENDMENT_CODE])</f>
        <v>TPL_01A</v>
      </c>
    </row>
    <row r="1006" spans="1:47" x14ac:dyDescent="0.35">
      <c r="A1006" s="2" t="s">
        <v>3434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0" t="str">
        <f>_xlfn.XLOOKUP(PROPERTIES[[#This Row],[VEHIDCODE]],CONTROL[VEHIDCODE],CONTROL[ENGLISH])</f>
        <v>Hitachi E1100</v>
      </c>
      <c r="F1006" t="s">
        <v>663</v>
      </c>
      <c r="G1006" s="40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17</v>
      </c>
      <c r="J1006">
        <v>0</v>
      </c>
      <c r="K1006">
        <v>8</v>
      </c>
      <c r="L1006">
        <v>0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3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0">
        <v>313</v>
      </c>
      <c r="AA1006" s="20">
        <f>IFERROR(PROPERTIES[[#This Row],[TE_STARTING_KN]]/(PROPERTIES[[#This Row],[WEIGHT]]*9.81),0)</f>
        <v>0.26588515120625211</v>
      </c>
      <c r="AB1006" s="20">
        <v>0</v>
      </c>
      <c r="AC1006" s="16">
        <f>ROUND(IF(IFERROR(PROPERTIES[[#This Row],[TE_COEFFICIENT_CALC]],0)=0,PROPERTIES[[#This Row],[TE_COEFFICIENT_MANUAL]],PROPERTIES[[#This Row],[TE_COEFFICIENT_CALC]]),3)</f>
        <v>0.26600000000000001</v>
      </c>
      <c r="AD1006" s="39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6">
        <v>0</v>
      </c>
      <c r="AF1006" s="6">
        <v>0</v>
      </c>
      <c r="AG1006" t="s">
        <v>233</v>
      </c>
      <c r="AH1006" t="s">
        <v>229</v>
      </c>
      <c r="AI1006" t="s">
        <v>229</v>
      </c>
      <c r="AJ1006" s="2" t="s">
        <v>229</v>
      </c>
      <c r="AK1006" s="7" t="s">
        <v>244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44" t="b">
        <v>0</v>
      </c>
      <c r="AP1006" s="48" t="b">
        <v>0</v>
      </c>
      <c r="AQ1006" s="48" t="b">
        <v>0</v>
      </c>
      <c r="AR1006" s="48">
        <v>0</v>
      </c>
      <c r="AS1006" s="48" t="b">
        <v>0</v>
      </c>
      <c r="AT1006" s="7" t="b">
        <v>0</v>
      </c>
      <c r="AU1006" s="40" t="str" cm="1">
        <f t="array" ref="AU1006">_xlfn.XLOOKUP(PROPERTIES[[#This Row],[VEHIDCODE]],GRAPHICS_PROPERTIES[VEHIDCODE],GRAPHICS_PROPERTIES[TEMPLATE_ID]&amp;GRAPHICS_PROPERTIES[TEMPLATE_AMENDMENT_CODE])</f>
        <v>TPL_01A</v>
      </c>
    </row>
    <row r="1007" spans="1:47" x14ac:dyDescent="0.35">
      <c r="A1007" s="2" t="s">
        <v>3435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0" t="str">
        <f>_xlfn.XLOOKUP(PROPERTIES[[#This Row],[VEHIDCODE]],CONTROL[VEHIDCODE],CONTROL[ENGLISH])</f>
        <v>RDSO/CLW WAM-4</v>
      </c>
      <c r="F1007" t="s">
        <v>631</v>
      </c>
      <c r="G1007" s="40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17</v>
      </c>
      <c r="J1007">
        <v>0</v>
      </c>
      <c r="K1007">
        <v>8</v>
      </c>
      <c r="L1007">
        <v>0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3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0">
        <v>331.9</v>
      </c>
      <c r="AA1007" s="20">
        <f>IFERROR(PROPERTIES[[#This Row],[TE_STARTING_KN]]/(PROPERTIES[[#This Row],[WEIGHT]]*9.81),0)</f>
        <v>0.29993637987001248</v>
      </c>
      <c r="AB1007" s="20">
        <v>0</v>
      </c>
      <c r="AC1007" s="16">
        <f>ROUND(IF(IFERROR(PROPERTIES[[#This Row],[TE_COEFFICIENT_CALC]],0)=0,PROPERTIES[[#This Row],[TE_COEFFICIENT_MANUAL]],PROPERTIES[[#This Row],[TE_COEFFICIENT_CALC]]),3)</f>
        <v>0.3</v>
      </c>
      <c r="AD1007" s="39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6">
        <v>0</v>
      </c>
      <c r="AF1007" s="6">
        <v>0</v>
      </c>
      <c r="AG1007" t="s">
        <v>238</v>
      </c>
      <c r="AH1007" t="s">
        <v>229</v>
      </c>
      <c r="AI1007" t="s">
        <v>229</v>
      </c>
      <c r="AJ1007" s="2" t="s">
        <v>229</v>
      </c>
      <c r="AK1007" s="7" t="s">
        <v>244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44" t="b">
        <v>0</v>
      </c>
      <c r="AP1007" s="48" t="b">
        <v>0</v>
      </c>
      <c r="AQ1007" s="48" t="b">
        <v>0</v>
      </c>
      <c r="AR1007" s="48">
        <v>0</v>
      </c>
      <c r="AS1007" s="48" t="b">
        <v>0</v>
      </c>
      <c r="AT1007" s="7" t="b">
        <v>0</v>
      </c>
      <c r="AU1007" s="40" t="str" cm="1">
        <f t="array" ref="AU1007">_xlfn.XLOOKUP(PROPERTIES[[#This Row],[VEHIDCODE]],GRAPHICS_PROPERTIES[VEHIDCODE],GRAPHICS_PROPERTIES[TEMPLATE_ID]&amp;GRAPHICS_PROPERTIES[TEMPLATE_AMENDMENT_CODE])</f>
        <v>TPL_01A</v>
      </c>
    </row>
    <row r="1008" spans="1:47" x14ac:dyDescent="0.35">
      <c r="A1008" s="2" t="s">
        <v>3436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0" t="str">
        <f>_xlfn.XLOOKUP(PROPERTIES[[#This Row],[VEHIDCODE]],CONTROL[VEHIDCODE],CONTROL[ENGLISH])</f>
        <v>Groupement 50 Hz WAM 1</v>
      </c>
      <c r="F1008" t="s">
        <v>631</v>
      </c>
      <c r="G1008" s="40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17</v>
      </c>
      <c r="J1008">
        <v>0</v>
      </c>
      <c r="K1008">
        <v>7</v>
      </c>
      <c r="L1008">
        <v>0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3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0">
        <v>250</v>
      </c>
      <c r="AA1008" s="20">
        <f>IFERROR(PROPERTIES[[#This Row],[TE_STARTING_KN]]/(PROPERTIES[[#This Row],[WEIGHT]]*9.81),0)</f>
        <v>0.34438107832603243</v>
      </c>
      <c r="AB1008" s="20">
        <v>0</v>
      </c>
      <c r="AC1008" s="16">
        <f>ROUND(IF(IFERROR(PROPERTIES[[#This Row],[TE_COEFFICIENT_CALC]],0)=0,PROPERTIES[[#This Row],[TE_COEFFICIENT_MANUAL]],PROPERTIES[[#This Row],[TE_COEFFICIENT_CALC]]),3)</f>
        <v>0.34399999999999997</v>
      </c>
      <c r="AD1008" s="39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6">
        <v>0</v>
      </c>
      <c r="AF1008" s="6">
        <v>0</v>
      </c>
      <c r="AG1008" t="s">
        <v>238</v>
      </c>
      <c r="AH1008" t="s">
        <v>229</v>
      </c>
      <c r="AI1008" t="s">
        <v>229</v>
      </c>
      <c r="AJ1008" s="2" t="s">
        <v>229</v>
      </c>
      <c r="AK1008" s="7" t="s">
        <v>244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44" t="b">
        <v>0</v>
      </c>
      <c r="AP1008" s="48" t="b">
        <v>0</v>
      </c>
      <c r="AQ1008" s="48" t="b">
        <v>0</v>
      </c>
      <c r="AR1008" s="48">
        <v>0</v>
      </c>
      <c r="AS1008" s="48" t="b">
        <v>0</v>
      </c>
      <c r="AT1008" s="7" t="b">
        <v>0</v>
      </c>
      <c r="AU1008" s="40" t="str" cm="1">
        <f t="array" ref="AU1008">_xlfn.XLOOKUP(PROPERTIES[[#This Row],[VEHIDCODE]],GRAPHICS_PROPERTIES[VEHIDCODE],GRAPHICS_PROPERTIES[TEMPLATE_ID]&amp;GRAPHICS_PROPERTIES[TEMPLATE_AMENDMENT_CODE])</f>
        <v>TPL_01A</v>
      </c>
    </row>
    <row r="1009" spans="1:47" x14ac:dyDescent="0.35">
      <c r="A1009" s="2" t="s">
        <v>3437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0" t="str">
        <f>_xlfn.XLOOKUP(PROPERTIES[[#This Row],[VEHIDCODE]],CONTROL[VEHIDCODE],CONTROL[ENGLISH])</f>
        <v>Baldwin-Lima-Hamilton RF-615-E</v>
      </c>
      <c r="F1009" t="s">
        <v>538</v>
      </c>
      <c r="G1009" s="40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17</v>
      </c>
      <c r="J1009">
        <v>0</v>
      </c>
      <c r="K1009">
        <v>8</v>
      </c>
      <c r="L1009">
        <v>0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3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0">
        <v>263</v>
      </c>
      <c r="AA1009" s="20">
        <f>IFERROR(PROPERTIES[[#This Row],[TE_STARTING_KN]]/(PROPERTIES[[#This Row],[WEIGHT]]*9.81),0)</f>
        <v>0.25532741129071407</v>
      </c>
      <c r="AB1009" s="20">
        <v>0</v>
      </c>
      <c r="AC1009" s="16">
        <f>ROUND(IF(IFERROR(PROPERTIES[[#This Row],[TE_COEFFICIENT_CALC]],0)=0,PROPERTIES[[#This Row],[TE_COEFFICIENT_MANUAL]],PROPERTIES[[#This Row],[TE_COEFFICIENT_CALC]]),3)</f>
        <v>0.255</v>
      </c>
      <c r="AD1009" s="39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6">
        <v>0</v>
      </c>
      <c r="AF1009" s="6">
        <v>0</v>
      </c>
      <c r="AG1009" t="s">
        <v>237</v>
      </c>
      <c r="AH1009" t="s">
        <v>229</v>
      </c>
      <c r="AI1009" t="s">
        <v>229</v>
      </c>
      <c r="AJ1009" s="2" t="s">
        <v>229</v>
      </c>
      <c r="AK1009" s="7" t="s">
        <v>244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44" t="b">
        <v>0</v>
      </c>
      <c r="AP1009" s="48" t="b">
        <v>0</v>
      </c>
      <c r="AQ1009" s="48" t="b">
        <v>0</v>
      </c>
      <c r="AR1009" s="48">
        <v>0</v>
      </c>
      <c r="AS1009" s="48" t="b">
        <v>0</v>
      </c>
      <c r="AT1009" s="7" t="b">
        <v>0</v>
      </c>
      <c r="AU1009" s="40" t="str" cm="1">
        <f t="array" ref="AU1009">_xlfn.XLOOKUP(PROPERTIES[[#This Row],[VEHIDCODE]],GRAPHICS_PROPERTIES[VEHIDCODE],GRAPHICS_PROPERTIES[TEMPLATE_ID]&amp;GRAPHICS_PROPERTIES[TEMPLATE_AMENDMENT_CODE])</f>
        <v>TPL_01A</v>
      </c>
    </row>
    <row r="1010" spans="1:47" x14ac:dyDescent="0.35">
      <c r="A1010" s="2" t="s">
        <v>3438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0" t="str">
        <f>_xlfn.XLOOKUP(PROPERTIES[[#This Row],[VEHIDCODE]],CONTROL[VEHIDCODE],CONTROL[ENGLISH])</f>
        <v>EE/Dick, Kerr &amp; Co/Vulcan Foundry DE2</v>
      </c>
      <c r="F1010" t="s">
        <v>773</v>
      </c>
      <c r="G1010" s="40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17</v>
      </c>
      <c r="J1010">
        <v>0</v>
      </c>
      <c r="K1010">
        <v>8</v>
      </c>
      <c r="L1010">
        <v>0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3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0">
        <v>268.2</v>
      </c>
      <c r="AA1010" s="20">
        <f>IFERROR(PROPERTIES[[#This Row],[TE_STARTING_KN]]/(PROPERTIES[[#This Row],[WEIGHT]]*9.81),0)</f>
        <v>0.24194203133880002</v>
      </c>
      <c r="AB1010" s="20">
        <v>0</v>
      </c>
      <c r="AC1010" s="16">
        <f>ROUND(IF(IFERROR(PROPERTIES[[#This Row],[TE_COEFFICIENT_CALC]],0)=0,PROPERTIES[[#This Row],[TE_COEFFICIENT_MANUAL]],PROPERTIES[[#This Row],[TE_COEFFICIENT_CALC]]),3)</f>
        <v>0.24199999999999999</v>
      </c>
      <c r="AD1010" s="39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6">
        <v>0</v>
      </c>
      <c r="AF1010" s="6">
        <v>0</v>
      </c>
      <c r="AG1010" t="s">
        <v>233</v>
      </c>
      <c r="AH1010" t="s">
        <v>229</v>
      </c>
      <c r="AI1010" t="s">
        <v>229</v>
      </c>
      <c r="AJ1010" s="2" t="s">
        <v>229</v>
      </c>
      <c r="AK1010" s="7" t="s">
        <v>244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44" t="b">
        <v>0</v>
      </c>
      <c r="AP1010" s="48" t="b">
        <v>0</v>
      </c>
      <c r="AQ1010" s="48" t="b">
        <v>0</v>
      </c>
      <c r="AR1010" s="48">
        <v>0</v>
      </c>
      <c r="AS1010" s="48" t="b">
        <v>0</v>
      </c>
      <c r="AT1010" s="7" t="b">
        <v>0</v>
      </c>
      <c r="AU1010" s="40" t="str" cm="1">
        <f t="array" ref="AU1010">_xlfn.XLOOKUP(PROPERTIES[[#This Row],[VEHIDCODE]],GRAPHICS_PROPERTIES[VEHIDCODE],GRAPHICS_PROPERTIES[TEMPLATE_ID]&amp;GRAPHICS_PROPERTIES[TEMPLATE_AMENDMENT_CODE])</f>
        <v>TPL_01A</v>
      </c>
    </row>
    <row r="1011" spans="1:47" x14ac:dyDescent="0.35">
      <c r="A1011" t="s">
        <v>3487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0" t="str">
        <f>_xlfn.XLOOKUP(PROPERTIES[[#This Row],[VEHIDCODE]],CONTROL[VEHIDCODE],CONTROL[ENGLISH])</f>
        <v>Ingeteam TD2000 series</v>
      </c>
      <c r="F1011" t="s">
        <v>595</v>
      </c>
      <c r="G1011" s="40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17</v>
      </c>
      <c r="J1011">
        <v>0</v>
      </c>
      <c r="K1011">
        <v>7</v>
      </c>
      <c r="L1011">
        <v>0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3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0">
        <v>260</v>
      </c>
      <c r="AA1011" s="20">
        <f>IFERROR(PROPERTIES[[#This Row],[TE_STARTING_KN]]/(PROPERTIES[[#This Row],[WEIGHT]]*9.81),0)</f>
        <v>0.42747689980599124</v>
      </c>
      <c r="AB1011" s="20">
        <v>0</v>
      </c>
      <c r="AC1011" s="16">
        <f>ROUND(IF(IFERROR(PROPERTIES[[#This Row],[TE_COEFFICIENT_CALC]],0)=0,PROPERTIES[[#This Row],[TE_COEFFICIENT_MANUAL]],PROPERTIES[[#This Row],[TE_COEFFICIENT_CALC]]),3)</f>
        <v>0.42699999999999999</v>
      </c>
      <c r="AD1011" s="39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6">
        <v>0</v>
      </c>
      <c r="AF1011" s="6">
        <v>0</v>
      </c>
      <c r="AG1011" t="s">
        <v>237</v>
      </c>
      <c r="AH1011" t="s">
        <v>231</v>
      </c>
      <c r="AI1011" t="s">
        <v>229</v>
      </c>
      <c r="AJ1011" s="2" t="s">
        <v>229</v>
      </c>
      <c r="AK1011" s="7" t="s">
        <v>244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44" t="b">
        <v>0</v>
      </c>
      <c r="AP1011" s="48" t="b">
        <v>0</v>
      </c>
      <c r="AQ1011" s="48" t="b">
        <v>0</v>
      </c>
      <c r="AR1011" s="48">
        <v>0</v>
      </c>
      <c r="AS1011" s="48" t="b">
        <v>0</v>
      </c>
      <c r="AT1011" s="7" t="b">
        <v>0</v>
      </c>
      <c r="AU1011" s="40" t="str" cm="1">
        <f t="array" ref="AU1011">_xlfn.XLOOKUP(PROPERTIES[[#This Row],[VEHIDCODE]],GRAPHICS_PROPERTIES[VEHIDCODE],GRAPHICS_PROPERTIES[TEMPLATE_ID]&amp;GRAPHICS_PROPERTIES[TEMPLATE_AMENDMENT_CODE])</f>
        <v>TPL_01A</v>
      </c>
    </row>
    <row r="1012" spans="1:47" x14ac:dyDescent="0.35">
      <c r="A1012" s="2" t="s">
        <v>3479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0" t="str">
        <f>_xlfn.XLOOKUP(PROPERTIES[[#This Row],[VEHIDCODE]],CONTROL[VEHIDCODE],CONTROL[ENGLISH])</f>
        <v>Tulloch 0-6-0DM 'W' Class</v>
      </c>
      <c r="F1012" t="s">
        <v>541</v>
      </c>
      <c r="G1012" s="40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17</v>
      </c>
      <c r="J1012">
        <v>0</v>
      </c>
      <c r="K1012">
        <v>5</v>
      </c>
      <c r="L1012">
        <v>0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3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0">
        <v>267</v>
      </c>
      <c r="AA1012" s="19">
        <f>IFERROR(PROPERTIES[[#This Row],[TE_STARTING_KN]]/(PROPERTIES[[#This Row],[WEIGHT]]*9.81),0)</f>
        <v>0.24742841256602721</v>
      </c>
      <c r="AB1012" s="19">
        <v>0</v>
      </c>
      <c r="AC1012" s="16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6">
        <v>0</v>
      </c>
      <c r="AF1012" s="6">
        <v>0</v>
      </c>
      <c r="AG1012" t="s">
        <v>232</v>
      </c>
      <c r="AH1012" t="s">
        <v>229</v>
      </c>
      <c r="AI1012" t="s">
        <v>229</v>
      </c>
      <c r="AJ1012" s="2" t="s">
        <v>229</v>
      </c>
      <c r="AK1012" s="7" t="s">
        <v>244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44" t="b">
        <v>0</v>
      </c>
      <c r="AP1012" s="48" t="b">
        <v>0</v>
      </c>
      <c r="AQ1012" s="48" t="b">
        <v>0</v>
      </c>
      <c r="AR1012" s="48">
        <v>0</v>
      </c>
      <c r="AS1012" s="48" t="b">
        <v>0</v>
      </c>
      <c r="AT1012" s="7" t="b">
        <v>0</v>
      </c>
      <c r="AU1012" s="40" t="str" cm="1">
        <f t="array" ref="AU1012">_xlfn.XLOOKUP(PROPERTIES[[#This Row],[VEHIDCODE]],GRAPHICS_PROPERTIES[VEHIDCODE],GRAPHICS_PROPERTIES[TEMPLATE_ID]&amp;GRAPHICS_PROPERTIES[TEMPLATE_AMENDMENT_CODE])</f>
        <v>TPL_01A</v>
      </c>
    </row>
    <row r="1013" spans="1:47" x14ac:dyDescent="0.35">
      <c r="A1013" s="2" t="s">
        <v>3491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0" t="str">
        <f>_xlfn.XLOOKUP(PROPERTIES[[#This Row],[VEHIDCODE]],CONTROL[VEHIDCODE],CONTROL[ENGLISH])</f>
        <v>GE 289A Boxcab</v>
      </c>
      <c r="F1013" t="s">
        <v>573</v>
      </c>
      <c r="G1013" s="40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17</v>
      </c>
      <c r="J1013">
        <v>0</v>
      </c>
      <c r="K1013">
        <v>6</v>
      </c>
      <c r="L1013">
        <v>0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0">
        <v>250</v>
      </c>
      <c r="AA1013" s="19">
        <f>IFERROR(PROPERTIES[[#This Row],[TE_STARTING_KN]]/(PROPERTIES[[#This Row],[WEIGHT]]*9.81),0)</f>
        <v>0.38036119098696125</v>
      </c>
      <c r="AB1013" s="20">
        <v>0</v>
      </c>
      <c r="AC1013" s="16">
        <f>ROUND(IF(IFERROR(PROPERTIES[[#This Row],[TE_COEFFICIENT_CALC]],0)=0,PROPERTIES[[#This Row],[TE_COEFFICIENT_MANUAL]],PROPERTIES[[#This Row],[TE_COEFFICIENT_CALC]]),3)</f>
        <v>0.38</v>
      </c>
      <c r="AD1013" s="39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6">
        <v>0</v>
      </c>
      <c r="AF1013" s="6">
        <v>0</v>
      </c>
      <c r="AG1013" t="s">
        <v>237</v>
      </c>
      <c r="AH1013" t="s">
        <v>229</v>
      </c>
      <c r="AI1013" t="s">
        <v>229</v>
      </c>
      <c r="AJ1013" s="2" t="s">
        <v>229</v>
      </c>
      <c r="AK1013" s="7" t="s">
        <v>244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44" t="b">
        <v>0</v>
      </c>
      <c r="AP1013" s="48" t="b">
        <v>0</v>
      </c>
      <c r="AQ1013" s="48" t="b">
        <v>0</v>
      </c>
      <c r="AR1013" s="48">
        <v>0</v>
      </c>
      <c r="AS1013" s="48" t="b">
        <v>0</v>
      </c>
      <c r="AT1013" s="7" t="b">
        <v>0</v>
      </c>
      <c r="AU1013" s="40" t="str" cm="1">
        <f t="array" ref="AU1013">_xlfn.XLOOKUP(PROPERTIES[[#This Row],[VEHIDCODE]],GRAPHICS_PROPERTIES[VEHIDCODE],GRAPHICS_PROPERTIES[TEMPLATE_ID]&amp;GRAPHICS_PROPERTIES[TEMPLATE_AMENDMENT_CODE])</f>
        <v>TPL_01A</v>
      </c>
    </row>
    <row r="1014" spans="1:47" x14ac:dyDescent="0.35">
      <c r="A1014" s="2" t="s">
        <v>3494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0" t="str">
        <f>_xlfn.XLOOKUP(PROPERTIES[[#This Row],[VEHIDCODE]],CONTROL[VEHIDCODE],CONTROL[ENGLISH])</f>
        <v>Alsthom EC 386</v>
      </c>
      <c r="F1014" t="s">
        <v>573</v>
      </c>
      <c r="G1014" s="40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17</v>
      </c>
      <c r="J1014">
        <v>0</v>
      </c>
      <c r="K1014">
        <v>8</v>
      </c>
      <c r="L1014">
        <v>0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3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0">
        <v>0</v>
      </c>
      <c r="AA1014" s="20">
        <f>IFERROR(PROPERTIES[[#This Row],[TE_STARTING_KN]]/(PROPERTIES[[#This Row],[WEIGHT]]*9.81),0)</f>
        <v>0</v>
      </c>
      <c r="AB1014" s="20">
        <v>0.25</v>
      </c>
      <c r="AC1014" s="16">
        <f>ROUND(IF(IFERROR(PROPERTIES[[#This Row],[TE_COEFFICIENT_CALC]],0)=0,PROPERTIES[[#This Row],[TE_COEFFICIENT_MANUAL]],PROPERTIES[[#This Row],[TE_COEFFICIENT_CALC]]),3)</f>
        <v>0.25</v>
      </c>
      <c r="AD1014" s="39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6">
        <v>0</v>
      </c>
      <c r="AF1014" s="6">
        <v>0</v>
      </c>
      <c r="AG1014" t="s">
        <v>237</v>
      </c>
      <c r="AH1014" t="s">
        <v>229</v>
      </c>
      <c r="AI1014" t="s">
        <v>229</v>
      </c>
      <c r="AJ1014" s="2" t="s">
        <v>229</v>
      </c>
      <c r="AK1014" s="7" t="s">
        <v>244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44" t="b">
        <v>0</v>
      </c>
      <c r="AP1014" s="48" t="b">
        <v>0</v>
      </c>
      <c r="AQ1014" s="48" t="b">
        <v>0</v>
      </c>
      <c r="AR1014" s="48">
        <v>0</v>
      </c>
      <c r="AS1014" s="48" t="b">
        <v>0</v>
      </c>
      <c r="AT1014" s="7" t="b">
        <v>0</v>
      </c>
      <c r="AU1014" s="40" t="str" cm="1">
        <f t="array" ref="AU1014">_xlfn.XLOOKUP(PROPERTIES[[#This Row],[VEHIDCODE]],GRAPHICS_PROPERTIES[VEHIDCODE],GRAPHICS_PROPERTIES[TEMPLATE_ID]&amp;GRAPHICS_PROPERTIES[TEMPLATE_AMENDMENT_CODE])</f>
        <v>TPL_01A</v>
      </c>
    </row>
    <row r="1015" spans="1:47" x14ac:dyDescent="0.35">
      <c r="A1015" t="s">
        <v>3499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0" t="str">
        <f>_xlfn.XLOOKUP(PROPERTIES[[#This Row],[VEHIDCODE]],CONTROL[VEHIDCODE],CONTROL[ENGLISH])</f>
        <v>Chesta Casagrande E650</v>
      </c>
      <c r="F1015" t="s">
        <v>573</v>
      </c>
      <c r="G1015" s="40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17</v>
      </c>
      <c r="J1015">
        <v>0</v>
      </c>
      <c r="K1015">
        <v>6</v>
      </c>
      <c r="L1015">
        <v>0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3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0">
        <v>0</v>
      </c>
      <c r="AA1015" s="20">
        <f>IFERROR(PROPERTIES[[#This Row],[TE_STARTING_KN]]/(PROPERTIES[[#This Row],[WEIGHT]]*9.81),0)</f>
        <v>0</v>
      </c>
      <c r="AB1015" s="20">
        <v>0.25</v>
      </c>
      <c r="AC1015" s="16">
        <f>ROUND(IF(IFERROR(PROPERTIES[[#This Row],[TE_COEFFICIENT_CALC]],0)=0,PROPERTIES[[#This Row],[TE_COEFFICIENT_MANUAL]],PROPERTIES[[#This Row],[TE_COEFFICIENT_CALC]]),3)</f>
        <v>0.25</v>
      </c>
      <c r="AD1015" s="39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6">
        <v>0</v>
      </c>
      <c r="AF1015" s="6">
        <v>0</v>
      </c>
      <c r="AG1015" t="s">
        <v>237</v>
      </c>
      <c r="AH1015" t="s">
        <v>229</v>
      </c>
      <c r="AI1015" t="s">
        <v>229</v>
      </c>
      <c r="AJ1015" s="2" t="s">
        <v>229</v>
      </c>
      <c r="AK1015" s="7" t="s">
        <v>244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44" t="b">
        <v>0</v>
      </c>
      <c r="AP1015" s="48" t="b">
        <v>0</v>
      </c>
      <c r="AQ1015" s="48" t="b">
        <v>0</v>
      </c>
      <c r="AR1015" s="48">
        <v>0</v>
      </c>
      <c r="AS1015" s="48" t="b">
        <v>0</v>
      </c>
      <c r="AT1015" s="7" t="b">
        <v>0</v>
      </c>
      <c r="AU1015" s="40" t="str" cm="1">
        <f t="array" ref="AU1015">_xlfn.XLOOKUP(PROPERTIES[[#This Row],[VEHIDCODE]],GRAPHICS_PROPERTIES[VEHIDCODE],GRAPHICS_PROPERTIES[TEMPLATE_ID]&amp;GRAPHICS_PROPERTIES[TEMPLATE_AMENDMENT_CODE])</f>
        <v>TPL_01A</v>
      </c>
    </row>
    <row r="1016" spans="1:47" x14ac:dyDescent="0.35">
      <c r="A1016" s="2" t="s">
        <v>3492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0" t="str">
        <f>_xlfn.XLOOKUP(PROPERTIES[[#This Row],[VEHIDCODE]],CONTROL[VEHIDCODE],CONTROL[ENGLISH])</f>
        <v>Breda Marelli E32</v>
      </c>
      <c r="F1016" t="s">
        <v>573</v>
      </c>
      <c r="G1016" s="40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17</v>
      </c>
      <c r="J1016">
        <v>0</v>
      </c>
      <c r="K1016">
        <v>8</v>
      </c>
      <c r="L1016">
        <v>0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3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0">
        <v>0</v>
      </c>
      <c r="AA1016" s="20">
        <f>IFERROR(PROPERTIES[[#This Row],[TE_STARTING_KN]]/(PROPERTIES[[#This Row],[WEIGHT]]*9.81),0)</f>
        <v>0</v>
      </c>
      <c r="AB1016" s="20">
        <v>0.25</v>
      </c>
      <c r="AC1016" s="16">
        <f>ROUND(IF(IFERROR(PROPERTIES[[#This Row],[TE_COEFFICIENT_CALC]],0)=0,PROPERTIES[[#This Row],[TE_COEFFICIENT_MANUAL]],PROPERTIES[[#This Row],[TE_COEFFICIENT_CALC]]),3)</f>
        <v>0.25</v>
      </c>
      <c r="AD1016" s="39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6">
        <v>0</v>
      </c>
      <c r="AF1016" s="6">
        <v>0</v>
      </c>
      <c r="AG1016" t="s">
        <v>237</v>
      </c>
      <c r="AH1016" t="s">
        <v>229</v>
      </c>
      <c r="AI1016" t="s">
        <v>229</v>
      </c>
      <c r="AJ1016" s="2" t="s">
        <v>229</v>
      </c>
      <c r="AK1016" s="7" t="s">
        <v>244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44" t="b">
        <v>0</v>
      </c>
      <c r="AP1016" s="48" t="b">
        <v>0</v>
      </c>
      <c r="AQ1016" s="48" t="b">
        <v>0</v>
      </c>
      <c r="AR1016" s="48">
        <v>0</v>
      </c>
      <c r="AS1016" s="48" t="b">
        <v>0</v>
      </c>
      <c r="AT1016" s="7" t="b">
        <v>0</v>
      </c>
      <c r="AU1016" s="40" t="str" cm="1">
        <f t="array" ref="AU1016">_xlfn.XLOOKUP(PROPERTIES[[#This Row],[VEHIDCODE]],GRAPHICS_PROPERTIES[VEHIDCODE],GRAPHICS_PROPERTIES[TEMPLATE_ID]&amp;GRAPHICS_PROPERTIES[TEMPLATE_AMENDMENT_CODE])</f>
        <v>TPL_01A</v>
      </c>
    </row>
    <row r="1017" spans="1:47" x14ac:dyDescent="0.35">
      <c r="A1017" s="2" t="s">
        <v>3502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0" t="str">
        <f>_xlfn.XLOOKUP(PROPERTIES[[#This Row],[VEHIDCODE]],CONTROL[VEHIDCODE],CONTROL[ENGLISH])</f>
        <v>GE ES58ACi</v>
      </c>
      <c r="F1017" t="s">
        <v>558</v>
      </c>
      <c r="G1017" s="40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17</v>
      </c>
      <c r="J1017">
        <v>0</v>
      </c>
      <c r="K1017">
        <v>8</v>
      </c>
      <c r="L1017">
        <v>0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3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0">
        <v>907</v>
      </c>
      <c r="AA1017" s="20">
        <f>IFERROR(PROPERTIES[[#This Row],[TE_STARTING_KN]]/(PROPERTIES[[#This Row],[WEIGHT]]*9.81),0)</f>
        <v>0.5778542303771661</v>
      </c>
      <c r="AB1017" s="20">
        <v>0</v>
      </c>
      <c r="AC1017" s="16">
        <f>ROUND(IF(IFERROR(PROPERTIES[[#This Row],[TE_COEFFICIENT_CALC]],0)=0,PROPERTIES[[#This Row],[TE_COEFFICIENT_MANUAL]],PROPERTIES[[#This Row],[TE_COEFFICIENT_CALC]]),3)</f>
        <v>0.57799999999999996</v>
      </c>
      <c r="AD1017" s="39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6">
        <v>0</v>
      </c>
      <c r="AF1017" s="6">
        <v>0</v>
      </c>
      <c r="AG1017" t="s">
        <v>237</v>
      </c>
      <c r="AH1017" t="s">
        <v>229</v>
      </c>
      <c r="AI1017" t="s">
        <v>229</v>
      </c>
      <c r="AJ1017" s="2" t="s">
        <v>229</v>
      </c>
      <c r="AK1017" s="7" t="s">
        <v>244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44" t="b">
        <v>0</v>
      </c>
      <c r="AP1017" s="48" t="b">
        <v>0</v>
      </c>
      <c r="AQ1017" s="48" t="b">
        <v>0</v>
      </c>
      <c r="AR1017" s="48">
        <v>0</v>
      </c>
      <c r="AS1017" s="48" t="b">
        <v>0</v>
      </c>
      <c r="AT1017" s="7" t="b">
        <v>0</v>
      </c>
      <c r="AU1017" s="40" t="str" cm="1">
        <f t="array" ref="AU1017">_xlfn.XLOOKUP(PROPERTIES[[#This Row],[VEHIDCODE]],GRAPHICS_PROPERTIES[VEHIDCODE],GRAPHICS_PROPERTIES[TEMPLATE_ID]&amp;GRAPHICS_PROPERTIES[TEMPLATE_AMENDMENT_CODE])</f>
        <v>TPL_01A</v>
      </c>
    </row>
    <row r="1018" spans="1:47" x14ac:dyDescent="0.35">
      <c r="A1018" s="2" t="s">
        <v>3703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0" t="str">
        <f>_xlfn.XLOOKUP(PROPERTIES[[#This Row],[VEHIDCODE]],CONTROL[VEHIDCODE],CONTROL[ENGLISH])</f>
        <v>Ganz-MAVAG Ikarus 725.00</v>
      </c>
      <c r="F1018" t="s">
        <v>626</v>
      </c>
      <c r="G1018" s="40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22</v>
      </c>
      <c r="J1018">
        <f>86/2</f>
        <v>43</v>
      </c>
      <c r="K1018">
        <v>7</v>
      </c>
      <c r="L1018">
        <v>0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3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0">
        <v>0</v>
      </c>
      <c r="AA1018" s="20">
        <f>IFERROR(PROPERTIES[[#This Row],[TE_STARTING_KN]]/(PROPERTIES[[#This Row],[WEIGHT]]*9.81),0)</f>
        <v>0</v>
      </c>
      <c r="AB1018" s="20">
        <v>0.2</v>
      </c>
      <c r="AC1018" s="16">
        <f>ROUND(IF(IFERROR(PROPERTIES[[#This Row],[TE_COEFFICIENT_CALC]],0)=0,PROPERTIES[[#This Row],[TE_COEFFICIENT_MANUAL]],PROPERTIES[[#This Row],[TE_COEFFICIENT_CALC]]),3)</f>
        <v>0.2</v>
      </c>
      <c r="AD1018" s="39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6">
        <v>0</v>
      </c>
      <c r="AF1018" s="6">
        <v>7</v>
      </c>
      <c r="AG1018" s="6" t="s">
        <v>1948</v>
      </c>
      <c r="AH1018" t="s">
        <v>229</v>
      </c>
      <c r="AI1018" t="s">
        <v>229</v>
      </c>
      <c r="AJ1018" s="2" t="s">
        <v>229</v>
      </c>
      <c r="AK1018" s="7" t="s">
        <v>244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44" t="b">
        <v>0</v>
      </c>
      <c r="AP1018" s="48" t="b">
        <v>0</v>
      </c>
      <c r="AQ1018" s="48" t="b">
        <v>0</v>
      </c>
      <c r="AR1018" s="48">
        <v>0</v>
      </c>
      <c r="AS1018" s="48" t="b">
        <v>0</v>
      </c>
      <c r="AT1018" s="7" t="b">
        <v>0</v>
      </c>
      <c r="AU1018" s="40" t="str" cm="1">
        <f t="array" ref="AU1018">_xlfn.XLOOKUP(PROPERTIES[[#This Row],[VEHIDCODE]],GRAPHICS_PROPERTIES[VEHIDCODE],GRAPHICS_PROPERTIES[TEMPLATE_ID]&amp;GRAPHICS_PROPERTIES[TEMPLATE_AMENDMENT_CODE])</f>
        <v>TPL_03E</v>
      </c>
    </row>
    <row r="1019" spans="1:47" x14ac:dyDescent="0.35">
      <c r="A1019" s="2" t="s">
        <v>3558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0" t="str">
        <f>_xlfn.XLOOKUP(PROPERTIES[[#This Row],[VEHIDCODE]],CONTROL[VEHIDCODE],CONTROL[ENGLISH])</f>
        <v>Alstom Metropolis</v>
      </c>
      <c r="F1019" t="s">
        <v>602</v>
      </c>
      <c r="G1019" s="40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22</v>
      </c>
      <c r="J1019">
        <v>150</v>
      </c>
      <c r="K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3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0">
        <v>0</v>
      </c>
      <c r="AA1019" s="20">
        <v>0.3</v>
      </c>
      <c r="AB1019" s="20">
        <v>0</v>
      </c>
      <c r="AC1019" s="16">
        <f>ROUND(IF(IFERROR(PROPERTIES[[#This Row],[TE_COEFFICIENT_CALC]],0)=0,PROPERTIES[[#This Row],[TE_COEFFICIENT_MANUAL]],PROPERTIES[[#This Row],[TE_COEFFICIENT_CALC]]),3)</f>
        <v>0.3</v>
      </c>
      <c r="AD1019" s="39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6">
        <v>250</v>
      </c>
      <c r="AF1019" s="6">
        <v>8</v>
      </c>
      <c r="AG1019" s="6" t="s">
        <v>240</v>
      </c>
      <c r="AH1019" s="6" t="s">
        <v>1947</v>
      </c>
      <c r="AI1019" t="s">
        <v>230</v>
      </c>
      <c r="AJ1019" s="2" t="s">
        <v>236</v>
      </c>
      <c r="AK1019" s="7" t="s">
        <v>244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44" t="b">
        <v>0</v>
      </c>
      <c r="AP1019" s="48" t="b">
        <v>0</v>
      </c>
      <c r="AQ1019" s="48" t="b">
        <v>0</v>
      </c>
      <c r="AR1019" s="48">
        <v>0</v>
      </c>
      <c r="AS1019" s="48" t="b">
        <v>0</v>
      </c>
      <c r="AT1019" s="7" t="b">
        <v>0</v>
      </c>
      <c r="AU1019" s="40" t="str" cm="1">
        <f t="array" ref="AU1019">_xlfn.XLOOKUP(PROPERTIES[[#This Row],[VEHIDCODE]],GRAPHICS_PROPERTIES[VEHIDCODE],GRAPHICS_PROPERTIES[TEMPLATE_ID]&amp;GRAPHICS_PROPERTIES[TEMPLATE_AMENDMENT_CODE])</f>
        <v>TPL_02C</v>
      </c>
    </row>
    <row r="1020" spans="1:47" x14ac:dyDescent="0.35">
      <c r="A1020" s="2" t="s">
        <v>3561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0" t="str">
        <f>_xlfn.XLOOKUP(PROPERTIES[[#This Row],[VEHIDCODE]],CONTROL[VEHIDCODE],CONTROL[ENGLISH])</f>
        <v>Sharp Brothers 2-2-2 'Patriot'</v>
      </c>
      <c r="F1020" t="s">
        <v>638</v>
      </c>
      <c r="G1020" s="40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17</v>
      </c>
      <c r="J1020">
        <v>0</v>
      </c>
      <c r="K1020">
        <v>7</v>
      </c>
      <c r="L1020">
        <v>0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3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0">
        <v>18.100000000000001</v>
      </c>
      <c r="AA1020" s="19">
        <f>IFERROR(PROPERTIES[[#This Row],[TE_STARTING_KN]]/(PROPERTIES[[#This Row],[WEIGHT]]*9.81),0)</f>
        <v>3.0750934420659192E-2</v>
      </c>
      <c r="AB1020" s="19">
        <v>0</v>
      </c>
      <c r="AC1020" s="16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6">
        <v>0</v>
      </c>
      <c r="AF1020" s="6">
        <v>0</v>
      </c>
      <c r="AG1020" t="s">
        <v>235</v>
      </c>
      <c r="AH1020" t="s">
        <v>229</v>
      </c>
      <c r="AI1020" t="s">
        <v>229</v>
      </c>
      <c r="AJ1020" s="2" t="s">
        <v>229</v>
      </c>
      <c r="AK1020" s="2" t="s">
        <v>244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44" t="b">
        <v>0</v>
      </c>
      <c r="AP1020" s="48" t="b">
        <v>0</v>
      </c>
      <c r="AQ1020" s="48" t="b">
        <v>0</v>
      </c>
      <c r="AR1020" s="48">
        <v>0</v>
      </c>
      <c r="AS1020" s="48" t="b">
        <v>0</v>
      </c>
      <c r="AT1020" s="7" t="b">
        <v>0</v>
      </c>
      <c r="AU1020" s="40" t="str" cm="1">
        <f t="array" ref="AU1020">_xlfn.XLOOKUP(PROPERTIES[[#This Row],[VEHIDCODE]],GRAPHICS_PROPERTIES[VEHIDCODE],GRAPHICS_PROPERTIES[TEMPLATE_ID]&amp;GRAPHICS_PROPERTIES[TEMPLATE_AMENDMENT_CODE])</f>
        <v>TPL_03C</v>
      </c>
    </row>
    <row r="1021" spans="1:47" x14ac:dyDescent="0.35">
      <c r="A1021" s="2" t="s">
        <v>3570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0" t="str">
        <f>_xlfn.XLOOKUP(PROPERTIES[[#This Row],[VEHIDCODE]],CONTROL[VEHIDCODE],CONTROL[ENGLISH])</f>
        <v>Heavyweight Regional Coach</v>
      </c>
      <c r="G1021" s="40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22</v>
      </c>
      <c r="J1021">
        <v>90</v>
      </c>
      <c r="K1021">
        <v>8</v>
      </c>
      <c r="L1021">
        <v>0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3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0">
        <v>0</v>
      </c>
      <c r="AA1021" s="19">
        <f>IFERROR(PROPERTIES[[#This Row],[TE_STARTING_KN]]/(PROPERTIES[[#This Row],[WEIGHT]]*9.81),0)</f>
        <v>0</v>
      </c>
      <c r="AB1021" s="19">
        <v>0.3</v>
      </c>
      <c r="AC1021" s="16">
        <f>ROUND(IF(IFERROR(PROPERTIES[[#This Row],[TE_COEFFICIENT_CALC]],0)=0,PROPERTIES[[#This Row],[TE_COEFFICIENT_MANUAL]],PROPERTIES[[#This Row],[TE_COEFFICIENT_CALC]]),3)</f>
        <v>0.3</v>
      </c>
      <c r="AD1021" s="38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6">
        <v>0</v>
      </c>
      <c r="AF1021" s="6">
        <v>0</v>
      </c>
      <c r="AG1021" s="6" t="s">
        <v>240</v>
      </c>
      <c r="AH1021" s="6" t="s">
        <v>232</v>
      </c>
      <c r="AI1021" t="s">
        <v>229</v>
      </c>
      <c r="AJ1021" s="2" t="s">
        <v>229</v>
      </c>
      <c r="AK1021" s="7" t="s">
        <v>244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44" t="b">
        <v>0</v>
      </c>
      <c r="AP1021" s="48" t="b">
        <v>0</v>
      </c>
      <c r="AQ1021" s="48" t="b">
        <v>0</v>
      </c>
      <c r="AR1021" s="48">
        <v>0</v>
      </c>
      <c r="AS1021" s="48" t="b">
        <v>0</v>
      </c>
      <c r="AT1021" s="7" t="b">
        <v>0</v>
      </c>
      <c r="AU1021" s="40" t="str" cm="1">
        <f t="array" ref="AU1021">_xlfn.XLOOKUP(PROPERTIES[[#This Row],[VEHIDCODE]],GRAPHICS_PROPERTIES[VEHIDCODE],GRAPHICS_PROPERTIES[TEMPLATE_ID]&amp;GRAPHICS_PROPERTIES[TEMPLATE_AMENDMENT_CODE])</f>
        <v>TPL_04A</v>
      </c>
    </row>
    <row r="1022" spans="1:47" x14ac:dyDescent="0.35">
      <c r="A1022" s="2" t="s">
        <v>3575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0" t="str">
        <f>_xlfn.XLOOKUP(PROPERTIES[[#This Row],[VEHIDCODE]],CONTROL[VEHIDCODE],CONTROL[ENGLISH])</f>
        <v>Early American End-Platform Coach [Larger]</v>
      </c>
      <c r="G1022" s="40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22</v>
      </c>
      <c r="J1022">
        <v>70</v>
      </c>
      <c r="K1022">
        <v>7</v>
      </c>
      <c r="L1022">
        <v>0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3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0">
        <v>0</v>
      </c>
      <c r="AA1022" s="20">
        <f>IFERROR(PROPERTIES[[#This Row],[TE_STARTING_KN]]/(PROPERTIES[[#This Row],[WEIGHT]]*9.81),0)</f>
        <v>0</v>
      </c>
      <c r="AB1022" s="20">
        <v>0.3</v>
      </c>
      <c r="AC1022" s="16">
        <f>ROUND(IF(IFERROR(PROPERTIES[[#This Row],[TE_COEFFICIENT_CALC]],0)=0,PROPERTIES[[#This Row],[TE_COEFFICIENT_MANUAL]],PROPERTIES[[#This Row],[TE_COEFFICIENT_CALC]]),3)</f>
        <v>0.3</v>
      </c>
      <c r="AD1022" s="39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6">
        <v>0</v>
      </c>
      <c r="AF1022" s="6">
        <v>0</v>
      </c>
      <c r="AG1022" s="6" t="s">
        <v>1946</v>
      </c>
      <c r="AH1022" t="s">
        <v>229</v>
      </c>
      <c r="AI1022" t="s">
        <v>229</v>
      </c>
      <c r="AJ1022" s="2" t="s">
        <v>229</v>
      </c>
      <c r="AK1022" s="7" t="s">
        <v>244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44" t="b">
        <v>0</v>
      </c>
      <c r="AP1022" s="48" t="b">
        <v>0</v>
      </c>
      <c r="AQ1022" s="48" t="b">
        <v>0</v>
      </c>
      <c r="AR1022" s="48">
        <v>0</v>
      </c>
      <c r="AS1022" s="48" t="b">
        <v>0</v>
      </c>
      <c r="AT1022" s="7" t="b">
        <v>0</v>
      </c>
      <c r="AU1022" s="40" t="str" cm="1">
        <f t="array" ref="AU1022">_xlfn.XLOOKUP(PROPERTIES[[#This Row],[VEHIDCODE]],GRAPHICS_PROPERTIES[VEHIDCODE],GRAPHICS_PROPERTIES[TEMPLATE_ID]&amp;GRAPHICS_PROPERTIES[TEMPLATE_AMENDMENT_CODE])</f>
        <v>TPL_04A</v>
      </c>
    </row>
    <row r="1023" spans="1:47" x14ac:dyDescent="0.35">
      <c r="A1023" s="2" t="s">
        <v>3574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0" t="str">
        <f>_xlfn.XLOOKUP(PROPERTIES[[#This Row],[VEHIDCODE]],CONTROL[VEHIDCODE],CONTROL[ENGLISH])</f>
        <v>Early American End-Platform Mail Coach [Larger]</v>
      </c>
      <c r="G1023" s="40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36</v>
      </c>
      <c r="J1023">
        <v>70</v>
      </c>
      <c r="K1023">
        <v>7</v>
      </c>
      <c r="L1023">
        <v>0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3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0">
        <v>0</v>
      </c>
      <c r="AA1023" s="20">
        <f>IFERROR(PROPERTIES[[#This Row],[TE_STARTING_KN]]/(PROPERTIES[[#This Row],[WEIGHT]]*9.81),0)</f>
        <v>0</v>
      </c>
      <c r="AB1023" s="20">
        <v>0.3</v>
      </c>
      <c r="AC1023" s="16">
        <f>ROUND(IF(IFERROR(PROPERTIES[[#This Row],[TE_COEFFICIENT_CALC]],0)=0,PROPERTIES[[#This Row],[TE_COEFFICIENT_MANUAL]],PROPERTIES[[#This Row],[TE_COEFFICIENT_CALC]]),3)</f>
        <v>0.3</v>
      </c>
      <c r="AD1023" s="39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6">
        <v>0</v>
      </c>
      <c r="AF1023" s="6">
        <v>0</v>
      </c>
      <c r="AG1023" s="6" t="s">
        <v>1946</v>
      </c>
      <c r="AH1023" t="s">
        <v>229</v>
      </c>
      <c r="AI1023" t="s">
        <v>229</v>
      </c>
      <c r="AJ1023" s="2" t="s">
        <v>229</v>
      </c>
      <c r="AK1023" s="7" t="s">
        <v>244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44" t="b">
        <v>0</v>
      </c>
      <c r="AP1023" s="48" t="b">
        <v>0</v>
      </c>
      <c r="AQ1023" s="48" t="b">
        <v>0</v>
      </c>
      <c r="AR1023" s="48">
        <v>0</v>
      </c>
      <c r="AS1023" s="48" t="b">
        <v>0</v>
      </c>
      <c r="AT1023" s="7" t="b">
        <v>0</v>
      </c>
      <c r="AU1023" s="40" t="str" cm="1">
        <f t="array" ref="AU1023">_xlfn.XLOOKUP(PROPERTIES[[#This Row],[VEHIDCODE]],GRAPHICS_PROPERTIES[VEHIDCODE],GRAPHICS_PROPERTIES[TEMPLATE_ID]&amp;GRAPHICS_PROPERTIES[TEMPLATE_AMENDMENT_CODE])</f>
        <v>TPL_04A</v>
      </c>
    </row>
    <row r="1024" spans="1:47" x14ac:dyDescent="0.35">
      <c r="A1024" s="2" t="s">
        <v>3581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0" t="str">
        <f>_xlfn.XLOOKUP(PROPERTIES[[#This Row],[VEHIDCODE]],CONTROL[VEHIDCODE],CONTROL[ENGLISH])</f>
        <v>Lightweight Commuter Coach</v>
      </c>
      <c r="G1024" s="40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22</v>
      </c>
      <c r="J1024">
        <v>130</v>
      </c>
      <c r="K1024">
        <v>8</v>
      </c>
      <c r="L1024">
        <v>0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3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0">
        <v>0</v>
      </c>
      <c r="AA1024" s="20">
        <f>IFERROR(PROPERTIES[[#This Row],[TE_STARTING_KN]]/(PROPERTIES[[#This Row],[WEIGHT]]*9.81),0)</f>
        <v>0</v>
      </c>
      <c r="AB1024" s="20">
        <v>0.3</v>
      </c>
      <c r="AC1024" s="16">
        <f>ROUND(IF(IFERROR(PROPERTIES[[#This Row],[TE_COEFFICIENT_CALC]],0)=0,PROPERTIES[[#This Row],[TE_COEFFICIENT_MANUAL]],PROPERTIES[[#This Row],[TE_COEFFICIENT_CALC]]),3)</f>
        <v>0.3</v>
      </c>
      <c r="AD1024" s="39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6">
        <v>0</v>
      </c>
      <c r="AF1024" s="6">
        <v>0</v>
      </c>
      <c r="AG1024" s="6" t="s">
        <v>235</v>
      </c>
      <c r="AH1024" t="s">
        <v>229</v>
      </c>
      <c r="AI1024" t="s">
        <v>229</v>
      </c>
      <c r="AJ1024" s="2" t="s">
        <v>229</v>
      </c>
      <c r="AK1024" s="7" t="s">
        <v>244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44" t="b">
        <v>0</v>
      </c>
      <c r="AP1024" s="48" t="b">
        <v>1</v>
      </c>
      <c r="AQ1024" s="48" t="b">
        <v>0</v>
      </c>
      <c r="AR1024" s="48">
        <v>0</v>
      </c>
      <c r="AS1024" s="48" t="b">
        <v>0</v>
      </c>
      <c r="AT1024" s="7" t="b">
        <v>0</v>
      </c>
      <c r="AU1024" s="40" t="str" cm="1">
        <f t="array" ref="AU1024">_xlfn.XLOOKUP(PROPERTIES[[#This Row],[VEHIDCODE]],GRAPHICS_PROPERTIES[VEHIDCODE],GRAPHICS_PROPERTIES[TEMPLATE_ID]&amp;GRAPHICS_PROPERTIES[TEMPLATE_AMENDMENT_CODE])</f>
        <v>TPL_04A</v>
      </c>
    </row>
    <row r="1025" spans="1:47" x14ac:dyDescent="0.35">
      <c r="A1025" s="2" t="s">
        <v>3583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0" t="str">
        <f>_xlfn.XLOOKUP(PROPERTIES[[#This Row],[VEHIDCODE]],CONTROL[VEHIDCODE],CONTROL[ENGLISH])</f>
        <v>ALCO-GE T-Motor</v>
      </c>
      <c r="F1025" t="s">
        <v>757</v>
      </c>
      <c r="G1025" s="40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17</v>
      </c>
      <c r="J1025">
        <v>0</v>
      </c>
      <c r="K1025">
        <v>8</v>
      </c>
      <c r="L1025">
        <v>0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3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0">
        <v>290</v>
      </c>
      <c r="AA1025" s="20">
        <f>IFERROR(PROPERTIES[[#This Row],[TE_STARTING_KN]]/(PROPERTIES[[#This Row],[WEIGHT]]*9.81),0)</f>
        <v>0.24634726469588855</v>
      </c>
      <c r="AB1025" s="20">
        <v>0</v>
      </c>
      <c r="AC1025" s="16">
        <f>ROUND(IF(IFERROR(PROPERTIES[[#This Row],[TE_COEFFICIENT_CALC]],0)=0,PROPERTIES[[#This Row],[TE_COEFFICIENT_MANUAL]],PROPERTIES[[#This Row],[TE_COEFFICIENT_CALC]]),3)</f>
        <v>0.246</v>
      </c>
      <c r="AD1025" s="39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6">
        <v>0</v>
      </c>
      <c r="AF1025" s="6">
        <v>0</v>
      </c>
      <c r="AG1025" s="6" t="s">
        <v>235</v>
      </c>
      <c r="AH1025" t="s">
        <v>229</v>
      </c>
      <c r="AI1025" t="s">
        <v>229</v>
      </c>
      <c r="AJ1025" s="2" t="s">
        <v>229</v>
      </c>
      <c r="AK1025" s="7" t="s">
        <v>244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44" t="b">
        <v>0</v>
      </c>
      <c r="AP1025" s="48" t="b">
        <v>0</v>
      </c>
      <c r="AQ1025" s="48" t="b">
        <v>0</v>
      </c>
      <c r="AR1025" s="48">
        <v>0</v>
      </c>
      <c r="AS1025" s="48" t="b">
        <v>0</v>
      </c>
      <c r="AT1025" s="7" t="b">
        <v>0</v>
      </c>
      <c r="AU1025" s="40" t="str" cm="1">
        <f t="array" ref="AU1025">_xlfn.XLOOKUP(PROPERTIES[[#This Row],[VEHIDCODE]],GRAPHICS_PROPERTIES[VEHIDCODE],GRAPHICS_PROPERTIES[TEMPLATE_ID]&amp;GRAPHICS_PROPERTIES[TEMPLATE_AMENDMENT_CODE])</f>
        <v>TPL_01A</v>
      </c>
    </row>
    <row r="1026" spans="1:47" x14ac:dyDescent="0.35">
      <c r="A1026" t="s">
        <v>3586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0" t="str">
        <f>_xlfn.XLOOKUP(PROPERTIES[[#This Row],[VEHIDCODE]],CONTROL[VEHIDCODE],CONTROL[ENGLISH])</f>
        <v>Altoona Works Pennsylvania Railroad DD1</v>
      </c>
      <c r="F1026" t="s">
        <v>757</v>
      </c>
      <c r="G1026" s="40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17</v>
      </c>
      <c r="J1026">
        <v>0</v>
      </c>
      <c r="K1026">
        <v>5</v>
      </c>
      <c r="L1026">
        <v>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3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0">
        <v>494</v>
      </c>
      <c r="AA1026" s="19">
        <f>IFERROR(PROPERTIES[[#This Row],[TE_STARTING_KN]]/(PROPERTIES[[#This Row],[WEIGHT]]*9.81),0)</f>
        <v>0.35462520279680121</v>
      </c>
      <c r="AB1026" s="19">
        <v>0</v>
      </c>
      <c r="AC1026" s="16">
        <f>ROUND(IF(IFERROR(PROPERTIES[[#This Row],[TE_COEFFICIENT_CALC]],0)=0,PROPERTIES[[#This Row],[TE_COEFFICIENT_MANUAL]],PROPERTIES[[#This Row],[TE_COEFFICIENT_CALC]]),3)</f>
        <v>0.35499999999999998</v>
      </c>
      <c r="AD1026" s="38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6">
        <v>0</v>
      </c>
      <c r="AF1026" s="6">
        <v>5</v>
      </c>
      <c r="AG1026" s="6" t="s">
        <v>235</v>
      </c>
      <c r="AH1026" s="6" t="s">
        <v>229</v>
      </c>
      <c r="AI1026" t="s">
        <v>229</v>
      </c>
      <c r="AJ1026" s="2" t="s">
        <v>229</v>
      </c>
      <c r="AK1026" s="7" t="s">
        <v>244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44" t="b">
        <v>0</v>
      </c>
      <c r="AP1026" s="48" t="b">
        <v>0</v>
      </c>
      <c r="AQ1026" s="48" t="b">
        <v>0</v>
      </c>
      <c r="AR1026" s="48">
        <v>0</v>
      </c>
      <c r="AS1026" s="48" t="b">
        <v>0</v>
      </c>
      <c r="AT1026" s="7" t="b">
        <v>0</v>
      </c>
      <c r="AU1026" s="40" t="str" cm="1">
        <f t="array" ref="AU1026">_xlfn.XLOOKUP(PROPERTIES[[#This Row],[VEHIDCODE]],GRAPHICS_PROPERTIES[VEHIDCODE],GRAPHICS_PROPERTIES[TEMPLATE_ID]&amp;GRAPHICS_PROPERTIES[TEMPLATE_AMENDMENT_CODE])</f>
        <v>TPL_17E</v>
      </c>
    </row>
    <row r="1027" spans="1:47" x14ac:dyDescent="0.35">
      <c r="A1027" s="2" t="s">
        <v>3591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0" t="str">
        <f>_xlfn.XLOOKUP(PROPERTIES[[#This Row],[VEHIDCODE]],CONTROL[VEHIDCODE],CONTROL[ENGLISH])</f>
        <v>PRR MP70</v>
      </c>
      <c r="F1027" t="s">
        <v>757</v>
      </c>
      <c r="G1027" s="40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22</v>
      </c>
      <c r="J1027">
        <v>132</v>
      </c>
      <c r="K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3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0">
        <v>0</v>
      </c>
      <c r="AA1027" s="20">
        <f>IFERROR(PROPERTIES[[#This Row],[TE_STARTING_KN]]/(PROPERTIES[[#This Row],[WEIGHT]]*9.81),0)</f>
        <v>0</v>
      </c>
      <c r="AB1027" s="20">
        <v>0.25</v>
      </c>
      <c r="AC1027" s="16">
        <f>ROUND(IF(IFERROR(PROPERTIES[[#This Row],[TE_COEFFICIENT_CALC]],0)=0,PROPERTIES[[#This Row],[TE_COEFFICIENT_MANUAL]],PROPERTIES[[#This Row],[TE_COEFFICIENT_CALC]]),3)</f>
        <v>0.25</v>
      </c>
      <c r="AD1027" s="39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6">
        <v>132</v>
      </c>
      <c r="AF1027" s="6">
        <v>8</v>
      </c>
      <c r="AG1027" s="6" t="s">
        <v>235</v>
      </c>
      <c r="AH1027" s="6" t="s">
        <v>229</v>
      </c>
      <c r="AI1027" t="s">
        <v>229</v>
      </c>
      <c r="AJ1027" s="2" t="s">
        <v>229</v>
      </c>
      <c r="AK1027" s="7" t="s">
        <v>244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44" t="b">
        <v>0</v>
      </c>
      <c r="AP1027" s="48" t="b">
        <v>0</v>
      </c>
      <c r="AQ1027" s="48" t="b">
        <v>0</v>
      </c>
      <c r="AR1027" s="48">
        <v>0</v>
      </c>
      <c r="AS1027" s="48" t="b">
        <v>0</v>
      </c>
      <c r="AT1027" s="7" t="b">
        <v>0</v>
      </c>
      <c r="AU1027" s="40" t="str" cm="1">
        <f t="array" ref="AU1027">_xlfn.XLOOKUP(PROPERTIES[[#This Row],[VEHIDCODE]],GRAPHICS_PROPERTIES[VEHIDCODE],GRAPHICS_PROPERTIES[TEMPLATE_ID]&amp;GRAPHICS_PROPERTIES[TEMPLATE_AMENDMENT_CODE])</f>
        <v>TPL_02A</v>
      </c>
    </row>
    <row r="1028" spans="1:47" x14ac:dyDescent="0.35">
      <c r="A1028" s="2" t="s">
        <v>3592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0" t="str">
        <f>_xlfn.XLOOKUP(PROPERTIES[[#This Row],[VEHIDCODE]],CONTROL[VEHIDCODE],CONTROL[ENGLISH])</f>
        <v>Pullman Standard LIRR MP75 ACMU</v>
      </c>
      <c r="F1028" t="s">
        <v>757</v>
      </c>
      <c r="G1028" s="40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22</v>
      </c>
      <c r="J1028">
        <v>130</v>
      </c>
      <c r="K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3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0">
        <v>0</v>
      </c>
      <c r="AA1028" s="20">
        <f>IFERROR(PROPERTIES[[#This Row],[TE_STARTING_KN]]/(PROPERTIES[[#This Row],[WEIGHT]]*9.81),0)</f>
        <v>0</v>
      </c>
      <c r="AB1028" s="20">
        <v>0.25</v>
      </c>
      <c r="AC1028" s="16">
        <f>ROUND(IF(IFERROR(PROPERTIES[[#This Row],[TE_COEFFICIENT_CALC]],0)=0,PROPERTIES[[#This Row],[TE_COEFFICIENT_MANUAL]],PROPERTIES[[#This Row],[TE_COEFFICIENT_CALC]]),3)</f>
        <v>0.25</v>
      </c>
      <c r="AD1028" s="39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6">
        <v>130</v>
      </c>
      <c r="AF1028" s="6">
        <v>8</v>
      </c>
      <c r="AG1028" s="6" t="s">
        <v>235</v>
      </c>
      <c r="AH1028" s="6" t="s">
        <v>229</v>
      </c>
      <c r="AI1028" t="s">
        <v>229</v>
      </c>
      <c r="AJ1028" s="2" t="s">
        <v>229</v>
      </c>
      <c r="AK1028" s="7" t="s">
        <v>244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44" t="b">
        <v>0</v>
      </c>
      <c r="AP1028" s="48" t="b">
        <v>0</v>
      </c>
      <c r="AQ1028" s="48" t="b">
        <v>0</v>
      </c>
      <c r="AR1028" s="48">
        <v>0</v>
      </c>
      <c r="AS1028" s="48" t="b">
        <v>0</v>
      </c>
      <c r="AT1028" s="7" t="b">
        <v>0</v>
      </c>
      <c r="AU1028" s="40" t="str" cm="1">
        <f t="array" ref="AU1028">_xlfn.XLOOKUP(PROPERTIES[[#This Row],[VEHIDCODE]],GRAPHICS_PROPERTIES[VEHIDCODE],GRAPHICS_PROPERTIES[TEMPLATE_ID]&amp;GRAPHICS_PROPERTIES[TEMPLATE_AMENDMENT_CODE])</f>
        <v>TPL_02A</v>
      </c>
    </row>
    <row r="1029" spans="1:47" x14ac:dyDescent="0.35">
      <c r="A1029" s="2" t="s">
        <v>3596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0" t="str">
        <f>_xlfn.XLOOKUP(PROPERTIES[[#This Row],[VEHIDCODE]],CONTROL[VEHIDCODE],CONTROL[ENGLISH])</f>
        <v>ACF New York Central Heavyweight MU</v>
      </c>
      <c r="F1029" t="s">
        <v>757</v>
      </c>
      <c r="G1029" s="40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22</v>
      </c>
      <c r="J1029">
        <v>100</v>
      </c>
      <c r="K1029">
        <v>8</v>
      </c>
      <c r="L1029">
        <v>0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3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0">
        <v>0</v>
      </c>
      <c r="AA1029" s="20">
        <f>IFERROR(PROPERTIES[[#This Row],[TE_STARTING_KN]]/(PROPERTIES[[#This Row],[WEIGHT]]*9.81),0)</f>
        <v>0</v>
      </c>
      <c r="AB1029" s="20">
        <v>0.2</v>
      </c>
      <c r="AC1029" s="16">
        <f>ROUND(IF(IFERROR(PROPERTIES[[#This Row],[TE_COEFFICIENT_CALC]],0)=0,PROPERTIES[[#This Row],[TE_COEFFICIENT_MANUAL]],PROPERTIES[[#This Row],[TE_COEFFICIENT_CALC]]),3)</f>
        <v>0.2</v>
      </c>
      <c r="AD1029" s="39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6">
        <v>0</v>
      </c>
      <c r="AF1029" s="6">
        <v>0</v>
      </c>
      <c r="AG1029" s="6" t="s">
        <v>235</v>
      </c>
      <c r="AH1029" s="6" t="s">
        <v>229</v>
      </c>
      <c r="AI1029" t="s">
        <v>229</v>
      </c>
      <c r="AJ1029" s="2" t="s">
        <v>229</v>
      </c>
      <c r="AK1029" s="7" t="s">
        <v>244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44" t="b">
        <v>0</v>
      </c>
      <c r="AP1029" s="48" t="b">
        <v>0</v>
      </c>
      <c r="AQ1029" s="48" t="b">
        <v>0</v>
      </c>
      <c r="AR1029" s="48">
        <v>0</v>
      </c>
      <c r="AS1029" s="48" t="b">
        <v>0</v>
      </c>
      <c r="AT1029" s="7" t="b">
        <v>0</v>
      </c>
      <c r="AU1029" s="40" t="str" cm="1">
        <f t="array" ref="AU1029">_xlfn.XLOOKUP(PROPERTIES[[#This Row],[VEHIDCODE]],GRAPHICS_PROPERTIES[VEHIDCODE],GRAPHICS_PROPERTIES[TEMPLATE_ID]&amp;GRAPHICS_PROPERTIES[TEMPLATE_AMENDMENT_CODE])</f>
        <v>TPL_01A</v>
      </c>
    </row>
    <row r="1030" spans="1:47" x14ac:dyDescent="0.35">
      <c r="A1030" s="2" t="s">
        <v>3598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0" t="str">
        <f>_xlfn.XLOOKUP(PROPERTIES[[#This Row],[VEHIDCODE]],CONTROL[VEHIDCODE],CONTROL[ENGLISH])</f>
        <v>Goerlitz Articulated Double Decker Coach</v>
      </c>
      <c r="G1030" s="40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22</v>
      </c>
      <c r="J1030">
        <v>231</v>
      </c>
      <c r="K1030">
        <v>8</v>
      </c>
      <c r="L1030">
        <v>0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3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0">
        <v>0</v>
      </c>
      <c r="AA1030" s="19">
        <f>IFERROR(PROPERTIES[[#This Row],[TE_STARTING_KN]]/(PROPERTIES[[#This Row],[WEIGHT]]*9.81),0)</f>
        <v>0</v>
      </c>
      <c r="AB1030" s="19">
        <v>0.3</v>
      </c>
      <c r="AC1030" s="16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6">
        <v>0</v>
      </c>
      <c r="AF1030" s="6">
        <v>0</v>
      </c>
      <c r="AG1030" t="s">
        <v>1945</v>
      </c>
      <c r="AH1030" t="s">
        <v>229</v>
      </c>
      <c r="AI1030" t="s">
        <v>229</v>
      </c>
      <c r="AJ1030" s="2" t="s">
        <v>229</v>
      </c>
      <c r="AK1030" s="2" t="s">
        <v>244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44" t="b">
        <v>0</v>
      </c>
      <c r="AP1030" s="48" t="b">
        <v>0</v>
      </c>
      <c r="AQ1030" s="48" t="b">
        <v>0</v>
      </c>
      <c r="AR1030" s="48">
        <v>0</v>
      </c>
      <c r="AS1030" s="48" t="b">
        <v>0</v>
      </c>
      <c r="AT1030" s="7" t="b">
        <v>0</v>
      </c>
      <c r="AU1030" s="40" t="str" cm="1">
        <f t="array" ref="AU1030">_xlfn.XLOOKUP(PROPERTIES[[#This Row],[VEHIDCODE]],GRAPHICS_PROPERTIES[VEHIDCODE],GRAPHICS_PROPERTIES[TEMPLATE_ID]&amp;GRAPHICS_PROPERTIES[TEMPLATE_AMENDMENT_CODE])</f>
        <v>TPL_04S</v>
      </c>
    </row>
    <row r="1031" spans="1:47" x14ac:dyDescent="0.35">
      <c r="A1031" s="2" t="s">
        <v>3603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0" t="str">
        <f>_xlfn.XLOOKUP(PROPERTIES[[#This Row],[VEHIDCODE]],CONTROL[VEHIDCODE],CONTROL[ENGLISH])</f>
        <v>PRR MP54</v>
      </c>
      <c r="F1031" t="s">
        <v>757</v>
      </c>
      <c r="G1031" s="40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15</v>
      </c>
      <c r="J1031">
        <v>72</v>
      </c>
      <c r="K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3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0">
        <v>80</v>
      </c>
      <c r="AA1031" s="19">
        <f>IFERROR(PROPERTIES[[#This Row],[TE_STARTING_KN]]/(PROPERTIES[[#This Row],[WEIGHT]]*9.81),0)</f>
        <v>0.15101748027334164</v>
      </c>
      <c r="AB1031" s="19">
        <v>0</v>
      </c>
      <c r="AC1031" s="16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6">
        <v>72</v>
      </c>
      <c r="AF1031" s="6">
        <v>8</v>
      </c>
      <c r="AG1031" t="s">
        <v>235</v>
      </c>
      <c r="AH1031" t="s">
        <v>229</v>
      </c>
      <c r="AI1031" t="s">
        <v>229</v>
      </c>
      <c r="AJ1031" s="2" t="s">
        <v>229</v>
      </c>
      <c r="AK1031" s="2" t="s">
        <v>244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44" t="b">
        <v>0</v>
      </c>
      <c r="AP1031" s="48" t="b">
        <v>0</v>
      </c>
      <c r="AQ1031" s="48" t="b">
        <v>0</v>
      </c>
      <c r="AR1031" s="48">
        <v>0</v>
      </c>
      <c r="AS1031" s="48" t="b">
        <v>0</v>
      </c>
      <c r="AT1031" s="7" t="b">
        <v>0</v>
      </c>
      <c r="AU1031" s="40" t="str" cm="1">
        <f t="array" ref="AU1031">_xlfn.XLOOKUP(PROPERTIES[[#This Row],[VEHIDCODE]],GRAPHICS_PROPERTIES[VEHIDCODE],GRAPHICS_PROPERTIES[TEMPLATE_ID]&amp;GRAPHICS_PROPERTIES[TEMPLATE_AMENDMENT_CODE])</f>
        <v>TPL_02A</v>
      </c>
    </row>
    <row r="1032" spans="1:47" x14ac:dyDescent="0.35">
      <c r="A1032" s="2" t="s">
        <v>3604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0" t="str">
        <f>_xlfn.XLOOKUP(PROPERTIES[[#This Row],[VEHIDCODE]],CONTROL[VEHIDCODE],CONTROL[ENGLISH])</f>
        <v>PRR MP54</v>
      </c>
      <c r="F1032" t="s">
        <v>757</v>
      </c>
      <c r="G1032" s="40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15</v>
      </c>
      <c r="J1032">
        <v>72</v>
      </c>
      <c r="K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3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0">
        <v>80</v>
      </c>
      <c r="AA1032" s="19">
        <f>IFERROR(PROPERTIES[[#This Row],[TE_STARTING_KN]]/(PROPERTIES[[#This Row],[WEIGHT]]*9.81),0)</f>
        <v>0.15101748027334164</v>
      </c>
      <c r="AB1032" s="19">
        <v>0</v>
      </c>
      <c r="AC1032" s="16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6">
        <v>72</v>
      </c>
      <c r="AF1032" s="6">
        <v>8</v>
      </c>
      <c r="AG1032" t="s">
        <v>235</v>
      </c>
      <c r="AH1032" t="s">
        <v>229</v>
      </c>
      <c r="AI1032" t="s">
        <v>229</v>
      </c>
      <c r="AJ1032" s="2" t="s">
        <v>229</v>
      </c>
      <c r="AK1032" s="2" t="s">
        <v>244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44" t="b">
        <v>0</v>
      </c>
      <c r="AP1032" s="48" t="b">
        <v>0</v>
      </c>
      <c r="AQ1032" s="48" t="b">
        <v>0</v>
      </c>
      <c r="AR1032" s="48">
        <v>0</v>
      </c>
      <c r="AS1032" s="48" t="b">
        <v>0</v>
      </c>
      <c r="AT1032" s="7" t="b">
        <v>0</v>
      </c>
      <c r="AU1032" s="40" t="str" cm="1">
        <f t="array" ref="AU1032">_xlfn.XLOOKUP(PROPERTIES[[#This Row],[VEHIDCODE]],GRAPHICS_PROPERTIES[VEHIDCODE],GRAPHICS_PROPERTIES[TEMPLATE_ID]&amp;GRAPHICS_PROPERTIES[TEMPLATE_AMENDMENT_CODE])</f>
        <v>TPL_02A</v>
      </c>
    </row>
    <row r="1033" spans="1:47" x14ac:dyDescent="0.35">
      <c r="A1033" s="2" t="s">
        <v>3606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0" t="str">
        <f>_xlfn.XLOOKUP(PROPERTIES[[#This Row],[VEHIDCODE]],CONTROL[VEHIDCODE],CONTROL[ENGLISH])</f>
        <v>PRR P54 Commuter Coach</v>
      </c>
      <c r="G1033" s="40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22</v>
      </c>
      <c r="J1033">
        <v>72</v>
      </c>
      <c r="K1033">
        <v>8</v>
      </c>
      <c r="L1033">
        <v>0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3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0">
        <v>0</v>
      </c>
      <c r="AA1033" s="19">
        <f>IFERROR(PROPERTIES[[#This Row],[TE_STARTING_KN]]/(PROPERTIES[[#This Row],[WEIGHT]]*9.81),0)</f>
        <v>0</v>
      </c>
      <c r="AB1033" s="19">
        <v>0.3</v>
      </c>
      <c r="AC1033" s="16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6">
        <v>0</v>
      </c>
      <c r="AF1033" s="6">
        <v>0</v>
      </c>
      <c r="AG1033" t="s">
        <v>235</v>
      </c>
      <c r="AH1033" t="s">
        <v>229</v>
      </c>
      <c r="AI1033" t="s">
        <v>229</v>
      </c>
      <c r="AJ1033" s="2" t="s">
        <v>229</v>
      </c>
      <c r="AK1033" s="2" t="s">
        <v>244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44" t="b">
        <v>0</v>
      </c>
      <c r="AP1033" s="48" t="b">
        <v>0</v>
      </c>
      <c r="AQ1033" s="48" t="b">
        <v>0</v>
      </c>
      <c r="AR1033" s="48">
        <v>0</v>
      </c>
      <c r="AS1033" s="48" t="b">
        <v>0</v>
      </c>
      <c r="AT1033" s="7" t="b">
        <v>0</v>
      </c>
      <c r="AU1033" s="40" t="str" cm="1">
        <f t="array" ref="AU1033">_xlfn.XLOOKUP(PROPERTIES[[#This Row],[VEHIDCODE]],GRAPHICS_PROPERTIES[VEHIDCODE],GRAPHICS_PROPERTIES[TEMPLATE_ID]&amp;GRAPHICS_PROPERTIES[TEMPLATE_AMENDMENT_CODE])</f>
        <v>TPL_04A</v>
      </c>
    </row>
    <row r="1034" spans="1:47" x14ac:dyDescent="0.35">
      <c r="A1034" s="2" t="s">
        <v>3605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0" t="str">
        <f>_xlfn.XLOOKUP(PROPERTIES[[#This Row],[VEHIDCODE]],CONTROL[VEHIDCODE],CONTROL[ENGLISH])</f>
        <v>PRR P54 Mail Coach</v>
      </c>
      <c r="G1034" s="40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36</v>
      </c>
      <c r="J1034">
        <v>72</v>
      </c>
      <c r="K1034">
        <v>8</v>
      </c>
      <c r="L1034">
        <v>0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3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0">
        <v>0</v>
      </c>
      <c r="AA1034" s="19">
        <f>IFERROR(PROPERTIES[[#This Row],[TE_STARTING_KN]]/(PROPERTIES[[#This Row],[WEIGHT]]*9.81),0)</f>
        <v>0</v>
      </c>
      <c r="AB1034" s="19">
        <v>0.3</v>
      </c>
      <c r="AC1034" s="16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6">
        <v>0</v>
      </c>
      <c r="AF1034" s="6">
        <v>0</v>
      </c>
      <c r="AG1034" t="s">
        <v>235</v>
      </c>
      <c r="AH1034" t="s">
        <v>229</v>
      </c>
      <c r="AI1034" t="s">
        <v>229</v>
      </c>
      <c r="AJ1034" s="2" t="s">
        <v>229</v>
      </c>
      <c r="AK1034" s="2" t="s">
        <v>244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44" t="b">
        <v>0</v>
      </c>
      <c r="AP1034" s="48" t="b">
        <v>0</v>
      </c>
      <c r="AQ1034" s="48" t="b">
        <v>0</v>
      </c>
      <c r="AR1034" s="48">
        <v>0</v>
      </c>
      <c r="AS1034" s="48" t="b">
        <v>0</v>
      </c>
      <c r="AT1034" s="7" t="b">
        <v>0</v>
      </c>
      <c r="AU1034" s="40" t="str" cm="1">
        <f t="array" ref="AU1034">_xlfn.XLOOKUP(PROPERTIES[[#This Row],[VEHIDCODE]],GRAPHICS_PROPERTIES[VEHIDCODE],GRAPHICS_PROPERTIES[TEMPLATE_ID]&amp;GRAPHICS_PROPERTIES[TEMPLATE_AMENDMENT_CODE])</f>
        <v>TPL_04A</v>
      </c>
    </row>
    <row r="1035" spans="1:47" x14ac:dyDescent="0.35">
      <c r="A1035" s="2" t="s">
        <v>3612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0" t="str">
        <f>_xlfn.XLOOKUP(PROPERTIES[[#This Row],[VEHIDCODE]],CONTROL[VEHIDCODE],CONTROL[ENGLISH])</f>
        <v>PRR P70 Bilevel Coach</v>
      </c>
      <c r="G1035" s="40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22</v>
      </c>
      <c r="J1035">
        <v>134</v>
      </c>
      <c r="K1035">
        <v>8</v>
      </c>
      <c r="L1035">
        <v>0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3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0">
        <v>0</v>
      </c>
      <c r="AA1035" s="20">
        <f>IFERROR(PROPERTIES[[#This Row],[TE_STARTING_KN]]/(PROPERTIES[[#This Row],[WEIGHT]]*9.81),0)</f>
        <v>0</v>
      </c>
      <c r="AB1035" s="20">
        <v>0</v>
      </c>
      <c r="AC1035" s="16">
        <f>ROUND(IF(IFERROR(PROPERTIES[[#This Row],[TE_COEFFICIENT_CALC]],0)=0,PROPERTIES[[#This Row],[TE_COEFFICIENT_MANUAL]],PROPERTIES[[#This Row],[TE_COEFFICIENT_CALC]]),3)</f>
        <v>0</v>
      </c>
      <c r="AD1035" s="39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6">
        <v>134</v>
      </c>
      <c r="AF1035" s="6">
        <v>0</v>
      </c>
      <c r="AG1035" t="s">
        <v>235</v>
      </c>
      <c r="AH1035" t="s">
        <v>229</v>
      </c>
      <c r="AI1035" t="s">
        <v>229</v>
      </c>
      <c r="AJ1035" s="2" t="s">
        <v>229</v>
      </c>
      <c r="AK1035" s="2" t="s">
        <v>245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44" t="b">
        <v>0</v>
      </c>
      <c r="AP1035" s="48" t="b">
        <v>1</v>
      </c>
      <c r="AQ1035" s="48" t="b">
        <v>0</v>
      </c>
      <c r="AR1035" s="48">
        <v>0</v>
      </c>
      <c r="AS1035" s="48" t="b">
        <v>0</v>
      </c>
      <c r="AT1035" s="7" t="b">
        <v>0</v>
      </c>
      <c r="AU1035" s="40" t="str" cm="1">
        <f t="array" ref="AU1035">_xlfn.XLOOKUP(PROPERTIES[[#This Row],[VEHIDCODE]],GRAPHICS_PROPERTIES[VEHIDCODE],GRAPHICS_PROPERTIES[TEMPLATE_ID]&amp;GRAPHICS_PROPERTIES[TEMPLATE_AMENDMENT_CODE])</f>
        <v>TPL_04A</v>
      </c>
    </row>
    <row r="1036" spans="1:47" x14ac:dyDescent="0.35">
      <c r="A1036" s="2" t="s">
        <v>3614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0" t="str">
        <f>_xlfn.XLOOKUP(PROPERTIES[[#This Row],[VEHIDCODE]],CONTROL[VEHIDCODE],CONTROL[ENGLISH])</f>
        <v>LTZ 2TE10M</v>
      </c>
      <c r="F1036" t="s">
        <v>716</v>
      </c>
      <c r="G1036" s="40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17</v>
      </c>
      <c r="J1036">
        <v>0</v>
      </c>
      <c r="K1036">
        <v>8</v>
      </c>
      <c r="L1036">
        <v>0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3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0">
        <f>784/2</f>
        <v>392</v>
      </c>
      <c r="AA1036" s="19">
        <f>IFERROR(PROPERTIES[[#This Row],[TE_STARTING_KN]]/(PROPERTIES[[#This Row],[WEIGHT]]*9.81),0)</f>
        <v>0.28955960348062465</v>
      </c>
      <c r="AB1036" s="19">
        <v>0</v>
      </c>
      <c r="AC1036" s="16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6">
        <v>0</v>
      </c>
      <c r="AF1036" s="6">
        <v>0</v>
      </c>
      <c r="AG1036" t="s">
        <v>1951</v>
      </c>
      <c r="AH1036" t="s">
        <v>229</v>
      </c>
      <c r="AI1036" t="s">
        <v>229</v>
      </c>
      <c r="AJ1036" s="2" t="s">
        <v>229</v>
      </c>
      <c r="AK1036" s="2" t="s">
        <v>244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44" t="b">
        <v>0</v>
      </c>
      <c r="AP1036" s="48" t="b">
        <v>0</v>
      </c>
      <c r="AQ1036" s="48" t="b">
        <v>0</v>
      </c>
      <c r="AR1036" s="48">
        <v>0</v>
      </c>
      <c r="AS1036" s="48" t="b">
        <v>0</v>
      </c>
      <c r="AT1036" s="7" t="b">
        <v>0</v>
      </c>
      <c r="AU1036" s="40" t="str" cm="1">
        <f t="array" ref="AU1036">_xlfn.XLOOKUP(PROPERTIES[[#This Row],[VEHIDCODE]],GRAPHICS_PROPERTIES[VEHIDCODE],GRAPHICS_PROPERTIES[TEMPLATE_ID]&amp;GRAPHICS_PROPERTIES[TEMPLATE_AMENDMENT_CODE])</f>
        <v>TPL_03F</v>
      </c>
    </row>
    <row r="1037" spans="1:47" x14ac:dyDescent="0.35">
      <c r="A1037" s="2" t="s">
        <v>3615</v>
      </c>
      <c r="B1037">
        <v>1988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0" t="str">
        <f>_xlfn.XLOOKUP(PROPERTIES[[#This Row],[VEHIDCODE]],CONTROL[VEHIDCODE],CONTROL[ENGLISH])</f>
        <v>LTZ 2TE126</v>
      </c>
      <c r="F1037" t="s">
        <v>754</v>
      </c>
      <c r="G1037" s="40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17</v>
      </c>
      <c r="J1037">
        <v>0</v>
      </c>
      <c r="K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3">
        <v>230</v>
      </c>
      <c r="R1037">
        <v>6000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0">
        <v>470</v>
      </c>
      <c r="AA1037" s="19">
        <f>IFERROR(PROPERTIES[[#This Row],[TE_STARTING_KN]]/(PROPERTIES[[#This Row],[WEIGHT]]*9.81),0)</f>
        <v>0.20830563311616362</v>
      </c>
      <c r="AB1037" s="19">
        <v>0</v>
      </c>
      <c r="AC1037" s="16">
        <f>ROUND(IF(IFERROR(PROPERTIES[[#This Row],[TE_COEFFICIENT_CALC]],0)=0,PROPERTIES[[#This Row],[TE_COEFFICIENT_MANUAL]],PROPERTIES[[#This Row],[TE_COEFFICIENT_CALC]]),3)</f>
        <v>0.20799999999999999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6">
        <v>0</v>
      </c>
      <c r="AF1037" s="6">
        <v>2</v>
      </c>
      <c r="AG1037" t="s">
        <v>1948</v>
      </c>
      <c r="AH1037" t="s">
        <v>229</v>
      </c>
      <c r="AI1037" t="s">
        <v>229</v>
      </c>
      <c r="AJ1037" s="2" t="s">
        <v>229</v>
      </c>
      <c r="AK1037" s="2" t="s">
        <v>244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44" t="b">
        <v>0</v>
      </c>
      <c r="AP1037" s="48" t="b">
        <v>0</v>
      </c>
      <c r="AQ1037" s="48" t="b">
        <v>0</v>
      </c>
      <c r="AR1037" s="48">
        <v>0</v>
      </c>
      <c r="AS1037" s="48" t="b">
        <v>0</v>
      </c>
      <c r="AT1037" s="7" t="b">
        <v>0</v>
      </c>
      <c r="AU1037" s="40" t="str" cm="1">
        <f t="array" ref="AU1037">_xlfn.XLOOKUP(PROPERTIES[[#This Row],[VEHIDCODE]],GRAPHICS_PROPERTIES[VEHIDCODE],GRAPHICS_PROPERTIES[TEMPLATE_ID]&amp;GRAPHICS_PROPERTIES[TEMPLATE_AMENDMENT_CODE])</f>
        <v>TPL_32D</v>
      </c>
    </row>
    <row r="1038" spans="1:47" x14ac:dyDescent="0.35">
      <c r="A1038" s="2" t="s">
        <v>3616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0" t="str">
        <f>_xlfn.XLOOKUP(PROPERTIES[[#This Row],[VEHIDCODE]],CONTROL[VEHIDCODE],CONTROL[ENGLISH])</f>
        <v>LTZ 2TE10Ut</v>
      </c>
      <c r="F1038" t="s">
        <v>754</v>
      </c>
      <c r="G1038" s="40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17</v>
      </c>
      <c r="J1038">
        <v>0</v>
      </c>
      <c r="K1038">
        <v>8</v>
      </c>
      <c r="L1038">
        <v>0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3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0">
        <v>0</v>
      </c>
      <c r="AA1038" s="19">
        <f>IFERROR(PROPERTIES[[#This Row],[TE_STARTING_KN]]/(PROPERTIES[[#This Row],[WEIGHT]]*9.81),0)</f>
        <v>0</v>
      </c>
      <c r="AB1038" s="19">
        <v>0.15</v>
      </c>
      <c r="AC1038" s="16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6">
        <v>0</v>
      </c>
      <c r="AF1038" s="6">
        <v>0</v>
      </c>
      <c r="AG1038" t="s">
        <v>1948</v>
      </c>
      <c r="AH1038" t="s">
        <v>229</v>
      </c>
      <c r="AI1038" t="s">
        <v>229</v>
      </c>
      <c r="AJ1038" s="2" t="s">
        <v>229</v>
      </c>
      <c r="AK1038" s="2" t="s">
        <v>244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44" t="b">
        <v>0</v>
      </c>
      <c r="AP1038" s="48" t="b">
        <v>0</v>
      </c>
      <c r="AQ1038" s="48" t="b">
        <v>0</v>
      </c>
      <c r="AR1038" s="48">
        <v>0</v>
      </c>
      <c r="AS1038" s="48" t="b">
        <v>0</v>
      </c>
      <c r="AT1038" s="7" t="b">
        <v>0</v>
      </c>
      <c r="AU1038" s="40" t="str" cm="1">
        <f t="array" ref="AU1038">_xlfn.XLOOKUP(PROPERTIES[[#This Row],[VEHIDCODE]],GRAPHICS_PROPERTIES[VEHIDCODE],GRAPHICS_PROPERTIES[TEMPLATE_ID]&amp;GRAPHICS_PROPERTIES[TEMPLATE_AMENDMENT_CODE])</f>
        <v>TPL_03F</v>
      </c>
    </row>
    <row r="1039" spans="1:47" x14ac:dyDescent="0.35">
      <c r="A1039" t="s">
        <v>3656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0" t="str">
        <f>_xlfn.XLOOKUP(PROPERTIES[[#This Row],[VEHIDCODE]],CONTROL[VEHIDCODE],CONTROL[ENGLISH])</f>
        <v>Faur A20D-P</v>
      </c>
      <c r="F1039" t="s">
        <v>714</v>
      </c>
      <c r="G1039" s="40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22</v>
      </c>
      <c r="J1039">
        <v>39</v>
      </c>
      <c r="K1039">
        <v>8</v>
      </c>
      <c r="L1039">
        <v>0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3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0">
        <v>0</v>
      </c>
      <c r="AA1039" s="20">
        <f>IFERROR(PROPERTIES[[#This Row],[TE_STARTING_KN]]/(PROPERTIES[[#This Row],[WEIGHT]]*9.81),0)</f>
        <v>0</v>
      </c>
      <c r="AB1039" s="20">
        <v>0.2</v>
      </c>
      <c r="AC1039" s="16">
        <f>ROUND(IF(IFERROR(PROPERTIES[[#This Row],[TE_COEFFICIENT_CALC]],0)=0,PROPERTIES[[#This Row],[TE_COEFFICIENT_MANUAL]],PROPERTIES[[#This Row],[TE_COEFFICIENT_CALC]]),3)</f>
        <v>0.2</v>
      </c>
      <c r="AD1039" s="39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6">
        <v>0</v>
      </c>
      <c r="AF1039" s="6">
        <v>0</v>
      </c>
      <c r="AG1039" s="6" t="s">
        <v>236</v>
      </c>
      <c r="AH1039" t="s">
        <v>229</v>
      </c>
      <c r="AI1039" t="s">
        <v>229</v>
      </c>
      <c r="AJ1039" s="2" t="s">
        <v>229</v>
      </c>
      <c r="AK1039" s="2" t="s">
        <v>244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44" t="b">
        <v>0</v>
      </c>
      <c r="AP1039" s="48" t="b">
        <v>0</v>
      </c>
      <c r="AQ1039" s="48" t="b">
        <v>0</v>
      </c>
      <c r="AR1039" s="48">
        <v>0</v>
      </c>
      <c r="AS1039" s="48" t="b">
        <v>0</v>
      </c>
      <c r="AT1039" s="7" t="b">
        <v>0</v>
      </c>
      <c r="AU1039" s="40" t="str" cm="1">
        <f t="array" ref="AU1039">_xlfn.XLOOKUP(PROPERTIES[[#This Row],[VEHIDCODE]],GRAPHICS_PROPERTIES[VEHIDCODE],GRAPHICS_PROPERTIES[TEMPLATE_ID]&amp;GRAPHICS_PROPERTIES[TEMPLATE_AMENDMENT_CODE])</f>
        <v>TPL_01A</v>
      </c>
    </row>
    <row r="1040" spans="1:47" x14ac:dyDescent="0.35">
      <c r="A1040" s="2" t="s">
        <v>3619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0" t="str">
        <f>_xlfn.XLOOKUP(PROPERTIES[[#This Row],[VEHIDCODE]],CONTROL[VEHIDCODE],CONTROL[ENGLISH])</f>
        <v>Faur A20D-P Trailer</v>
      </c>
      <c r="G1040" s="40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22</v>
      </c>
      <c r="J1040">
        <v>45</v>
      </c>
      <c r="K1040">
        <v>8</v>
      </c>
      <c r="L1040">
        <v>0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3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0">
        <v>0</v>
      </c>
      <c r="AA1040" s="20">
        <f>IFERROR(PROPERTIES[[#This Row],[TE_STARTING_KN]]/(PROPERTIES[[#This Row],[WEIGHT]]*9.81),0)</f>
        <v>0</v>
      </c>
      <c r="AB1040" s="20">
        <v>0.3</v>
      </c>
      <c r="AC1040" s="16">
        <f>ROUND(IF(IFERROR(PROPERTIES[[#This Row],[TE_COEFFICIENT_CALC]],0)=0,PROPERTIES[[#This Row],[TE_COEFFICIENT_MANUAL]],PROPERTIES[[#This Row],[TE_COEFFICIENT_CALC]]),3)</f>
        <v>0.3</v>
      </c>
      <c r="AD1040" s="39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6">
        <v>0</v>
      </c>
      <c r="AF1040" s="6">
        <v>0</v>
      </c>
      <c r="AG1040" s="6" t="s">
        <v>236</v>
      </c>
      <c r="AH1040" t="s">
        <v>229</v>
      </c>
      <c r="AI1040" t="s">
        <v>229</v>
      </c>
      <c r="AJ1040" s="2" t="s">
        <v>229</v>
      </c>
      <c r="AK1040" s="2" t="s">
        <v>244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44" t="b">
        <v>0</v>
      </c>
      <c r="AP1040" s="48" t="b">
        <v>0</v>
      </c>
      <c r="AQ1040" s="48" t="b">
        <v>0</v>
      </c>
      <c r="AR1040" s="48">
        <v>0</v>
      </c>
      <c r="AS1040" s="48" t="b">
        <v>0</v>
      </c>
      <c r="AT1040" s="7" t="b">
        <v>0</v>
      </c>
      <c r="AU1040" s="40" t="str" cm="1">
        <f t="array" ref="AU1040">_xlfn.XLOOKUP(PROPERTIES[[#This Row],[VEHIDCODE]],GRAPHICS_PROPERTIES[VEHIDCODE],GRAPHICS_PROPERTIES[TEMPLATE_ID]&amp;GRAPHICS_PROPERTIES[TEMPLATE_AMENDMENT_CODE])</f>
        <v>TPL_04U</v>
      </c>
    </row>
    <row r="1041" spans="1:47" x14ac:dyDescent="0.35">
      <c r="A1041" s="2" t="s">
        <v>3621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0" t="str">
        <f>_xlfn.XLOOKUP(PROPERTIES[[#This Row],[VEHIDCODE]],CONTROL[VEHIDCODE],CONTROL[ENGLISH])</f>
        <v>Faur L45H</v>
      </c>
      <c r="F1041" t="s">
        <v>714</v>
      </c>
      <c r="G1041" s="40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17</v>
      </c>
      <c r="J1041">
        <v>0</v>
      </c>
      <c r="K1041">
        <v>5</v>
      </c>
      <c r="L1041">
        <v>0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3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0">
        <v>0</v>
      </c>
      <c r="AA1041" s="20">
        <f>IFERROR(PROPERTIES[[#This Row],[TE_STARTING_KN]]/(PROPERTIES[[#This Row],[WEIGHT]]*9.81),0)</f>
        <v>0</v>
      </c>
      <c r="AB1041" s="20">
        <v>0.2</v>
      </c>
      <c r="AC1041" s="16">
        <f>ROUND(IF(IFERROR(PROPERTIES[[#This Row],[TE_COEFFICIENT_CALC]],0)=0,PROPERTIES[[#This Row],[TE_COEFFICIENT_MANUAL]],PROPERTIES[[#This Row],[TE_COEFFICIENT_CALC]]),3)</f>
        <v>0.2</v>
      </c>
      <c r="AD1041" s="39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6">
        <v>0</v>
      </c>
      <c r="AF1041" s="6">
        <v>0</v>
      </c>
      <c r="AG1041" s="6" t="s">
        <v>1948</v>
      </c>
      <c r="AH1041" s="6" t="s">
        <v>230</v>
      </c>
      <c r="AI1041" t="s">
        <v>233</v>
      </c>
      <c r="AJ1041" s="2" t="s">
        <v>229</v>
      </c>
      <c r="AK1041" s="2" t="s">
        <v>244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44" t="b">
        <v>0</v>
      </c>
      <c r="AP1041" s="48" t="b">
        <v>0</v>
      </c>
      <c r="AQ1041" s="48" t="b">
        <v>0</v>
      </c>
      <c r="AR1041" s="48">
        <v>0</v>
      </c>
      <c r="AS1041" s="48" t="b">
        <v>0</v>
      </c>
      <c r="AT1041" s="7" t="b">
        <v>0</v>
      </c>
      <c r="AU1041" s="40" t="str" cm="1">
        <f t="array" ref="AU1041">_xlfn.XLOOKUP(PROPERTIES[[#This Row],[VEHIDCODE]],GRAPHICS_PROPERTIES[VEHIDCODE],GRAPHICS_PROPERTIES[TEMPLATE_ID]&amp;GRAPHICS_PROPERTIES[TEMPLATE_AMENDMENT_CODE])</f>
        <v>TPL_01A</v>
      </c>
    </row>
    <row r="1042" spans="1:47" x14ac:dyDescent="0.35">
      <c r="A1042" s="2" t="s">
        <v>3625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0" t="str">
        <f>_xlfn.XLOOKUP(PROPERTIES[[#This Row],[VEHIDCODE]],CONTROL[VEHIDCODE],CONTROL[ENGLISH])</f>
        <v>Pafawag 3Aw</v>
      </c>
      <c r="F1042" t="s">
        <v>705</v>
      </c>
      <c r="G1042" s="40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22</v>
      </c>
      <c r="J1042">
        <v>39</v>
      </c>
      <c r="K1042">
        <v>8</v>
      </c>
      <c r="L1042">
        <v>0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3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0">
        <v>0</v>
      </c>
      <c r="AA1042" s="20">
        <f>IFERROR(PROPERTIES[[#This Row],[TE_STARTING_KN]]/(PROPERTIES[[#This Row],[WEIGHT]]*9.81),0)</f>
        <v>0</v>
      </c>
      <c r="AB1042" s="20">
        <v>0.3</v>
      </c>
      <c r="AC1042" s="16">
        <f>ROUND(IF(IFERROR(PROPERTIES[[#This Row],[TE_COEFFICIENT_CALC]],0)=0,PROPERTIES[[#This Row],[TE_COEFFICIENT_MANUAL]],PROPERTIES[[#This Row],[TE_COEFFICIENT_CALC]]),3)</f>
        <v>0.3</v>
      </c>
      <c r="AD1042" s="39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6">
        <v>0</v>
      </c>
      <c r="AF1042" s="6">
        <v>0</v>
      </c>
      <c r="AG1042" s="6" t="s">
        <v>1948</v>
      </c>
      <c r="AH1042" t="s">
        <v>229</v>
      </c>
      <c r="AI1042" t="s">
        <v>229</v>
      </c>
      <c r="AJ1042" s="2" t="s">
        <v>229</v>
      </c>
      <c r="AK1042" s="2" t="s">
        <v>244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44" t="b">
        <v>0</v>
      </c>
      <c r="AP1042" s="48" t="b">
        <v>0</v>
      </c>
      <c r="AQ1042" s="48" t="b">
        <v>0</v>
      </c>
      <c r="AR1042" s="48">
        <v>0</v>
      </c>
      <c r="AS1042" s="48" t="b">
        <v>0</v>
      </c>
      <c r="AT1042" s="7" t="b">
        <v>0</v>
      </c>
      <c r="AU1042" s="40" t="str" cm="1">
        <f t="array" ref="AU1042">_xlfn.XLOOKUP(PROPERTIES[[#This Row],[VEHIDCODE]],GRAPHICS_PROPERTIES[VEHIDCODE],GRAPHICS_PROPERTIES[TEMPLATE_ID]&amp;GRAPHICS_PROPERTIES[TEMPLATE_AMENDMENT_CODE])</f>
        <v>TPL_04U</v>
      </c>
    </row>
    <row r="1043" spans="1:47" x14ac:dyDescent="0.35">
      <c r="A1043" s="2" t="s">
        <v>3627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0" t="str">
        <f>_xlfn.XLOOKUP(PROPERTIES[[#This Row],[VEHIDCODE]],CONTROL[VEHIDCODE],CONTROL[ENGLISH])</f>
        <v>KMZ TU7/TGM40</v>
      </c>
      <c r="F1043" t="s">
        <v>716</v>
      </c>
      <c r="G1043" s="40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17</v>
      </c>
      <c r="J1043">
        <v>0</v>
      </c>
      <c r="K1043">
        <v>5</v>
      </c>
      <c r="L1043">
        <v>0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3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0">
        <v>0</v>
      </c>
      <c r="AA1043" s="20">
        <f>IFERROR(PROPERTIES[[#This Row],[TE_STARTING_KN]]/(PROPERTIES[[#This Row],[WEIGHT]]*9.81),0)</f>
        <v>0</v>
      </c>
      <c r="AB1043" s="20">
        <v>0.2</v>
      </c>
      <c r="AC1043" s="16">
        <f>ROUND(IF(IFERROR(PROPERTIES[[#This Row],[TE_COEFFICIENT_CALC]],0)=0,PROPERTIES[[#This Row],[TE_COEFFICIENT_MANUAL]],PROPERTIES[[#This Row],[TE_COEFFICIENT_CALC]]),3)</f>
        <v>0.2</v>
      </c>
      <c r="AD1043" s="39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6">
        <v>0</v>
      </c>
      <c r="AF1043" s="6">
        <v>0</v>
      </c>
      <c r="AG1043" s="6" t="s">
        <v>239</v>
      </c>
      <c r="AH1043" s="6" t="s">
        <v>238</v>
      </c>
      <c r="AI1043" t="s">
        <v>229</v>
      </c>
      <c r="AJ1043" s="2" t="s">
        <v>229</v>
      </c>
      <c r="AK1043" s="2" t="s">
        <v>244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44" t="b">
        <v>0</v>
      </c>
      <c r="AP1043" s="48" t="b">
        <v>0</v>
      </c>
      <c r="AQ1043" s="48" t="b">
        <v>0</v>
      </c>
      <c r="AR1043" s="48">
        <v>0</v>
      </c>
      <c r="AS1043" s="48" t="b">
        <v>0</v>
      </c>
      <c r="AT1043" s="7" t="b">
        <v>0</v>
      </c>
      <c r="AU1043" s="40" t="str" cm="1">
        <f t="array" ref="AU1043">_xlfn.XLOOKUP(PROPERTIES[[#This Row],[VEHIDCODE]],GRAPHICS_PROPERTIES[VEHIDCODE],GRAPHICS_PROPERTIES[TEMPLATE_ID]&amp;GRAPHICS_PROPERTIES[TEMPLATE_AMENDMENT_CODE])</f>
        <v>TPL_01A</v>
      </c>
    </row>
    <row r="1044" spans="1:47" x14ac:dyDescent="0.35">
      <c r="A1044" s="2" t="s">
        <v>3632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0" t="str">
        <f>_xlfn.XLOOKUP(PROPERTIES[[#This Row],[VEHIDCODE]],CONTROL[VEHIDCODE],CONTROL[ENGLISH])</f>
        <v>Alsthom CC 7100</v>
      </c>
      <c r="F1044" t="s">
        <v>602</v>
      </c>
      <c r="G1044" s="40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17</v>
      </c>
      <c r="J1044">
        <v>0</v>
      </c>
      <c r="K1044">
        <v>8</v>
      </c>
      <c r="L1044">
        <v>0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3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0">
        <v>260</v>
      </c>
      <c r="AA1044" s="20">
        <f>IFERROR(PROPERTIES[[#This Row],[TE_STARTING_KN]]/(PROPERTIES[[#This Row],[WEIGHT]]*9.81),0)</f>
        <v>0.24769689521468649</v>
      </c>
      <c r="AB1044" s="20">
        <v>0</v>
      </c>
      <c r="AC1044" s="16">
        <f>ROUND(IF(IFERROR(PROPERTIES[[#This Row],[TE_COEFFICIENT_CALC]],0)=0,PROPERTIES[[#This Row],[TE_COEFFICIENT_MANUAL]],PROPERTIES[[#This Row],[TE_COEFFICIENT_CALC]]),3)</f>
        <v>0.248</v>
      </c>
      <c r="AD1044" s="39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6">
        <v>0</v>
      </c>
      <c r="AF1044" s="6">
        <v>0</v>
      </c>
      <c r="AG1044" s="6" t="s">
        <v>230</v>
      </c>
      <c r="AH1044" s="6" t="s">
        <v>233</v>
      </c>
      <c r="AI1044" t="s">
        <v>231</v>
      </c>
      <c r="AJ1044" s="2" t="s">
        <v>229</v>
      </c>
      <c r="AK1044" s="2" t="s">
        <v>244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44" t="b">
        <v>0</v>
      </c>
      <c r="AP1044" s="48" t="b">
        <v>0</v>
      </c>
      <c r="AQ1044" s="48" t="b">
        <v>0</v>
      </c>
      <c r="AR1044" s="48">
        <v>0</v>
      </c>
      <c r="AS1044" s="48" t="b">
        <v>0</v>
      </c>
      <c r="AT1044" s="7" t="b">
        <v>0</v>
      </c>
      <c r="AU1044" s="40" t="str" cm="1">
        <f t="array" ref="AU1044">_xlfn.XLOOKUP(PROPERTIES[[#This Row],[VEHIDCODE]],GRAPHICS_PROPERTIES[VEHIDCODE],GRAPHICS_PROPERTIES[TEMPLATE_ID]&amp;GRAPHICS_PROPERTIES[TEMPLATE_AMENDMENT_CODE])</f>
        <v>TPL_01A</v>
      </c>
    </row>
    <row r="1045" spans="1:47" x14ac:dyDescent="0.35">
      <c r="A1045" s="2" t="s">
        <v>3630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0" t="str">
        <f>_xlfn.XLOOKUP(PROPERTIES[[#This Row],[VEHIDCODE]],CONTROL[VEHIDCODE],CONTROL[ENGLISH])</f>
        <v>Alsthom F Series</v>
      </c>
      <c r="F1045" t="s">
        <v>602</v>
      </c>
      <c r="G1045" s="40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17</v>
      </c>
      <c r="J1045">
        <v>0</v>
      </c>
      <c r="K1045">
        <v>8</v>
      </c>
      <c r="L1045">
        <v>0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3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0">
        <v>510.1</v>
      </c>
      <c r="AA1045" s="20">
        <f>IFERROR(PROPERTIES[[#This Row],[TE_STARTING_KN]]/(PROPERTIES[[#This Row],[WEIGHT]]*9.81),0)</f>
        <v>0.37679682075374138</v>
      </c>
      <c r="AB1045" s="20">
        <v>0</v>
      </c>
      <c r="AC1045" s="16">
        <f>ROUND(IF(IFERROR(PROPERTIES[[#This Row],[TE_COEFFICIENT_CALC]],0)=0,PROPERTIES[[#This Row],[TE_COEFFICIENT_MANUAL]],PROPERTIES[[#This Row],[TE_COEFFICIENT_CALC]]),3)</f>
        <v>0.377</v>
      </c>
      <c r="AD1045" s="39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6">
        <v>0</v>
      </c>
      <c r="AF1045" s="6">
        <v>0</v>
      </c>
      <c r="AG1045" s="6" t="s">
        <v>236</v>
      </c>
      <c r="AH1045" s="6" t="s">
        <v>238</v>
      </c>
      <c r="AI1045" t="s">
        <v>229</v>
      </c>
      <c r="AJ1045" s="2" t="s">
        <v>229</v>
      </c>
      <c r="AK1045" s="2" t="s">
        <v>244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44" t="b">
        <v>0</v>
      </c>
      <c r="AP1045" s="48" t="b">
        <v>0</v>
      </c>
      <c r="AQ1045" s="48" t="b">
        <v>0</v>
      </c>
      <c r="AR1045" s="48">
        <v>0</v>
      </c>
      <c r="AS1045" s="48" t="b">
        <v>0</v>
      </c>
      <c r="AT1045" s="7" t="b">
        <v>0</v>
      </c>
      <c r="AU1045" s="40" t="str" cm="1">
        <f t="array" ref="AU1045">_xlfn.XLOOKUP(PROPERTIES[[#This Row],[VEHIDCODE]],GRAPHICS_PROPERTIES[VEHIDCODE],GRAPHICS_PROPERTIES[TEMPLATE_ID]&amp;GRAPHICS_PROPERTIES[TEMPLATE_AMENDMENT_CODE])</f>
        <v>TPL_01A</v>
      </c>
    </row>
    <row r="1046" spans="1:47" x14ac:dyDescent="0.35">
      <c r="A1046" s="2" t="s">
        <v>3676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0" t="str">
        <f>_xlfn.XLOOKUP(PROPERTIES[[#This Row],[VEHIDCODE]],CONTROL[VEHIDCODE],CONTROL[ENGLISH])</f>
        <v>Siemens Vectron MS</v>
      </c>
      <c r="F1046" t="s">
        <v>584</v>
      </c>
      <c r="G1046" s="40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17</v>
      </c>
      <c r="J1046">
        <v>0</v>
      </c>
      <c r="K1046">
        <v>8</v>
      </c>
      <c r="L1046">
        <v>0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3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0">
        <v>300</v>
      </c>
      <c r="AA1046" s="20">
        <f>IFERROR(PROPERTIES[[#This Row],[TE_STARTING_KN]]/(PROPERTIES[[#This Row],[WEIGHT]]*9.81),0)</f>
        <v>0.3555934855273451</v>
      </c>
      <c r="AB1046" s="20">
        <v>0</v>
      </c>
      <c r="AC1046" s="16">
        <f>ROUND(IF(IFERROR(PROPERTIES[[#This Row],[TE_COEFFICIENT_CALC]],0)=0,PROPERTIES[[#This Row],[TE_COEFFICIENT_MANUAL]],PROPERTIES[[#This Row],[TE_COEFFICIENT_CALC]]),3)</f>
        <v>0.35599999999999998</v>
      </c>
      <c r="AD1046" s="39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6">
        <v>0</v>
      </c>
      <c r="AF1046" s="6">
        <v>0</v>
      </c>
      <c r="AG1046" s="6" t="s">
        <v>239</v>
      </c>
      <c r="AH1046" t="s">
        <v>229</v>
      </c>
      <c r="AI1046" t="s">
        <v>229</v>
      </c>
      <c r="AJ1046" s="2" t="s">
        <v>229</v>
      </c>
      <c r="AK1046" s="2" t="s">
        <v>244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44" t="b">
        <v>0</v>
      </c>
      <c r="AP1046" s="48" t="b">
        <v>0</v>
      </c>
      <c r="AQ1046" s="48" t="b">
        <v>0</v>
      </c>
      <c r="AR1046" s="48">
        <v>0</v>
      </c>
      <c r="AS1046" s="48" t="b">
        <v>0</v>
      </c>
      <c r="AT1046" s="7" t="b">
        <v>0</v>
      </c>
      <c r="AU1046" s="40" t="str" cm="1">
        <f t="array" ref="AU1046">_xlfn.XLOOKUP(PROPERTIES[[#This Row],[VEHIDCODE]],GRAPHICS_PROPERTIES[VEHIDCODE],GRAPHICS_PROPERTIES[TEMPLATE_ID]&amp;GRAPHICS_PROPERTIES[TEMPLATE_AMENDMENT_CODE])</f>
        <v>TPL_01A</v>
      </c>
    </row>
    <row r="1047" spans="1:47" x14ac:dyDescent="0.35">
      <c r="A1047" s="2" t="s">
        <v>3641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0" t="str">
        <f>_xlfn.XLOOKUP(PROPERTIES[[#This Row],[VEHIDCODE]],CONTROL[VEHIDCODE],CONTROL[ENGLISH])</f>
        <v>Siemens Vectron DE</v>
      </c>
      <c r="F1047" t="s">
        <v>584</v>
      </c>
      <c r="G1047" s="40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17</v>
      </c>
      <c r="J1047">
        <v>0</v>
      </c>
      <c r="K1047">
        <v>8</v>
      </c>
      <c r="L1047">
        <v>0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3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0">
        <v>300</v>
      </c>
      <c r="AA1047" s="20">
        <f>IFERROR(PROPERTIES[[#This Row],[TE_STARTING_KN]]/(PROPERTIES[[#This Row],[WEIGHT]]*9.81),0)</f>
        <v>0.3555934855273451</v>
      </c>
      <c r="AB1047" s="20">
        <v>0</v>
      </c>
      <c r="AC1047" s="16">
        <f>ROUND(IF(IFERROR(PROPERTIES[[#This Row],[TE_COEFFICIENT_CALC]],0)=0,PROPERTIES[[#This Row],[TE_COEFFICIENT_MANUAL]],PROPERTIES[[#This Row],[TE_COEFFICIENT_CALC]]),3)</f>
        <v>0.35599999999999998</v>
      </c>
      <c r="AD1047" s="39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6">
        <v>0</v>
      </c>
      <c r="AF1047" s="6">
        <v>0</v>
      </c>
      <c r="AG1047" s="6" t="s">
        <v>239</v>
      </c>
      <c r="AH1047" t="s">
        <v>229</v>
      </c>
      <c r="AI1047" t="s">
        <v>229</v>
      </c>
      <c r="AJ1047" s="2" t="s">
        <v>229</v>
      </c>
      <c r="AK1047" s="2" t="s">
        <v>244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44" t="b">
        <v>0</v>
      </c>
      <c r="AP1047" s="48" t="b">
        <v>0</v>
      </c>
      <c r="AQ1047" s="48" t="b">
        <v>0</v>
      </c>
      <c r="AR1047" s="48">
        <v>0</v>
      </c>
      <c r="AS1047" s="48" t="b">
        <v>0</v>
      </c>
      <c r="AT1047" s="7" t="b">
        <v>0</v>
      </c>
      <c r="AU1047" s="40" t="str" cm="1">
        <f t="array" ref="AU1047">_xlfn.XLOOKUP(PROPERTIES[[#This Row],[VEHIDCODE]],GRAPHICS_PROPERTIES[VEHIDCODE],GRAPHICS_PROPERTIES[TEMPLATE_ID]&amp;GRAPHICS_PROPERTIES[TEMPLATE_AMENDMENT_CODE])</f>
        <v>TPL_01A</v>
      </c>
    </row>
    <row r="1048" spans="1:47" x14ac:dyDescent="0.35">
      <c r="A1048" s="2" t="s">
        <v>3638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0" t="str">
        <f>_xlfn.XLOOKUP(PROPERTIES[[#This Row],[VEHIDCODE]],CONTROL[VEHIDCODE],CONTROL[ENGLISH])</f>
        <v>Siemens Vectron Dual Mode</v>
      </c>
      <c r="F1048" t="s">
        <v>584</v>
      </c>
      <c r="G1048" s="40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17</v>
      </c>
      <c r="J1048">
        <v>0</v>
      </c>
      <c r="K1048">
        <v>8</v>
      </c>
      <c r="L1048">
        <v>0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3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0">
        <v>300</v>
      </c>
      <c r="AA1048" s="20">
        <f>IFERROR(PROPERTIES[[#This Row],[TE_STARTING_KN]]/(PROPERTIES[[#This Row],[WEIGHT]]*9.81),0)</f>
        <v>0.3555934855273451</v>
      </c>
      <c r="AB1048" s="20">
        <v>0</v>
      </c>
      <c r="AC1048" s="16">
        <f>ROUND(IF(IFERROR(PROPERTIES[[#This Row],[TE_COEFFICIENT_CALC]],0)=0,PROPERTIES[[#This Row],[TE_COEFFICIENT_MANUAL]],PROPERTIES[[#This Row],[TE_COEFFICIENT_CALC]]),3)</f>
        <v>0.35599999999999998</v>
      </c>
      <c r="AD1048" s="39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6">
        <v>0</v>
      </c>
      <c r="AF1048" s="6">
        <v>0</v>
      </c>
      <c r="AG1048" s="6" t="s">
        <v>230</v>
      </c>
      <c r="AH1048" t="s">
        <v>229</v>
      </c>
      <c r="AI1048" t="s">
        <v>229</v>
      </c>
      <c r="AJ1048" s="2" t="s">
        <v>229</v>
      </c>
      <c r="AK1048" s="2" t="s">
        <v>244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44" t="s">
        <v>3645</v>
      </c>
      <c r="AP1048" s="48" t="b">
        <v>0</v>
      </c>
      <c r="AQ1048" s="48" t="b">
        <v>0</v>
      </c>
      <c r="AR1048" s="48">
        <v>0</v>
      </c>
      <c r="AS1048" s="48" t="b">
        <v>0</v>
      </c>
      <c r="AT1048" s="7" t="b">
        <v>0</v>
      </c>
      <c r="AU1048" s="40" t="str" cm="1">
        <f t="array" ref="AU1048">_xlfn.XLOOKUP(PROPERTIES[[#This Row],[VEHIDCODE]],GRAPHICS_PROPERTIES[VEHIDCODE],GRAPHICS_PROPERTIES[TEMPLATE_ID]&amp;GRAPHICS_PROPERTIES[TEMPLATE_AMENDMENT_CODE])</f>
        <v>TPL_01A</v>
      </c>
    </row>
    <row r="1049" spans="1:47" x14ac:dyDescent="0.35">
      <c r="A1049" s="2" t="s">
        <v>3659</v>
      </c>
      <c r="B1049">
        <v>1946</v>
      </c>
      <c r="C1049">
        <v>1954</v>
      </c>
      <c r="D1049" cm="1">
        <f t="array" ref="D10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9" s="40" t="str">
        <f>_xlfn.XLOOKUP(PROPERTIES[[#This Row],[VEHIDCODE]],CONTROL[VEHIDCODE],CONTROL[ENGLISH])</f>
        <v>Tours/Chapelon 2-12-0 SNCF 160A</v>
      </c>
      <c r="F1049" t="s">
        <v>602</v>
      </c>
      <c r="G1049" s="40" t="str">
        <f>_xlfn.XLOOKUP(PROPERTIES[[#This Row],[COUNTRY]],COUNTRIES[COUNTRY_DESCRIPTION],COUNTRIES[COUNTRY_LABEL],"")</f>
        <v>FR</v>
      </c>
      <c r="H1049" t="str" cm="1">
        <f t="array" ref="H10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9" t="s">
        <v>17</v>
      </c>
      <c r="J1049">
        <v>0</v>
      </c>
      <c r="K1049">
        <v>6</v>
      </c>
      <c r="L1049">
        <v>3</v>
      </c>
      <c r="M1049" t="str" cm="1">
        <f t="array" ref="M10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9">
        <f>_xlfn.XLOOKUP("LOADINGSPEEDDEF_"&amp;PROPERTIES[[#This Row],[LOADINGSPEED]],LOADINGSPEEDDEF[TYPE],LOADINGSPEEDDEF[SPEED])</f>
        <v>20</v>
      </c>
      <c r="O1049" cm="1">
        <f t="array" ref="O10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9">
        <f>IF(ISNUMBER(SEARCH("passenger",PROPERTIES[[#This Row],[CARGODEF]])),1,0)</f>
        <v>0</v>
      </c>
      <c r="Q1049" s="23">
        <v>135</v>
      </c>
      <c r="R1049">
        <v>2713</v>
      </c>
      <c r="U1049">
        <v>0</v>
      </c>
      <c r="V1049">
        <v>100</v>
      </c>
      <c r="Y1049">
        <v>0</v>
      </c>
      <c r="Z1049" s="20">
        <f>100715*0.0045</f>
        <v>453.21749999999997</v>
      </c>
      <c r="AA1049" s="20">
        <f>IFERROR(PROPERTIES[[#This Row],[TE_STARTING_KN]]/(PROPERTIES[[#This Row],[WEIGHT]]*9.81),0)</f>
        <v>0.34221882432891604</v>
      </c>
      <c r="AB1049" s="20">
        <v>0</v>
      </c>
      <c r="AC1049" s="16">
        <f>ROUND(IF(IFERROR(PROPERTIES[[#This Row],[TE_COEFFICIENT_CALC]],0)=0,PROPERTIES[[#This Row],[TE_COEFFICIENT_MANUAL]],PROPERTIES[[#This Row],[TE_COEFFICIENT_CALC]]),3)</f>
        <v>0.34200000000000003</v>
      </c>
      <c r="AD1049" s="39" cm="1">
        <f t="array" ref="AD10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9" s="26">
        <v>0</v>
      </c>
      <c r="AF1049" s="6">
        <v>5</v>
      </c>
      <c r="AG1049" s="6" t="s">
        <v>230</v>
      </c>
      <c r="AH1049" t="s">
        <v>229</v>
      </c>
      <c r="AI1049" t="s">
        <v>229</v>
      </c>
      <c r="AJ1049" s="2" t="s">
        <v>229</v>
      </c>
      <c r="AK1049" s="2" t="s">
        <v>244</v>
      </c>
      <c r="AL1049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9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9" s="2" t="str">
        <f>SUBSTITUTE(SUBSTITUTE(PROPERTIES[[#This Row],[PURCHASECOST_VALUE]], "PURCHASECOST_", ""), "_VALUE", "")</f>
        <v>STEAMENGINE</v>
      </c>
      <c r="AO1049" s="44" t="b">
        <v>0</v>
      </c>
      <c r="AP1049" s="48" t="b">
        <v>0</v>
      </c>
      <c r="AQ1049" s="48" t="b">
        <v>0</v>
      </c>
      <c r="AR1049" s="48">
        <v>0</v>
      </c>
      <c r="AS1049" s="48" t="b">
        <v>0</v>
      </c>
      <c r="AT1049" s="7" t="b">
        <v>0</v>
      </c>
      <c r="AU1049" s="40" t="str" cm="1">
        <f t="array" ref="AU1049">_xlfn.XLOOKUP(PROPERTIES[[#This Row],[VEHIDCODE]],GRAPHICS_PROPERTIES[VEHIDCODE],GRAPHICS_PROPERTIES[TEMPLATE_ID]&amp;GRAPHICS_PROPERTIES[TEMPLATE_AMENDMENT_CODE])</f>
        <v>TPL_03G</v>
      </c>
    </row>
    <row r="1050" spans="1:47" x14ac:dyDescent="0.35">
      <c r="A1050" s="2" t="s">
        <v>3674</v>
      </c>
      <c r="B1050">
        <v>1971</v>
      </c>
      <c r="C1050">
        <v>2030</v>
      </c>
      <c r="D1050" cm="1">
        <f t="array" ref="D10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0" s="40" t="str">
        <f>_xlfn.XLOOKUP(PROPERTIES[[#This Row],[VEHIDCODE]],CONTROL[VEHIDCODE],CONTROL[ENGLISH])</f>
        <v>LTZ 2TE116</v>
      </c>
      <c r="F1050" t="s">
        <v>754</v>
      </c>
      <c r="G1050" s="40" t="str">
        <f>_xlfn.XLOOKUP(PROPERTIES[[#This Row],[COUNTRY]],COUNTRIES[COUNTRY_DESCRIPTION],COUNTRIES[COUNTRY_LABEL],"")</f>
        <v>UA</v>
      </c>
      <c r="H1050" t="str" cm="1">
        <f t="array" ref="H10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0" t="s">
        <v>17</v>
      </c>
      <c r="J1050">
        <v>0</v>
      </c>
      <c r="K1050">
        <v>8</v>
      </c>
      <c r="L1050">
        <v>0</v>
      </c>
      <c r="M1050" t="str" cm="1">
        <f t="array" ref="M10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0">
        <f>_xlfn.XLOOKUP("LOADINGSPEEDDEF_"&amp;PROPERTIES[[#This Row],[LOADINGSPEED]],LOADINGSPEEDDEF[TYPE],LOADINGSPEEDDEF[SPEED])</f>
        <v>20</v>
      </c>
      <c r="O1050" t="str" cm="1">
        <f t="array" ref="O10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50">
        <f>IF(ISNUMBER(SEARCH("passenger",PROPERTIES[[#This Row],[CARGODEF]])),1,0)</f>
        <v>0</v>
      </c>
      <c r="Q1050" s="23">
        <v>138</v>
      </c>
      <c r="R1050">
        <v>3060</v>
      </c>
      <c r="U1050">
        <v>0</v>
      </c>
      <c r="V1050">
        <v>100</v>
      </c>
      <c r="Y1050">
        <v>0</v>
      </c>
      <c r="Z1050" s="20">
        <v>248</v>
      </c>
      <c r="AA1050" s="20">
        <f>IFERROR(PROPERTIES[[#This Row],[TE_STARTING_KN]]/(PROPERTIES[[#This Row],[WEIGHT]]*9.81),0)</f>
        <v>0.1831907695489666</v>
      </c>
      <c r="AB1050" s="20">
        <v>0</v>
      </c>
      <c r="AC1050" s="16">
        <f>ROUND(IF(IFERROR(PROPERTIES[[#This Row],[TE_COEFFICIENT_CALC]],0)=0,PROPERTIES[[#This Row],[TE_COEFFICIENT_MANUAL]],PROPERTIES[[#This Row],[TE_COEFFICIENT_CALC]]),3)</f>
        <v>0.183</v>
      </c>
      <c r="AD1050" s="39" cm="1">
        <f t="array" ref="AD10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1050" s="26">
        <v>0</v>
      </c>
      <c r="AF1050" s="6">
        <v>0</v>
      </c>
      <c r="AG1050" s="6" t="s">
        <v>1948</v>
      </c>
      <c r="AH1050" t="s">
        <v>229</v>
      </c>
      <c r="AI1050" t="s">
        <v>229</v>
      </c>
      <c r="AJ1050" s="2" t="s">
        <v>229</v>
      </c>
      <c r="AK1050" s="2" t="s">
        <v>244</v>
      </c>
      <c r="AL1050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50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50" s="2" t="str">
        <f>SUBSTITUTE(SUBSTITUTE(PROPERTIES[[#This Row],[PURCHASECOST_VALUE]], "PURCHASECOST_", ""), "_VALUE", "")</f>
        <v>DIESELENGINE</v>
      </c>
      <c r="AO1050" s="44" t="b">
        <v>0</v>
      </c>
      <c r="AP1050" s="48" t="b">
        <v>0</v>
      </c>
      <c r="AQ1050" s="48" t="b">
        <v>0</v>
      </c>
      <c r="AR1050" s="48">
        <v>0</v>
      </c>
      <c r="AS1050" s="48" t="b">
        <v>0</v>
      </c>
      <c r="AT1050" s="7" t="b">
        <v>0</v>
      </c>
      <c r="AU1050" s="40" t="str" cm="1">
        <f t="array" ref="AU1050">_xlfn.XLOOKUP(PROPERTIES[[#This Row],[VEHIDCODE]],GRAPHICS_PROPERTIES[VEHIDCODE],GRAPHICS_PROPERTIES[TEMPLATE_ID]&amp;GRAPHICS_PROPERTIES[TEMPLATE_AMENDMENT_CODE])</f>
        <v>TPL_03F</v>
      </c>
    </row>
    <row r="1051" spans="1:47" x14ac:dyDescent="0.35">
      <c r="A1051" s="2" t="s">
        <v>3700</v>
      </c>
      <c r="B1051">
        <v>1960</v>
      </c>
      <c r="C1051">
        <v>1975</v>
      </c>
      <c r="D1051" cm="1">
        <f t="array" ref="D10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1" s="40" t="str">
        <f>_xlfn.XLOOKUP(PROPERTIES[[#This Row],[VEHIDCODE]],CONTROL[VEHIDCODE],CONTROL[ENGLISH])</f>
        <v>Ganz-MAVAG SN61</v>
      </c>
      <c r="F1051" t="s">
        <v>626</v>
      </c>
      <c r="G1051" s="40" t="str">
        <f>_xlfn.XLOOKUP(PROPERTIES[[#This Row],[COUNTRY]],COUNTRIES[COUNTRY_DESCRIPTION],COUNTRIES[COUNTRY_LABEL],"")</f>
        <v>HU</v>
      </c>
      <c r="H1051" t="str" cm="1">
        <f t="array" ref="H10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1" t="s">
        <v>22</v>
      </c>
      <c r="J1051">
        <v>48</v>
      </c>
      <c r="K1051">
        <v>8</v>
      </c>
      <c r="L1051">
        <v>0</v>
      </c>
      <c r="M1051" t="str" cm="1">
        <f t="array" ref="M10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51">
        <f>_xlfn.XLOOKUP("LOADINGSPEEDDEF_"&amp;PROPERTIES[[#This Row],[LOADINGSPEED]],LOADINGSPEEDDEF[TYPE],LOADINGSPEEDDEF[SPEED])</f>
        <v>40</v>
      </c>
      <c r="O1051" cm="1">
        <f t="array" ref="O10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1">
        <f>IF(ISNUMBER(SEARCH("passenger",PROPERTIES[[#This Row],[CARGODEF]])),1,0)</f>
        <v>1</v>
      </c>
      <c r="Q1051" s="23">
        <v>57</v>
      </c>
      <c r="R1051">
        <v>500</v>
      </c>
      <c r="U1051">
        <v>0</v>
      </c>
      <c r="V1051">
        <v>108</v>
      </c>
      <c r="Y1051">
        <v>0</v>
      </c>
      <c r="Z1051" s="20">
        <v>0</v>
      </c>
      <c r="AA1051" s="20">
        <f>IFERROR(PROPERTIES[[#This Row],[TE_STARTING_KN]]/(PROPERTIES[[#This Row],[WEIGHT]]*9.81),0)</f>
        <v>0</v>
      </c>
      <c r="AB1051" s="20">
        <v>0.2</v>
      </c>
      <c r="AC1051" s="16">
        <f>ROUND(IF(IFERROR(PROPERTIES[[#This Row],[TE_COEFFICIENT_CALC]],0)=0,PROPERTIES[[#This Row],[TE_COEFFICIENT_MANUAL]],PROPERTIES[[#This Row],[TE_COEFFICIENT_CALC]]),3)</f>
        <v>0.2</v>
      </c>
      <c r="AD1051" s="39" cm="1">
        <f t="array" ref="AD10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1" s="26">
        <v>0</v>
      </c>
      <c r="AF1051" s="6">
        <v>0</v>
      </c>
      <c r="AG1051" s="6" t="s">
        <v>236</v>
      </c>
      <c r="AH1051" t="s">
        <v>229</v>
      </c>
      <c r="AI1051" t="s">
        <v>229</v>
      </c>
      <c r="AJ1051" s="2" t="s">
        <v>229</v>
      </c>
      <c r="AK1051" s="2" t="s">
        <v>244</v>
      </c>
      <c r="AL1051" s="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51" s="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51" s="2" t="str">
        <f>SUBSTITUTE(SUBSTITUTE(PROPERTIES[[#This Row],[PURCHASECOST_VALUE]], "PURCHASECOST_", ""), "_VALUE", "")</f>
        <v>DIESELRAILBUS</v>
      </c>
      <c r="AO1051" s="44" t="b">
        <v>0</v>
      </c>
      <c r="AP1051" s="48" t="b">
        <v>0</v>
      </c>
      <c r="AQ1051" s="48" t="b">
        <v>0</v>
      </c>
      <c r="AR1051" s="48">
        <v>0</v>
      </c>
      <c r="AS1051" s="48" t="b">
        <v>0</v>
      </c>
      <c r="AT1051" s="7" t="b">
        <v>0</v>
      </c>
      <c r="AU1051" s="40" t="str" cm="1">
        <f t="array" ref="AU1051">_xlfn.XLOOKUP(PROPERTIES[[#This Row],[VEHIDCODE]],GRAPHICS_PROPERTIES[VEHIDCODE],GRAPHICS_PROPERTIES[TEMPLATE_ID]&amp;GRAPHICS_PROPERTIES[TEMPLATE_AMENDMENT_CODE])</f>
        <v>TPL_01H</v>
      </c>
    </row>
  </sheetData>
  <phoneticPr fontId="18" type="noConversion"/>
  <conditionalFormatting sqref="A1:A891 A895:A1050 A1052:A1048576">
    <cfRule type="expression" dxfId="83" priority="39">
      <formula>$AT1=TRUE</formula>
    </cfRule>
  </conditionalFormatting>
  <conditionalFormatting sqref="A892:A894">
    <cfRule type="expression" dxfId="82" priority="15">
      <formula>$Q892=TRUE</formula>
    </cfRule>
  </conditionalFormatting>
  <conditionalFormatting sqref="A892:A940">
    <cfRule type="containsText" dxfId="81" priority="16" operator="containsText" text=" ">
      <formula>NOT(ISERROR(SEARCH(" ",A892)))</formula>
    </cfRule>
  </conditionalFormatting>
  <conditionalFormatting sqref="A942:A943">
    <cfRule type="containsText" dxfId="80" priority="225" operator="containsText" text=" ">
      <formula>NOT(ISERROR(SEARCH(" ",A942)))</formula>
    </cfRule>
  </conditionalFormatting>
  <conditionalFormatting sqref="A946:A950">
    <cfRule type="containsText" dxfId="79" priority="214" operator="containsText" text=" ">
      <formula>NOT(ISERROR(SEARCH(" ",A946)))</formula>
    </cfRule>
  </conditionalFormatting>
  <conditionalFormatting sqref="A952:A953">
    <cfRule type="containsText" dxfId="78" priority="205" operator="containsText" text=" ">
      <formula>NOT(ISERROR(SEARCH(" ",A952)))</formula>
    </cfRule>
  </conditionalFormatting>
  <conditionalFormatting sqref="A956:A971">
    <cfRule type="containsText" dxfId="77" priority="172" operator="containsText" text=" ">
      <formula>NOT(ISERROR(SEARCH(" ",A956)))</formula>
    </cfRule>
  </conditionalFormatting>
  <conditionalFormatting sqref="A974:A977">
    <cfRule type="containsText" dxfId="76" priority="159" operator="containsText" text=" ">
      <formula>NOT(ISERROR(SEARCH(" ",A974)))</formula>
    </cfRule>
  </conditionalFormatting>
  <conditionalFormatting sqref="A979:A982">
    <cfRule type="containsText" dxfId="75" priority="144" operator="containsText" text=" ">
      <formula>NOT(ISERROR(SEARCH(" ",A979)))</formula>
    </cfRule>
  </conditionalFormatting>
  <conditionalFormatting sqref="A985:A986">
    <cfRule type="containsText" dxfId="74" priority="140" operator="containsText" text=" ">
      <formula>NOT(ISERROR(SEARCH(" ",A985)))</formula>
    </cfRule>
  </conditionalFormatting>
  <conditionalFormatting sqref="A988:A991">
    <cfRule type="containsText" dxfId="73" priority="135" operator="containsText" text=" ">
      <formula>NOT(ISERROR(SEARCH(" ",A988)))</formula>
    </cfRule>
  </conditionalFormatting>
  <conditionalFormatting sqref="A994:A1029">
    <cfRule type="containsText" dxfId="72" priority="64" operator="containsText" text=" ">
      <formula>NOT(ISERROR(SEARCH(" ",A994)))</formula>
    </cfRule>
  </conditionalFormatting>
  <conditionalFormatting sqref="A1031:A1051">
    <cfRule type="containsText" dxfId="71" priority="2" operator="containsText" text=" ">
      <formula>NOT(ISERROR(SEARCH(" ",A1031)))</formula>
    </cfRule>
  </conditionalFormatting>
  <conditionalFormatting sqref="A1050:A1051">
    <cfRule type="expression" dxfId="70" priority="1">
      <formula>$Q1050=TRUE</formula>
    </cfRule>
  </conditionalFormatting>
  <conditionalFormatting sqref="J1:J1048576">
    <cfRule type="expression" dxfId="68" priority="211">
      <formula>AND(I1="NONE",J1&gt;0)</formula>
    </cfRule>
  </conditionalFormatting>
  <conditionalFormatting sqref="W1:Y1051 L1:L1048576 R1:U1048576">
    <cfRule type="cellIs" dxfId="67" priority="40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66" priority="324" operator="equal">
      <formula>0</formula>
    </cfRule>
  </conditionalFormatting>
  <conditionalFormatting sqref="Z898:Z899">
    <cfRule type="cellIs" dxfId="65" priority="283" operator="equal">
      <formula>0</formula>
    </cfRule>
  </conditionalFormatting>
  <conditionalFormatting sqref="Z914:Z915">
    <cfRule type="cellIs" dxfId="64" priority="262" operator="equal">
      <formula>0</formula>
    </cfRule>
  </conditionalFormatting>
  <conditionalFormatting sqref="Z975">
    <cfRule type="cellIs" dxfId="63" priority="163" operator="equal">
      <formula>0</formula>
    </cfRule>
  </conditionalFormatting>
  <conditionalFormatting sqref="Z1033:Z1034">
    <cfRule type="cellIs" dxfId="62" priority="58" operator="equal">
      <formula>0</formula>
    </cfRule>
  </conditionalFormatting>
  <conditionalFormatting sqref="Z1013:AA1013">
    <cfRule type="cellIs" dxfId="61" priority="83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60" priority="370" operator="equal">
      <formula>0</formula>
    </cfRule>
  </conditionalFormatting>
  <conditionalFormatting sqref="Z970:AB973">
    <cfRule type="cellIs" dxfId="59" priority="168" operator="equal">
      <formula>0</formula>
    </cfRule>
  </conditionalFormatting>
  <conditionalFormatting sqref="Z977:AB978">
    <cfRule type="cellIs" dxfId="58" priority="156" operator="equal">
      <formula>0</formula>
    </cfRule>
  </conditionalFormatting>
  <conditionalFormatting sqref="Z981:AB981">
    <cfRule type="cellIs" dxfId="57" priority="147" operator="equal">
      <formula>0</formula>
    </cfRule>
  </conditionalFormatting>
  <conditionalFormatting sqref="Z992:AB992">
    <cfRule type="cellIs" dxfId="56" priority="134" operator="equal">
      <formula>0</formula>
    </cfRule>
  </conditionalFormatting>
  <conditionalFormatting sqref="Z999:AB999">
    <cfRule type="cellIs" dxfId="55" priority="113" operator="equal">
      <formula>0</formula>
    </cfRule>
  </conditionalFormatting>
  <conditionalFormatting sqref="Z1001:AB1002">
    <cfRule type="cellIs" dxfId="54" priority="110" operator="equal">
      <formula>0</formula>
    </cfRule>
  </conditionalFormatting>
  <conditionalFormatting sqref="Z1012:AB1012">
    <cfRule type="cellIs" dxfId="53" priority="90" operator="equal">
      <formula>0</formula>
    </cfRule>
  </conditionalFormatting>
  <conditionalFormatting sqref="Z1020:AB1021">
    <cfRule type="cellIs" dxfId="52" priority="73" operator="equal">
      <formula>0</formula>
    </cfRule>
  </conditionalFormatting>
  <conditionalFormatting sqref="Z1026:AB1026">
    <cfRule type="cellIs" dxfId="51" priority="68" operator="equal">
      <formula>0</formula>
    </cfRule>
  </conditionalFormatting>
  <conditionalFormatting sqref="Z1030:AB1032">
    <cfRule type="cellIs" dxfId="50" priority="61" operator="equal">
      <formula>0</formula>
    </cfRule>
  </conditionalFormatting>
  <conditionalFormatting sqref="Z1036:AB1038">
    <cfRule type="cellIs" dxfId="49" priority="55" operator="equal">
      <formula>0</formula>
    </cfRule>
  </conditionalFormatting>
  <conditionalFormatting sqref="AA980:AB980">
    <cfRule type="cellIs" dxfId="48" priority="151" operator="equal">
      <formula>0</formula>
    </cfRule>
  </conditionalFormatting>
  <conditionalFormatting sqref="AA1033:AB1034">
    <cfRule type="cellIs" dxfId="47" priority="59" operator="equal">
      <formula>0</formula>
    </cfRule>
  </conditionalFormatting>
  <conditionalFormatting sqref="AG1:AJ1048576">
    <cfRule type="containsText" dxfId="46" priority="79" operator="containsText" text="NO_REGION">
      <formula>NOT(ISERROR(SEARCH("NO_REGION",AG1)))</formula>
    </cfRule>
  </conditionalFormatting>
  <conditionalFormatting sqref="AK2:AK1051">
    <cfRule type="containsText" dxfId="45" priority="80" operator="containsText" text="NO_CONCEPT">
      <formula>NOT(ISERROR(SEARCH("NO_CONCEPT",AK2)))</formula>
    </cfRule>
  </conditionalFormatting>
  <conditionalFormatting sqref="AL2:AM1051">
    <cfRule type="cellIs" dxfId="44" priority="306" operator="equal">
      <formula>FALSE</formula>
    </cfRule>
  </conditionalFormatting>
  <conditionalFormatting sqref="AO2:AO1051">
    <cfRule type="containsText" dxfId="43" priority="355" operator="containsText" text="FALSE">
      <formula>NOT(ISERROR(SEARCH("FALSE",AO2)))</formula>
    </cfRule>
  </conditionalFormatting>
  <conditionalFormatting sqref="AP2:AT1051">
    <cfRule type="cellIs" dxfId="42" priority="47" operator="equal">
      <formula>FALSE</formula>
    </cfRule>
  </conditionalFormatting>
  <dataValidations count="16">
    <dataValidation type="whole" operator="greaterThanOrEqual" allowBlank="1" showInputMessage="1" showErrorMessage="1" sqref="Q1013 R2:Y1051 P2:P1051 AE2:AF1051 J2:J1051 AR2:AS1048576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51" xr:uid="{F342F512-E760-4CD3-801B-E5B9CF70B7FD}">
      <formula1>0</formula1>
    </dataValidation>
    <dataValidation operator="greaterThanOrEqual" allowBlank="1" showInputMessage="1" showErrorMessage="1" sqref="AU792:AV992 AR1:AS1 AU790:AU791 AV993:AV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AP1052:AQ1048576" xr:uid="{3DF92062-7B45-4CFD-B785-6FCE07E25CA8}">
      <formula1>"GAS_TURBINE,DUAL"</formula1>
    </dataValidation>
    <dataValidation type="list" allowBlank="1" showInputMessage="1" showErrorMessage="1" sqref="F2:F1051" xr:uid="{33652263-03A3-437A-966A-BE8C0F8BE076}">
      <formula1>INDIRECT("COUNTRIES[COUNTRY_DESCRIPTION]")</formula1>
    </dataValidation>
    <dataValidation type="list" allowBlank="1" showInputMessage="1" showErrorMessage="1" sqref="G2:G1051" xr:uid="{588AE673-9464-4BE0-859D-79E758214056}">
      <formula1>INDIRECT("COUNTRIES[COUNTRY_LABEL]")</formula1>
    </dataValidation>
    <dataValidation type="list" allowBlank="1" showInputMessage="1" showErrorMessage="1" sqref="AT2:AT1051 AP2:AQ1051" xr:uid="{F2DE25A7-EAF4-4DA6-85FD-9F7B7EE18717}">
      <formula1>"TRUE,FALSE"</formula1>
    </dataValidation>
    <dataValidation type="whole" allowBlank="1" showInputMessage="1" showErrorMessage="1" sqref="K2:K1051" xr:uid="{607F370E-253D-4A13-94DF-726661E11AFB}">
      <formula1>1</formula1>
      <formula2>8</formula2>
    </dataValidation>
    <dataValidation type="list" allowBlank="1" showInputMessage="1" showErrorMessage="1" sqref="I2:I1051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O1:AO1048576" xr:uid="{8E0E1A95-2411-4628-ACC2-EDFA5938AD76}">
      <formula1>"GAS_TURBINE,DUAL,FALSE"</formula1>
    </dataValidation>
    <dataValidation type="whole" allowBlank="1" showInputMessage="1" showErrorMessage="1" sqref="L1:L1048576" xr:uid="{E8794ACB-4DCD-4E11-8B87-13393862E07A}">
      <formula1>0</formula1>
      <formula2>8</formula2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12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51"/>
  <sheetViews>
    <sheetView zoomScaleNormal="100" workbookViewId="0">
      <pane xSplit="1" ySplit="1" topLeftCell="M618" activePane="bottomRight" state="frozen"/>
      <selection pane="topRight" activeCell="B1" sqref="B1"/>
      <selection pane="bottomLeft" activeCell="A2" sqref="A2"/>
      <selection pane="bottomRight" activeCell="W634" sqref="W634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8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41" t="s">
        <v>2566</v>
      </c>
      <c r="C1" s="1" t="s">
        <v>37</v>
      </c>
      <c r="D1" s="1" t="s">
        <v>38</v>
      </c>
      <c r="E1" s="1" t="s">
        <v>39</v>
      </c>
      <c r="F1" s="1" t="s">
        <v>52</v>
      </c>
      <c r="G1" s="1" t="s">
        <v>248</v>
      </c>
      <c r="H1" s="1" t="s">
        <v>53</v>
      </c>
      <c r="I1" s="1" t="s">
        <v>54</v>
      </c>
      <c r="J1" s="1" t="s">
        <v>40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41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42</v>
      </c>
      <c r="X1" s="1" t="s">
        <v>66</v>
      </c>
      <c r="Y1" s="1" t="s">
        <v>67</v>
      </c>
      <c r="Z1" s="1" t="s">
        <v>68</v>
      </c>
      <c r="AA1" s="1" t="s">
        <v>43</v>
      </c>
      <c r="AB1" s="1" t="s">
        <v>44</v>
      </c>
      <c r="AC1" s="1" t="s">
        <v>45</v>
      </c>
      <c r="AD1" s="10" t="s">
        <v>247</v>
      </c>
      <c r="AE1" s="38" t="s">
        <v>1736</v>
      </c>
      <c r="AF1" s="38" t="s">
        <v>1737</v>
      </c>
      <c r="AG1" s="38" t="s">
        <v>1738</v>
      </c>
      <c r="AH1" s="10" t="s">
        <v>1739</v>
      </c>
    </row>
    <row r="2" spans="1:44" x14ac:dyDescent="0.35">
      <c r="A2" s="2" t="s">
        <v>71</v>
      </c>
      <c r="B2" s="40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8" t="b" cm="1">
        <f t="array" ref="AE2">IFERROR(_xlfn.BYROW(TRACK_TYPES[[#This Row],[TRACK_TYPE_STANDARD_GAUGE_RAILTYPE_OHLE]:[TRACK_TYPE_STANDARD_GAUGE_RAILTYPE_NONE]],_xlfn.LAMBDA(_xlpm.r,OR(_xlpm.r))),FALSE)</f>
        <v>0</v>
      </c>
      <c r="AF2" s="38" t="b" cm="1">
        <f t="array" ref="AF2">IFERROR(_xlfn.BYROW(TRACK_TYPES[[#This Row],[TRACK_TYPE_NARROW_GAUGE_RAILTYPE_OHLE]:[TRACK_TYPE_NARROW_GAUGE_RAILTYPE_NONE]],_xlfn.LAMBDA(_xlpm.r,OR(_xlpm.r))),FALSE)</f>
        <v>0</v>
      </c>
      <c r="AG2" s="38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72</v>
      </c>
      <c r="B3" s="40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8" t="b" cm="1">
        <f t="array" ref="AE3">IFERROR(_xlfn.BYROW(TRACK_TYPES[[#This Row],[TRACK_TYPE_STANDARD_GAUGE_RAILTYPE_OHLE]:[TRACK_TYPE_STANDARD_GAUGE_RAILTYPE_NONE]],_xlfn.LAMBDA(_xlpm.r,OR(_xlpm.r))),FALSE)</f>
        <v>0</v>
      </c>
      <c r="AF3" s="38" t="b" cm="1">
        <f t="array" ref="AF3">IFERROR(_xlfn.BYROW(TRACK_TYPES[[#This Row],[TRACK_TYPE_NARROW_GAUGE_RAILTYPE_OHLE]:[TRACK_TYPE_NARROW_GAUGE_RAILTYPE_NONE]],_xlfn.LAMBDA(_xlpm.r,OR(_xlpm.r))),FALSE)</f>
        <v>0</v>
      </c>
      <c r="AG3" s="38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2649</v>
      </c>
      <c r="B4" s="40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8" t="b" cm="1">
        <f t="array" ref="AE4">IFERROR(_xlfn.BYROW(TRACK_TYPES[[#This Row],[TRACK_TYPE_STANDARD_GAUGE_RAILTYPE_OHLE]:[TRACK_TYPE_STANDARD_GAUGE_RAILTYPE_NONE]],_xlfn.LAMBDA(_xlpm.r,OR(_xlpm.r))),FALSE)</f>
        <v>0</v>
      </c>
      <c r="AF4" s="38" t="b" cm="1">
        <f t="array" ref="AF4">IFERROR(_xlfn.BYROW(TRACK_TYPES[[#This Row],[TRACK_TYPE_NARROW_GAUGE_RAILTYPE_OHLE]:[TRACK_TYPE_NARROW_GAUGE_RAILTYPE_NONE]],_xlfn.LAMBDA(_xlpm.r,OR(_xlpm.r))),FALSE)</f>
        <v>1</v>
      </c>
      <c r="AG4" s="38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2650</v>
      </c>
      <c r="B5" s="40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8" t="b" cm="1">
        <f t="array" ref="AE5">IFERROR(_xlfn.BYROW(TRACK_TYPES[[#This Row],[TRACK_TYPE_STANDARD_GAUGE_RAILTYPE_OHLE]:[TRACK_TYPE_STANDARD_GAUGE_RAILTYPE_NONE]],_xlfn.LAMBDA(_xlpm.r,OR(_xlpm.r))),FALSE)</f>
        <v>1</v>
      </c>
      <c r="AF5" s="38" t="b" cm="1">
        <f t="array" ref="AF5">IFERROR(_xlfn.BYROW(TRACK_TYPES[[#This Row],[TRACK_TYPE_NARROW_GAUGE_RAILTYPE_OHLE]:[TRACK_TYPE_NARROW_GAUGE_RAILTYPE_NONE]],_xlfn.LAMBDA(_xlpm.r,OR(_xlpm.r))),FALSE)</f>
        <v>0</v>
      </c>
      <c r="AG5" s="38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2651</v>
      </c>
      <c r="B6" s="40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8" t="b" cm="1">
        <f t="array" ref="AE6">IFERROR(_xlfn.BYROW(TRACK_TYPES[[#This Row],[TRACK_TYPE_STANDARD_GAUGE_RAILTYPE_OHLE]:[TRACK_TYPE_STANDARD_GAUGE_RAILTYPE_NONE]],_xlfn.LAMBDA(_xlpm.r,OR(_xlpm.r))),FALSE)</f>
        <v>0</v>
      </c>
      <c r="AF6" s="38" t="b" cm="1">
        <f t="array" ref="AF6">IFERROR(_xlfn.BYROW(TRACK_TYPES[[#This Row],[TRACK_TYPE_NARROW_GAUGE_RAILTYPE_OHLE]:[TRACK_TYPE_NARROW_GAUGE_RAILTYPE_NONE]],_xlfn.LAMBDA(_xlpm.r,OR(_xlpm.r))),FALSE)</f>
        <v>0</v>
      </c>
      <c r="AG6" s="38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2652</v>
      </c>
      <c r="B7" s="40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8" t="b" cm="1">
        <f t="array" ref="AE7">IFERROR(_xlfn.BYROW(TRACK_TYPES[[#This Row],[TRACK_TYPE_STANDARD_GAUGE_RAILTYPE_OHLE]:[TRACK_TYPE_STANDARD_GAUGE_RAILTYPE_NONE]],_xlfn.LAMBDA(_xlpm.r,OR(_xlpm.r))),FALSE)</f>
        <v>1</v>
      </c>
      <c r="AF7" s="38" t="b" cm="1">
        <f t="array" ref="AF7">IFERROR(_xlfn.BYROW(TRACK_TYPES[[#This Row],[TRACK_TYPE_NARROW_GAUGE_RAILTYPE_OHLE]:[TRACK_TYPE_NARROW_GAUGE_RAILTYPE_NONE]],_xlfn.LAMBDA(_xlpm.r,OR(_xlpm.r))),FALSE)</f>
        <v>0</v>
      </c>
      <c r="AG7" s="38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2653</v>
      </c>
      <c r="B8" s="40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8" t="b" cm="1">
        <f t="array" ref="AE8">IFERROR(_xlfn.BYROW(TRACK_TYPES[[#This Row],[TRACK_TYPE_STANDARD_GAUGE_RAILTYPE_OHLE]:[TRACK_TYPE_STANDARD_GAUGE_RAILTYPE_NONE]],_xlfn.LAMBDA(_xlpm.r,OR(_xlpm.r))),FALSE)</f>
        <v>1</v>
      </c>
      <c r="AF8" s="38" t="b" cm="1">
        <f t="array" ref="AF8">IFERROR(_xlfn.BYROW(TRACK_TYPES[[#This Row],[TRACK_TYPE_NARROW_GAUGE_RAILTYPE_OHLE]:[TRACK_TYPE_NARROW_GAUGE_RAILTYPE_NONE]],_xlfn.LAMBDA(_xlpm.r,OR(_xlpm.r))),FALSE)</f>
        <v>0</v>
      </c>
      <c r="AG8" s="38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2654</v>
      </c>
      <c r="B9" s="40" t="str">
        <f>_xlfn.XLOOKUP(PROPERTIES[[#This Row],[VEHIDCODE]],CONTROL[VEHIDCODE],CONTROL[ENGLISH])</f>
        <v>Kitson &amp; Co.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8" t="b" cm="1">
        <f t="array" ref="AE9">IFERROR(_xlfn.BYROW(TRACK_TYPES[[#This Row],[TRACK_TYPE_STANDARD_GAUGE_RAILTYPE_OHLE]:[TRACK_TYPE_STANDARD_GAUGE_RAILTYPE_NONE]],_xlfn.LAMBDA(_xlpm.r,OR(_xlpm.r))),FALSE)</f>
        <v>0</v>
      </c>
      <c r="AF9" s="38" t="b" cm="1">
        <f t="array" ref="AF9">IFERROR(_xlfn.BYROW(TRACK_TYPES[[#This Row],[TRACK_TYPE_NARROW_GAUGE_RAILTYPE_OHLE]:[TRACK_TYPE_NARROW_GAUGE_RAILTYPE_NONE]],_xlfn.LAMBDA(_xlpm.r,OR(_xlpm.r))),FALSE)</f>
        <v>1</v>
      </c>
      <c r="AG9" s="38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2655</v>
      </c>
      <c r="B10" s="40" t="str">
        <f>_xlfn.XLOOKUP(PROPERTIES[[#This Row],[VEHIDCODE]],CONTROL[VEHIDCODE],CONTROL[ENGLISH])</f>
        <v>Kerr, Stuart &amp; Co. Motor Car 3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8" t="b" cm="1">
        <f t="array" ref="AE10">IFERROR(_xlfn.BYROW(TRACK_TYPES[[#This Row],[TRACK_TYPE_STANDARD_GAUGE_RAILTYPE_OHLE]:[TRACK_TYPE_STANDARD_GAUGE_RAILTYPE_NONE]],_xlfn.LAMBDA(_xlpm.r,OR(_xlpm.r))),FALSE)</f>
        <v>0</v>
      </c>
      <c r="AF10" s="38" t="b" cm="1">
        <f t="array" ref="AF10">IFERROR(_xlfn.BYROW(TRACK_TYPES[[#This Row],[TRACK_TYPE_NARROW_GAUGE_RAILTYPE_OHLE]:[TRACK_TYPE_NARROW_GAUGE_RAILTYPE_NONE]],_xlfn.LAMBDA(_xlpm.r,OR(_xlpm.r))),FALSE)</f>
        <v>0</v>
      </c>
      <c r="AG10" s="38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2656</v>
      </c>
      <c r="B11" s="40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8" t="b" cm="1">
        <f t="array" ref="AE11">IFERROR(_xlfn.BYROW(TRACK_TYPES[[#This Row],[TRACK_TYPE_STANDARD_GAUGE_RAILTYPE_OHLE]:[TRACK_TYPE_STANDARD_GAUGE_RAILTYPE_NONE]],_xlfn.LAMBDA(_xlpm.r,OR(_xlpm.r))),FALSE)</f>
        <v>1</v>
      </c>
      <c r="AF11" s="38" t="b" cm="1">
        <f t="array" ref="AF11">IFERROR(_xlfn.BYROW(TRACK_TYPES[[#This Row],[TRACK_TYPE_NARROW_GAUGE_RAILTYPE_OHLE]:[TRACK_TYPE_NARROW_GAUGE_RAILTYPE_NONE]],_xlfn.LAMBDA(_xlpm.r,OR(_xlpm.r))),FALSE)</f>
        <v>0</v>
      </c>
      <c r="AG11" s="38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2657</v>
      </c>
      <c r="B12" s="40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8" t="b" cm="1">
        <f t="array" ref="AE12">IFERROR(_xlfn.BYROW(TRACK_TYPES[[#This Row],[TRACK_TYPE_STANDARD_GAUGE_RAILTYPE_OHLE]:[TRACK_TYPE_STANDARD_GAUGE_RAILTYPE_NONE]],_xlfn.LAMBDA(_xlpm.r,OR(_xlpm.r))),FALSE)</f>
        <v>0</v>
      </c>
      <c r="AF12" s="38" t="b" cm="1">
        <f t="array" ref="AF12">IFERROR(_xlfn.BYROW(TRACK_TYPES[[#This Row],[TRACK_TYPE_NARROW_GAUGE_RAILTYPE_OHLE]:[TRACK_TYPE_NARROW_GAUGE_RAILTYPE_NONE]],_xlfn.LAMBDA(_xlpm.r,OR(_xlpm.r))),FALSE)</f>
        <v>0</v>
      </c>
      <c r="AG12" s="38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2658</v>
      </c>
      <c r="B13" s="40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8" t="b" cm="1">
        <f t="array" ref="AE13">IFERROR(_xlfn.BYROW(TRACK_TYPES[[#This Row],[TRACK_TYPE_STANDARD_GAUGE_RAILTYPE_OHLE]:[TRACK_TYPE_STANDARD_GAUGE_RAILTYPE_NONE]],_xlfn.LAMBDA(_xlpm.r,OR(_xlpm.r))),FALSE)</f>
        <v>1</v>
      </c>
      <c r="AF13" s="38" t="b" cm="1">
        <f t="array" ref="AF13">IFERROR(_xlfn.BYROW(TRACK_TYPES[[#This Row],[TRACK_TYPE_NARROW_GAUGE_RAILTYPE_OHLE]:[TRACK_TYPE_NARROW_GAUGE_RAILTYPE_NONE]],_xlfn.LAMBDA(_xlpm.r,OR(_xlpm.r))),FALSE)</f>
        <v>1</v>
      </c>
      <c r="AG13" s="38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2659</v>
      </c>
      <c r="B14" s="40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8" t="b" cm="1">
        <f t="array" ref="AE14">IFERROR(_xlfn.BYROW(TRACK_TYPES[[#This Row],[TRACK_TYPE_STANDARD_GAUGE_RAILTYPE_OHLE]:[TRACK_TYPE_STANDARD_GAUGE_RAILTYPE_NONE]],_xlfn.LAMBDA(_xlpm.r,OR(_xlpm.r))),FALSE)</f>
        <v>1</v>
      </c>
      <c r="AF14" s="38" t="b" cm="1">
        <f t="array" ref="AF14">IFERROR(_xlfn.BYROW(TRACK_TYPES[[#This Row],[TRACK_TYPE_NARROW_GAUGE_RAILTYPE_OHLE]:[TRACK_TYPE_NARROW_GAUGE_RAILTYPE_NONE]],_xlfn.LAMBDA(_xlpm.r,OR(_xlpm.r))),FALSE)</f>
        <v>0</v>
      </c>
      <c r="AG14" s="38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2660</v>
      </c>
      <c r="B15" s="40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8" t="b" cm="1">
        <f t="array" ref="AE15">IFERROR(_xlfn.BYROW(TRACK_TYPES[[#This Row],[TRACK_TYPE_STANDARD_GAUGE_RAILTYPE_OHLE]:[TRACK_TYPE_STANDARD_GAUGE_RAILTYPE_NONE]],_xlfn.LAMBDA(_xlpm.r,OR(_xlpm.r))),FALSE)</f>
        <v>1</v>
      </c>
      <c r="AF15" s="38" t="b" cm="1">
        <f t="array" ref="AF15">IFERROR(_xlfn.BYROW(TRACK_TYPES[[#This Row],[TRACK_TYPE_NARROW_GAUGE_RAILTYPE_OHLE]:[TRACK_TYPE_NARROW_GAUGE_RAILTYPE_NONE]],_xlfn.LAMBDA(_xlpm.r,OR(_xlpm.r))),FALSE)</f>
        <v>0</v>
      </c>
      <c r="AG15" s="38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2661</v>
      </c>
      <c r="B16" s="40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8" t="b" cm="1">
        <f t="array" ref="AE16">IFERROR(_xlfn.BYROW(TRACK_TYPES[[#This Row],[TRACK_TYPE_STANDARD_GAUGE_RAILTYPE_OHLE]:[TRACK_TYPE_STANDARD_GAUGE_RAILTYPE_NONE]],_xlfn.LAMBDA(_xlpm.r,OR(_xlpm.r))),FALSE)</f>
        <v>0</v>
      </c>
      <c r="AF16" s="38" t="b" cm="1">
        <f t="array" ref="AF16">IFERROR(_xlfn.BYROW(TRACK_TYPES[[#This Row],[TRACK_TYPE_NARROW_GAUGE_RAILTYPE_OHLE]:[TRACK_TYPE_NARROW_GAUGE_RAILTYPE_NONE]],_xlfn.LAMBDA(_xlpm.r,OR(_xlpm.r))),FALSE)</f>
        <v>1</v>
      </c>
      <c r="AG16" s="38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2662</v>
      </c>
      <c r="B17" s="40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8" t="b" cm="1">
        <f t="array" ref="AE17">IFERROR(_xlfn.BYROW(TRACK_TYPES[[#This Row],[TRACK_TYPE_STANDARD_GAUGE_RAILTYPE_OHLE]:[TRACK_TYPE_STANDARD_GAUGE_RAILTYPE_NONE]],_xlfn.LAMBDA(_xlpm.r,OR(_xlpm.r))),FALSE)</f>
        <v>0</v>
      </c>
      <c r="AF17" s="38" t="b" cm="1">
        <f t="array" ref="AF17">IFERROR(_xlfn.BYROW(TRACK_TYPES[[#This Row],[TRACK_TYPE_NARROW_GAUGE_RAILTYPE_OHLE]:[TRACK_TYPE_NARROW_GAUGE_RAILTYPE_NONE]],_xlfn.LAMBDA(_xlpm.r,OR(_xlpm.r))),FALSE)</f>
        <v>0</v>
      </c>
      <c r="AG17" s="38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2663</v>
      </c>
      <c r="B18" s="40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8" t="b" cm="1">
        <f t="array" ref="AE18">IFERROR(_xlfn.BYROW(TRACK_TYPES[[#This Row],[TRACK_TYPE_STANDARD_GAUGE_RAILTYPE_OHLE]:[TRACK_TYPE_STANDARD_GAUGE_RAILTYPE_NONE]],_xlfn.LAMBDA(_xlpm.r,OR(_xlpm.r))),FALSE)</f>
        <v>1</v>
      </c>
      <c r="AF18" s="38" t="b" cm="1">
        <f t="array" ref="AF18">IFERROR(_xlfn.BYROW(TRACK_TYPES[[#This Row],[TRACK_TYPE_NARROW_GAUGE_RAILTYPE_OHLE]:[TRACK_TYPE_NARROW_GAUGE_RAILTYPE_NONE]],_xlfn.LAMBDA(_xlpm.r,OR(_xlpm.r))),FALSE)</f>
        <v>1</v>
      </c>
      <c r="AG18" s="38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2664</v>
      </c>
      <c r="B19" s="40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8" t="b" cm="1">
        <f t="array" ref="AE19">IFERROR(_xlfn.BYROW(TRACK_TYPES[[#This Row],[TRACK_TYPE_STANDARD_GAUGE_RAILTYPE_OHLE]:[TRACK_TYPE_STANDARD_GAUGE_RAILTYPE_NONE]],_xlfn.LAMBDA(_xlpm.r,OR(_xlpm.r))),FALSE)</f>
        <v>1</v>
      </c>
      <c r="AF19" s="38" t="b" cm="1">
        <f t="array" ref="AF19">IFERROR(_xlfn.BYROW(TRACK_TYPES[[#This Row],[TRACK_TYPE_NARROW_GAUGE_RAILTYPE_OHLE]:[TRACK_TYPE_NARROW_GAUGE_RAILTYPE_NONE]],_xlfn.LAMBDA(_xlpm.r,OR(_xlpm.r))),FALSE)</f>
        <v>0</v>
      </c>
      <c r="AG19" s="38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2665</v>
      </c>
      <c r="B20" s="40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8" t="b" cm="1">
        <f t="array" ref="AE20">IFERROR(_xlfn.BYROW(TRACK_TYPES[[#This Row],[TRACK_TYPE_STANDARD_GAUGE_RAILTYPE_OHLE]:[TRACK_TYPE_STANDARD_GAUGE_RAILTYPE_NONE]],_xlfn.LAMBDA(_xlpm.r,OR(_xlpm.r))),FALSE)</f>
        <v>1</v>
      </c>
      <c r="AF20" s="38" t="b" cm="1">
        <f t="array" ref="AF20">IFERROR(_xlfn.BYROW(TRACK_TYPES[[#This Row],[TRACK_TYPE_NARROW_GAUGE_RAILTYPE_OHLE]:[TRACK_TYPE_NARROW_GAUGE_RAILTYPE_NONE]],_xlfn.LAMBDA(_xlpm.r,OR(_xlpm.r))),FALSE)</f>
        <v>0</v>
      </c>
      <c r="AG20" s="38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2666</v>
      </c>
      <c r="B21" s="40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8" t="b" cm="1">
        <f t="array" ref="AE21">IFERROR(_xlfn.BYROW(TRACK_TYPES[[#This Row],[TRACK_TYPE_STANDARD_GAUGE_RAILTYPE_OHLE]:[TRACK_TYPE_STANDARD_GAUGE_RAILTYPE_NONE]],_xlfn.LAMBDA(_xlpm.r,OR(_xlpm.r))),FALSE)</f>
        <v>1</v>
      </c>
      <c r="AF21" s="38" t="b" cm="1">
        <f t="array" ref="AF21">IFERROR(_xlfn.BYROW(TRACK_TYPES[[#This Row],[TRACK_TYPE_NARROW_GAUGE_RAILTYPE_OHLE]:[TRACK_TYPE_NARROW_GAUGE_RAILTYPE_NONE]],_xlfn.LAMBDA(_xlpm.r,OR(_xlpm.r))),FALSE)</f>
        <v>0</v>
      </c>
      <c r="AG21" s="38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2667</v>
      </c>
      <c r="B22" s="40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8" t="b" cm="1">
        <f t="array" ref="AE22">IFERROR(_xlfn.BYROW(TRACK_TYPES[[#This Row],[TRACK_TYPE_STANDARD_GAUGE_RAILTYPE_OHLE]:[TRACK_TYPE_STANDARD_GAUGE_RAILTYPE_NONE]],_xlfn.LAMBDA(_xlpm.r,OR(_xlpm.r))),FALSE)</f>
        <v>1</v>
      </c>
      <c r="AF22" s="38" t="b" cm="1">
        <f t="array" ref="AF22">IFERROR(_xlfn.BYROW(TRACK_TYPES[[#This Row],[TRACK_TYPE_NARROW_GAUGE_RAILTYPE_OHLE]:[TRACK_TYPE_NARROW_GAUGE_RAILTYPE_NONE]],_xlfn.LAMBDA(_xlpm.r,OR(_xlpm.r))),FALSE)</f>
        <v>0</v>
      </c>
      <c r="AG22" s="38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2668</v>
      </c>
      <c r="B23" s="40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8" t="b" cm="1">
        <f t="array" ref="AE23">IFERROR(_xlfn.BYROW(TRACK_TYPES[[#This Row],[TRACK_TYPE_STANDARD_GAUGE_RAILTYPE_OHLE]:[TRACK_TYPE_STANDARD_GAUGE_RAILTYPE_NONE]],_xlfn.LAMBDA(_xlpm.r,OR(_xlpm.r))),FALSE)</f>
        <v>1</v>
      </c>
      <c r="AF23" s="38" t="b" cm="1">
        <f t="array" ref="AF23">IFERROR(_xlfn.BYROW(TRACK_TYPES[[#This Row],[TRACK_TYPE_NARROW_GAUGE_RAILTYPE_OHLE]:[TRACK_TYPE_NARROW_GAUGE_RAILTYPE_NONE]],_xlfn.LAMBDA(_xlpm.r,OR(_xlpm.r))),FALSE)</f>
        <v>0</v>
      </c>
      <c r="AG23" s="38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2669</v>
      </c>
      <c r="B24" s="40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8" t="b" cm="1">
        <f t="array" ref="AE24">IFERROR(_xlfn.BYROW(TRACK_TYPES[[#This Row],[TRACK_TYPE_STANDARD_GAUGE_RAILTYPE_OHLE]:[TRACK_TYPE_STANDARD_GAUGE_RAILTYPE_NONE]],_xlfn.LAMBDA(_xlpm.r,OR(_xlpm.r))),FALSE)</f>
        <v>1</v>
      </c>
      <c r="AF24" s="38" t="b" cm="1">
        <f t="array" ref="AF24">IFERROR(_xlfn.BYROW(TRACK_TYPES[[#This Row],[TRACK_TYPE_NARROW_GAUGE_RAILTYPE_OHLE]:[TRACK_TYPE_NARROW_GAUGE_RAILTYPE_NONE]],_xlfn.LAMBDA(_xlpm.r,OR(_xlpm.r))),FALSE)</f>
        <v>0</v>
      </c>
      <c r="AG24" s="38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2670</v>
      </c>
      <c r="B25" s="40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8" t="b" cm="1">
        <f t="array" ref="AE25">IFERROR(_xlfn.BYROW(TRACK_TYPES[[#This Row],[TRACK_TYPE_STANDARD_GAUGE_RAILTYPE_OHLE]:[TRACK_TYPE_STANDARD_GAUGE_RAILTYPE_NONE]],_xlfn.LAMBDA(_xlpm.r,OR(_xlpm.r))),FALSE)</f>
        <v>1</v>
      </c>
      <c r="AF25" s="38" t="b" cm="1">
        <f t="array" ref="AF25">IFERROR(_xlfn.BYROW(TRACK_TYPES[[#This Row],[TRACK_TYPE_NARROW_GAUGE_RAILTYPE_OHLE]:[TRACK_TYPE_NARROW_GAUGE_RAILTYPE_NONE]],_xlfn.LAMBDA(_xlpm.r,OR(_xlpm.r))),FALSE)</f>
        <v>0</v>
      </c>
      <c r="AG25" s="38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2671</v>
      </c>
      <c r="B26" s="40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8" t="b" cm="1">
        <f t="array" ref="AE26">IFERROR(_xlfn.BYROW(TRACK_TYPES[[#This Row],[TRACK_TYPE_STANDARD_GAUGE_RAILTYPE_OHLE]:[TRACK_TYPE_STANDARD_GAUGE_RAILTYPE_NONE]],_xlfn.LAMBDA(_xlpm.r,OR(_xlpm.r))),FALSE)</f>
        <v>1</v>
      </c>
      <c r="AF26" s="38" t="b" cm="1">
        <f t="array" ref="AF26">IFERROR(_xlfn.BYROW(TRACK_TYPES[[#This Row],[TRACK_TYPE_NARROW_GAUGE_RAILTYPE_OHLE]:[TRACK_TYPE_NARROW_GAUGE_RAILTYPE_NONE]],_xlfn.LAMBDA(_xlpm.r,OR(_xlpm.r))),FALSE)</f>
        <v>0</v>
      </c>
      <c r="AG26" s="38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2672</v>
      </c>
      <c r="B27" s="40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8" t="b" cm="1">
        <f t="array" ref="AE27">IFERROR(_xlfn.BYROW(TRACK_TYPES[[#This Row],[TRACK_TYPE_STANDARD_GAUGE_RAILTYPE_OHLE]:[TRACK_TYPE_STANDARD_GAUGE_RAILTYPE_NONE]],_xlfn.LAMBDA(_xlpm.r,OR(_xlpm.r))),FALSE)</f>
        <v>0</v>
      </c>
      <c r="AF27" s="38" t="b" cm="1">
        <f t="array" ref="AF27">IFERROR(_xlfn.BYROW(TRACK_TYPES[[#This Row],[TRACK_TYPE_NARROW_GAUGE_RAILTYPE_OHLE]:[TRACK_TYPE_NARROW_GAUGE_RAILTYPE_NONE]],_xlfn.LAMBDA(_xlpm.r,OR(_xlpm.r))),FALSE)</f>
        <v>0</v>
      </c>
      <c r="AG27" s="38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2673</v>
      </c>
      <c r="B28" s="40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8" t="b" cm="1">
        <f t="array" ref="AE28">IFERROR(_xlfn.BYROW(TRACK_TYPES[[#This Row],[TRACK_TYPE_STANDARD_GAUGE_RAILTYPE_OHLE]:[TRACK_TYPE_STANDARD_GAUGE_RAILTYPE_NONE]],_xlfn.LAMBDA(_xlpm.r,OR(_xlpm.r))),FALSE)</f>
        <v>1</v>
      </c>
      <c r="AF28" s="38" t="b" cm="1">
        <f t="array" ref="AF28">IFERROR(_xlfn.BYROW(TRACK_TYPES[[#This Row],[TRACK_TYPE_NARROW_GAUGE_RAILTYPE_OHLE]:[TRACK_TYPE_NARROW_GAUGE_RAILTYPE_NONE]],_xlfn.LAMBDA(_xlpm.r,OR(_xlpm.r))),FALSE)</f>
        <v>0</v>
      </c>
      <c r="AG28" s="38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2674</v>
      </c>
      <c r="B29" s="40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8" t="b" cm="1">
        <f t="array" ref="AE29">IFERROR(_xlfn.BYROW(TRACK_TYPES[[#This Row],[TRACK_TYPE_STANDARD_GAUGE_RAILTYPE_OHLE]:[TRACK_TYPE_STANDARD_GAUGE_RAILTYPE_NONE]],_xlfn.LAMBDA(_xlpm.r,OR(_xlpm.r))),FALSE)</f>
        <v>1</v>
      </c>
      <c r="AF29" s="38" t="b" cm="1">
        <f t="array" ref="AF29">IFERROR(_xlfn.BYROW(TRACK_TYPES[[#This Row],[TRACK_TYPE_NARROW_GAUGE_RAILTYPE_OHLE]:[TRACK_TYPE_NARROW_GAUGE_RAILTYPE_NONE]],_xlfn.LAMBDA(_xlpm.r,OR(_xlpm.r))),FALSE)</f>
        <v>0</v>
      </c>
      <c r="AG29" s="38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2675</v>
      </c>
      <c r="B30" s="40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8" t="b" cm="1">
        <f t="array" ref="AE30">IFERROR(_xlfn.BYROW(TRACK_TYPES[[#This Row],[TRACK_TYPE_STANDARD_GAUGE_RAILTYPE_OHLE]:[TRACK_TYPE_STANDARD_GAUGE_RAILTYPE_NONE]],_xlfn.LAMBDA(_xlpm.r,OR(_xlpm.r))),FALSE)</f>
        <v>1</v>
      </c>
      <c r="AF30" s="38" t="b" cm="1">
        <f t="array" ref="AF30">IFERROR(_xlfn.BYROW(TRACK_TYPES[[#This Row],[TRACK_TYPE_NARROW_GAUGE_RAILTYPE_OHLE]:[TRACK_TYPE_NARROW_GAUGE_RAILTYPE_NONE]],_xlfn.LAMBDA(_xlpm.r,OR(_xlpm.r))),FALSE)</f>
        <v>0</v>
      </c>
      <c r="AG30" s="38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2676</v>
      </c>
      <c r="B31" s="40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8" t="b" cm="1">
        <f t="array" ref="AE31">IFERROR(_xlfn.BYROW(TRACK_TYPES[[#This Row],[TRACK_TYPE_STANDARD_GAUGE_RAILTYPE_OHLE]:[TRACK_TYPE_STANDARD_GAUGE_RAILTYPE_NONE]],_xlfn.LAMBDA(_xlpm.r,OR(_xlpm.r))),FALSE)</f>
        <v>1</v>
      </c>
      <c r="AF31" s="38" t="b" cm="1">
        <f t="array" ref="AF31">IFERROR(_xlfn.BYROW(TRACK_TYPES[[#This Row],[TRACK_TYPE_NARROW_GAUGE_RAILTYPE_OHLE]:[TRACK_TYPE_NARROW_GAUGE_RAILTYPE_NONE]],_xlfn.LAMBDA(_xlpm.r,OR(_xlpm.r))),FALSE)</f>
        <v>0</v>
      </c>
      <c r="AG31" s="38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2677</v>
      </c>
      <c r="B32" s="40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8" t="b" cm="1">
        <f t="array" ref="AE32">IFERROR(_xlfn.BYROW(TRACK_TYPES[[#This Row],[TRACK_TYPE_STANDARD_GAUGE_RAILTYPE_OHLE]:[TRACK_TYPE_STANDARD_GAUGE_RAILTYPE_NONE]],_xlfn.LAMBDA(_xlpm.r,OR(_xlpm.r))),FALSE)</f>
        <v>1</v>
      </c>
      <c r="AF32" s="38" t="b" cm="1">
        <f t="array" ref="AF32">IFERROR(_xlfn.BYROW(TRACK_TYPES[[#This Row],[TRACK_TYPE_NARROW_GAUGE_RAILTYPE_OHLE]:[TRACK_TYPE_NARROW_GAUGE_RAILTYPE_NONE]],_xlfn.LAMBDA(_xlpm.r,OR(_xlpm.r))),FALSE)</f>
        <v>0</v>
      </c>
      <c r="AG32" s="38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2678</v>
      </c>
      <c r="B33" s="40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8" t="b" cm="1">
        <f t="array" ref="AE33">IFERROR(_xlfn.BYROW(TRACK_TYPES[[#This Row],[TRACK_TYPE_STANDARD_GAUGE_RAILTYPE_OHLE]:[TRACK_TYPE_STANDARD_GAUGE_RAILTYPE_NONE]],_xlfn.LAMBDA(_xlpm.r,OR(_xlpm.r))),FALSE)</f>
        <v>0</v>
      </c>
      <c r="AF33" s="38" t="b" cm="1">
        <f t="array" ref="AF33">IFERROR(_xlfn.BYROW(TRACK_TYPES[[#This Row],[TRACK_TYPE_NARROW_GAUGE_RAILTYPE_OHLE]:[TRACK_TYPE_NARROW_GAUGE_RAILTYPE_NONE]],_xlfn.LAMBDA(_xlpm.r,OR(_xlpm.r))),FALSE)</f>
        <v>0</v>
      </c>
      <c r="AG33" s="38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2679</v>
      </c>
      <c r="B34" s="40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8" t="b" cm="1">
        <f t="array" ref="AE34">IFERROR(_xlfn.BYROW(TRACK_TYPES[[#This Row],[TRACK_TYPE_STANDARD_GAUGE_RAILTYPE_OHLE]:[TRACK_TYPE_STANDARD_GAUGE_RAILTYPE_NONE]],_xlfn.LAMBDA(_xlpm.r,OR(_xlpm.r))),FALSE)</f>
        <v>1</v>
      </c>
      <c r="AF34" s="38" t="b" cm="1">
        <f t="array" ref="AF34">IFERROR(_xlfn.BYROW(TRACK_TYPES[[#This Row],[TRACK_TYPE_NARROW_GAUGE_RAILTYPE_OHLE]:[TRACK_TYPE_NARROW_GAUGE_RAILTYPE_NONE]],_xlfn.LAMBDA(_xlpm.r,OR(_xlpm.r))),FALSE)</f>
        <v>0</v>
      </c>
      <c r="AG34" s="38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2680</v>
      </c>
      <c r="B35" s="40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8" t="b" cm="1">
        <f t="array" ref="AE35">IFERROR(_xlfn.BYROW(TRACK_TYPES[[#This Row],[TRACK_TYPE_STANDARD_GAUGE_RAILTYPE_OHLE]:[TRACK_TYPE_STANDARD_GAUGE_RAILTYPE_NONE]],_xlfn.LAMBDA(_xlpm.r,OR(_xlpm.r))),FALSE)</f>
        <v>1</v>
      </c>
      <c r="AF35" s="38" t="b" cm="1">
        <f t="array" ref="AF35">IFERROR(_xlfn.BYROW(TRACK_TYPES[[#This Row],[TRACK_TYPE_NARROW_GAUGE_RAILTYPE_OHLE]:[TRACK_TYPE_NARROW_GAUGE_RAILTYPE_NONE]],_xlfn.LAMBDA(_xlpm.r,OR(_xlpm.r))),FALSE)</f>
        <v>0</v>
      </c>
      <c r="AG35" s="38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2681</v>
      </c>
      <c r="B36" s="40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8" t="b" cm="1">
        <f t="array" ref="AE36">IFERROR(_xlfn.BYROW(TRACK_TYPES[[#This Row],[TRACK_TYPE_STANDARD_GAUGE_RAILTYPE_OHLE]:[TRACK_TYPE_STANDARD_GAUGE_RAILTYPE_NONE]],_xlfn.LAMBDA(_xlpm.r,OR(_xlpm.r))),FALSE)</f>
        <v>1</v>
      </c>
      <c r="AF36" s="38" t="b" cm="1">
        <f t="array" ref="AF36">IFERROR(_xlfn.BYROW(TRACK_TYPES[[#This Row],[TRACK_TYPE_NARROW_GAUGE_RAILTYPE_OHLE]:[TRACK_TYPE_NARROW_GAUGE_RAILTYPE_NONE]],_xlfn.LAMBDA(_xlpm.r,OR(_xlpm.r))),FALSE)</f>
        <v>0</v>
      </c>
      <c r="AG36" s="38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2682</v>
      </c>
      <c r="B37" s="40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8" t="b" cm="1">
        <f t="array" ref="AE37">IFERROR(_xlfn.BYROW(TRACK_TYPES[[#This Row],[TRACK_TYPE_STANDARD_GAUGE_RAILTYPE_OHLE]:[TRACK_TYPE_STANDARD_GAUGE_RAILTYPE_NONE]],_xlfn.LAMBDA(_xlpm.r,OR(_xlpm.r))),FALSE)</f>
        <v>1</v>
      </c>
      <c r="AF37" s="38" t="b" cm="1">
        <f t="array" ref="AF37">IFERROR(_xlfn.BYROW(TRACK_TYPES[[#This Row],[TRACK_TYPE_NARROW_GAUGE_RAILTYPE_OHLE]:[TRACK_TYPE_NARROW_GAUGE_RAILTYPE_NONE]],_xlfn.LAMBDA(_xlpm.r,OR(_xlpm.r))),FALSE)</f>
        <v>0</v>
      </c>
      <c r="AG37" s="38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2683</v>
      </c>
      <c r="B38" s="40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8" t="b" cm="1">
        <f t="array" ref="AE38">IFERROR(_xlfn.BYROW(TRACK_TYPES[[#This Row],[TRACK_TYPE_STANDARD_GAUGE_RAILTYPE_OHLE]:[TRACK_TYPE_STANDARD_GAUGE_RAILTYPE_NONE]],_xlfn.LAMBDA(_xlpm.r,OR(_xlpm.r))),FALSE)</f>
        <v>1</v>
      </c>
      <c r="AF38" s="38" t="b" cm="1">
        <f t="array" ref="AF38">IFERROR(_xlfn.BYROW(TRACK_TYPES[[#This Row],[TRACK_TYPE_NARROW_GAUGE_RAILTYPE_OHLE]:[TRACK_TYPE_NARROW_GAUGE_RAILTYPE_NONE]],_xlfn.LAMBDA(_xlpm.r,OR(_xlpm.r))),FALSE)</f>
        <v>0</v>
      </c>
      <c r="AG38" s="38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2684</v>
      </c>
      <c r="B39" s="40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8" t="b" cm="1">
        <f t="array" ref="AE39">IFERROR(_xlfn.BYROW(TRACK_TYPES[[#This Row],[TRACK_TYPE_STANDARD_GAUGE_RAILTYPE_OHLE]:[TRACK_TYPE_STANDARD_GAUGE_RAILTYPE_NONE]],_xlfn.LAMBDA(_xlpm.r,OR(_xlpm.r))),FALSE)</f>
        <v>1</v>
      </c>
      <c r="AF39" s="38" t="b" cm="1">
        <f t="array" ref="AF39">IFERROR(_xlfn.BYROW(TRACK_TYPES[[#This Row],[TRACK_TYPE_NARROW_GAUGE_RAILTYPE_OHLE]:[TRACK_TYPE_NARROW_GAUGE_RAILTYPE_NONE]],_xlfn.LAMBDA(_xlpm.r,OR(_xlpm.r))),FALSE)</f>
        <v>0</v>
      </c>
      <c r="AG39" s="38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2685</v>
      </c>
      <c r="B40" s="40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8" t="b" cm="1">
        <f t="array" ref="AE40">IFERROR(_xlfn.BYROW(TRACK_TYPES[[#This Row],[TRACK_TYPE_STANDARD_GAUGE_RAILTYPE_OHLE]:[TRACK_TYPE_STANDARD_GAUGE_RAILTYPE_NONE]],_xlfn.LAMBDA(_xlpm.r,OR(_xlpm.r))),FALSE)</f>
        <v>1</v>
      </c>
      <c r="AF40" s="38" t="b" cm="1">
        <f t="array" ref="AF40">IFERROR(_xlfn.BYROW(TRACK_TYPES[[#This Row],[TRACK_TYPE_NARROW_GAUGE_RAILTYPE_OHLE]:[TRACK_TYPE_NARROW_GAUGE_RAILTYPE_NONE]],_xlfn.LAMBDA(_xlpm.r,OR(_xlpm.r))),FALSE)</f>
        <v>0</v>
      </c>
      <c r="AG40" s="38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2686</v>
      </c>
      <c r="B41" s="40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8" t="b" cm="1">
        <f t="array" ref="AE41">IFERROR(_xlfn.BYROW(TRACK_TYPES[[#This Row],[TRACK_TYPE_STANDARD_GAUGE_RAILTYPE_OHLE]:[TRACK_TYPE_STANDARD_GAUGE_RAILTYPE_NONE]],_xlfn.LAMBDA(_xlpm.r,OR(_xlpm.r))),FALSE)</f>
        <v>0</v>
      </c>
      <c r="AF41" s="38" t="b" cm="1">
        <f t="array" ref="AF41">IFERROR(_xlfn.BYROW(TRACK_TYPES[[#This Row],[TRACK_TYPE_NARROW_GAUGE_RAILTYPE_OHLE]:[TRACK_TYPE_NARROW_GAUGE_RAILTYPE_NONE]],_xlfn.LAMBDA(_xlpm.r,OR(_xlpm.r))),FALSE)</f>
        <v>1</v>
      </c>
      <c r="AG41" s="38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2687</v>
      </c>
      <c r="B42" s="40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8" t="b" cm="1">
        <f t="array" ref="AE42">IFERROR(_xlfn.BYROW(TRACK_TYPES[[#This Row],[TRACK_TYPE_STANDARD_GAUGE_RAILTYPE_OHLE]:[TRACK_TYPE_STANDARD_GAUGE_RAILTYPE_NONE]],_xlfn.LAMBDA(_xlpm.r,OR(_xlpm.r))),FALSE)</f>
        <v>1</v>
      </c>
      <c r="AF42" s="38" t="b" cm="1">
        <f t="array" ref="AF42">IFERROR(_xlfn.BYROW(TRACK_TYPES[[#This Row],[TRACK_TYPE_NARROW_GAUGE_RAILTYPE_OHLE]:[TRACK_TYPE_NARROW_GAUGE_RAILTYPE_NONE]],_xlfn.LAMBDA(_xlpm.r,OR(_xlpm.r))),FALSE)</f>
        <v>0</v>
      </c>
      <c r="AG42" s="38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2688</v>
      </c>
      <c r="B43" s="40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8" t="b" cm="1">
        <f t="array" ref="AE43">IFERROR(_xlfn.BYROW(TRACK_TYPES[[#This Row],[TRACK_TYPE_STANDARD_GAUGE_RAILTYPE_OHLE]:[TRACK_TYPE_STANDARD_GAUGE_RAILTYPE_NONE]],_xlfn.LAMBDA(_xlpm.r,OR(_xlpm.r))),FALSE)</f>
        <v>1</v>
      </c>
      <c r="AF43" s="38" t="b" cm="1">
        <f t="array" ref="AF43">IFERROR(_xlfn.BYROW(TRACK_TYPES[[#This Row],[TRACK_TYPE_NARROW_GAUGE_RAILTYPE_OHLE]:[TRACK_TYPE_NARROW_GAUGE_RAILTYPE_NONE]],_xlfn.LAMBDA(_xlpm.r,OR(_xlpm.r))),FALSE)</f>
        <v>0</v>
      </c>
      <c r="AG43" s="38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2689</v>
      </c>
      <c r="B44" s="40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8" t="b" cm="1">
        <f t="array" ref="AE44">IFERROR(_xlfn.BYROW(TRACK_TYPES[[#This Row],[TRACK_TYPE_STANDARD_GAUGE_RAILTYPE_OHLE]:[TRACK_TYPE_STANDARD_GAUGE_RAILTYPE_NONE]],_xlfn.LAMBDA(_xlpm.r,OR(_xlpm.r))),FALSE)</f>
        <v>1</v>
      </c>
      <c r="AF44" s="38" t="b" cm="1">
        <f t="array" ref="AF44">IFERROR(_xlfn.BYROW(TRACK_TYPES[[#This Row],[TRACK_TYPE_NARROW_GAUGE_RAILTYPE_OHLE]:[TRACK_TYPE_NARROW_GAUGE_RAILTYPE_NONE]],_xlfn.LAMBDA(_xlpm.r,OR(_xlpm.r))),FALSE)</f>
        <v>0</v>
      </c>
      <c r="AG44" s="38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2690</v>
      </c>
      <c r="B45" s="40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8" t="b" cm="1">
        <f t="array" ref="AE45">IFERROR(_xlfn.BYROW(TRACK_TYPES[[#This Row],[TRACK_TYPE_STANDARD_GAUGE_RAILTYPE_OHLE]:[TRACK_TYPE_STANDARD_GAUGE_RAILTYPE_NONE]],_xlfn.LAMBDA(_xlpm.r,OR(_xlpm.r))),FALSE)</f>
        <v>1</v>
      </c>
      <c r="AF45" s="38" t="b" cm="1">
        <f t="array" ref="AF45">IFERROR(_xlfn.BYROW(TRACK_TYPES[[#This Row],[TRACK_TYPE_NARROW_GAUGE_RAILTYPE_OHLE]:[TRACK_TYPE_NARROW_GAUGE_RAILTYPE_NONE]],_xlfn.LAMBDA(_xlpm.r,OR(_xlpm.r))),FALSE)</f>
        <v>0</v>
      </c>
      <c r="AG45" s="38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2691</v>
      </c>
      <c r="B46" s="40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8" t="b" cm="1">
        <f t="array" ref="AE46">IFERROR(_xlfn.BYROW(TRACK_TYPES[[#This Row],[TRACK_TYPE_STANDARD_GAUGE_RAILTYPE_OHLE]:[TRACK_TYPE_STANDARD_GAUGE_RAILTYPE_NONE]],_xlfn.LAMBDA(_xlpm.r,OR(_xlpm.r))),FALSE)</f>
        <v>1</v>
      </c>
      <c r="AF46" s="38" t="b" cm="1">
        <f t="array" ref="AF46">IFERROR(_xlfn.BYROW(TRACK_TYPES[[#This Row],[TRACK_TYPE_NARROW_GAUGE_RAILTYPE_OHLE]:[TRACK_TYPE_NARROW_GAUGE_RAILTYPE_NONE]],_xlfn.LAMBDA(_xlpm.r,OR(_xlpm.r))),FALSE)</f>
        <v>0</v>
      </c>
      <c r="AG46" s="38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2692</v>
      </c>
      <c r="B47" s="40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8" t="b" cm="1">
        <f t="array" ref="AE47">IFERROR(_xlfn.BYROW(TRACK_TYPES[[#This Row],[TRACK_TYPE_STANDARD_GAUGE_RAILTYPE_OHLE]:[TRACK_TYPE_STANDARD_GAUGE_RAILTYPE_NONE]],_xlfn.LAMBDA(_xlpm.r,OR(_xlpm.r))),FALSE)</f>
        <v>0</v>
      </c>
      <c r="AF47" s="38" t="b" cm="1">
        <f t="array" ref="AF47">IFERROR(_xlfn.BYROW(TRACK_TYPES[[#This Row],[TRACK_TYPE_NARROW_GAUGE_RAILTYPE_OHLE]:[TRACK_TYPE_NARROW_GAUGE_RAILTYPE_NONE]],_xlfn.LAMBDA(_xlpm.r,OR(_xlpm.r))),FALSE)</f>
        <v>0</v>
      </c>
      <c r="AG47" s="38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3454</v>
      </c>
      <c r="B48" s="40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8" t="b" cm="1">
        <f t="array" ref="AE48">IFERROR(_xlfn.BYROW(TRACK_TYPES[[#This Row],[TRACK_TYPE_STANDARD_GAUGE_RAILTYPE_OHLE]:[TRACK_TYPE_STANDARD_GAUGE_RAILTYPE_NONE]],_xlfn.LAMBDA(_xlpm.r,OR(_xlpm.r))),FALSE)</f>
        <v>1</v>
      </c>
      <c r="AF48" s="38" t="b" cm="1">
        <f t="array" ref="AF48">IFERROR(_xlfn.BYROW(TRACK_TYPES[[#This Row],[TRACK_TYPE_NARROW_GAUGE_RAILTYPE_OHLE]:[TRACK_TYPE_NARROW_GAUGE_RAILTYPE_NONE]],_xlfn.LAMBDA(_xlpm.r,OR(_xlpm.r))),FALSE)</f>
        <v>0</v>
      </c>
      <c r="AG48" s="38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2693</v>
      </c>
      <c r="B49" s="40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8" t="b" cm="1">
        <f t="array" ref="AE49">IFERROR(_xlfn.BYROW(TRACK_TYPES[[#This Row],[TRACK_TYPE_STANDARD_GAUGE_RAILTYPE_OHLE]:[TRACK_TYPE_STANDARD_GAUGE_RAILTYPE_NONE]],_xlfn.LAMBDA(_xlpm.r,OR(_xlpm.r))),FALSE)</f>
        <v>1</v>
      </c>
      <c r="AF49" s="38" t="b" cm="1">
        <f t="array" ref="AF49">IFERROR(_xlfn.BYROW(TRACK_TYPES[[#This Row],[TRACK_TYPE_NARROW_GAUGE_RAILTYPE_OHLE]:[TRACK_TYPE_NARROW_GAUGE_RAILTYPE_NONE]],_xlfn.LAMBDA(_xlpm.r,OR(_xlpm.r))),FALSE)</f>
        <v>0</v>
      </c>
      <c r="AG49" s="38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2694</v>
      </c>
      <c r="B50" s="40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8" t="b" cm="1">
        <f t="array" ref="AE50">IFERROR(_xlfn.BYROW(TRACK_TYPES[[#This Row],[TRACK_TYPE_STANDARD_GAUGE_RAILTYPE_OHLE]:[TRACK_TYPE_STANDARD_GAUGE_RAILTYPE_NONE]],_xlfn.LAMBDA(_xlpm.r,OR(_xlpm.r))),FALSE)</f>
        <v>1</v>
      </c>
      <c r="AF50" s="38" t="b" cm="1">
        <f t="array" ref="AF50">IFERROR(_xlfn.BYROW(TRACK_TYPES[[#This Row],[TRACK_TYPE_NARROW_GAUGE_RAILTYPE_OHLE]:[TRACK_TYPE_NARROW_GAUGE_RAILTYPE_NONE]],_xlfn.LAMBDA(_xlpm.r,OR(_xlpm.r))),FALSE)</f>
        <v>0</v>
      </c>
      <c r="AG50" s="38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2695</v>
      </c>
      <c r="B51" s="40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8" t="b" cm="1">
        <f t="array" ref="AE51">IFERROR(_xlfn.BYROW(TRACK_TYPES[[#This Row],[TRACK_TYPE_STANDARD_GAUGE_RAILTYPE_OHLE]:[TRACK_TYPE_STANDARD_GAUGE_RAILTYPE_NONE]],_xlfn.LAMBDA(_xlpm.r,OR(_xlpm.r))),FALSE)</f>
        <v>1</v>
      </c>
      <c r="AF51" s="38" t="b" cm="1">
        <f t="array" ref="AF51">IFERROR(_xlfn.BYROW(TRACK_TYPES[[#This Row],[TRACK_TYPE_NARROW_GAUGE_RAILTYPE_OHLE]:[TRACK_TYPE_NARROW_GAUGE_RAILTYPE_NONE]],_xlfn.LAMBDA(_xlpm.r,OR(_xlpm.r))),FALSE)</f>
        <v>0</v>
      </c>
      <c r="AG51" s="38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2696</v>
      </c>
      <c r="B52" s="40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8" t="b" cm="1">
        <f t="array" ref="AE52">IFERROR(_xlfn.BYROW(TRACK_TYPES[[#This Row],[TRACK_TYPE_STANDARD_GAUGE_RAILTYPE_OHLE]:[TRACK_TYPE_STANDARD_GAUGE_RAILTYPE_NONE]],_xlfn.LAMBDA(_xlpm.r,OR(_xlpm.r))),FALSE)</f>
        <v>1</v>
      </c>
      <c r="AF52" s="38" t="b" cm="1">
        <f t="array" ref="AF52">IFERROR(_xlfn.BYROW(TRACK_TYPES[[#This Row],[TRACK_TYPE_NARROW_GAUGE_RAILTYPE_OHLE]:[TRACK_TYPE_NARROW_GAUGE_RAILTYPE_NONE]],_xlfn.LAMBDA(_xlpm.r,OR(_xlpm.r))),FALSE)</f>
        <v>0</v>
      </c>
      <c r="AG52" s="38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3471</v>
      </c>
      <c r="B53" s="40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8" t="b" cm="1">
        <f t="array" ref="AE53">IFERROR(_xlfn.BYROW(TRACK_TYPES[[#This Row],[TRACK_TYPE_STANDARD_GAUGE_RAILTYPE_OHLE]:[TRACK_TYPE_STANDARD_GAUGE_RAILTYPE_NONE]],_xlfn.LAMBDA(_xlpm.r,OR(_xlpm.r))),FALSE)</f>
        <v>1</v>
      </c>
      <c r="AF53" s="38" t="b" cm="1">
        <f t="array" ref="AF53">IFERROR(_xlfn.BYROW(TRACK_TYPES[[#This Row],[TRACK_TYPE_NARROW_GAUGE_RAILTYPE_OHLE]:[TRACK_TYPE_NARROW_GAUGE_RAILTYPE_NONE]],_xlfn.LAMBDA(_xlpm.r,OR(_xlpm.r))),FALSE)</f>
        <v>0</v>
      </c>
      <c r="AG53" s="38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2697</v>
      </c>
      <c r="B54" s="40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8" t="b" cm="1">
        <f t="array" ref="AE54">IFERROR(_xlfn.BYROW(TRACK_TYPES[[#This Row],[TRACK_TYPE_STANDARD_GAUGE_RAILTYPE_OHLE]:[TRACK_TYPE_STANDARD_GAUGE_RAILTYPE_NONE]],_xlfn.LAMBDA(_xlpm.r,OR(_xlpm.r))),FALSE)</f>
        <v>0</v>
      </c>
      <c r="AF54" s="38" t="b" cm="1">
        <f t="array" ref="AF54">IFERROR(_xlfn.BYROW(TRACK_TYPES[[#This Row],[TRACK_TYPE_NARROW_GAUGE_RAILTYPE_OHLE]:[TRACK_TYPE_NARROW_GAUGE_RAILTYPE_NONE]],_xlfn.LAMBDA(_xlpm.r,OR(_xlpm.r))),FALSE)</f>
        <v>1</v>
      </c>
      <c r="AG54" s="38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2698</v>
      </c>
      <c r="B55" s="40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8" t="b" cm="1">
        <f t="array" ref="AE55">IFERROR(_xlfn.BYROW(TRACK_TYPES[[#This Row],[TRACK_TYPE_STANDARD_GAUGE_RAILTYPE_OHLE]:[TRACK_TYPE_STANDARD_GAUGE_RAILTYPE_NONE]],_xlfn.LAMBDA(_xlpm.r,OR(_xlpm.r))),FALSE)</f>
        <v>1</v>
      </c>
      <c r="AF55" s="38" t="b" cm="1">
        <f t="array" ref="AF55">IFERROR(_xlfn.BYROW(TRACK_TYPES[[#This Row],[TRACK_TYPE_NARROW_GAUGE_RAILTYPE_OHLE]:[TRACK_TYPE_NARROW_GAUGE_RAILTYPE_NONE]],_xlfn.LAMBDA(_xlpm.r,OR(_xlpm.r))),FALSE)</f>
        <v>0</v>
      </c>
      <c r="AG55" s="38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2699</v>
      </c>
      <c r="B56" s="40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8" t="b" cm="1">
        <f t="array" ref="AE56">IFERROR(_xlfn.BYROW(TRACK_TYPES[[#This Row],[TRACK_TYPE_STANDARD_GAUGE_RAILTYPE_OHLE]:[TRACK_TYPE_STANDARD_GAUGE_RAILTYPE_NONE]],_xlfn.LAMBDA(_xlpm.r,OR(_xlpm.r))),FALSE)</f>
        <v>1</v>
      </c>
      <c r="AF56" s="38" t="b" cm="1">
        <f t="array" ref="AF56">IFERROR(_xlfn.BYROW(TRACK_TYPES[[#This Row],[TRACK_TYPE_NARROW_GAUGE_RAILTYPE_OHLE]:[TRACK_TYPE_NARROW_GAUGE_RAILTYPE_NONE]],_xlfn.LAMBDA(_xlpm.r,OR(_xlpm.r))),FALSE)</f>
        <v>0</v>
      </c>
      <c r="AG56" s="38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2700</v>
      </c>
      <c r="B57" s="40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8" t="b" cm="1">
        <f t="array" ref="AE57">IFERROR(_xlfn.BYROW(TRACK_TYPES[[#This Row],[TRACK_TYPE_STANDARD_GAUGE_RAILTYPE_OHLE]:[TRACK_TYPE_STANDARD_GAUGE_RAILTYPE_NONE]],_xlfn.LAMBDA(_xlpm.r,OR(_xlpm.r))),FALSE)</f>
        <v>1</v>
      </c>
      <c r="AF57" s="38" t="b" cm="1">
        <f t="array" ref="AF57">IFERROR(_xlfn.BYROW(TRACK_TYPES[[#This Row],[TRACK_TYPE_NARROW_GAUGE_RAILTYPE_OHLE]:[TRACK_TYPE_NARROW_GAUGE_RAILTYPE_NONE]],_xlfn.LAMBDA(_xlpm.r,OR(_xlpm.r))),FALSE)</f>
        <v>0</v>
      </c>
      <c r="AG57" s="38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2701</v>
      </c>
      <c r="B58" s="40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8" t="b" cm="1">
        <f t="array" ref="AE58">IFERROR(_xlfn.BYROW(TRACK_TYPES[[#This Row],[TRACK_TYPE_STANDARD_GAUGE_RAILTYPE_OHLE]:[TRACK_TYPE_STANDARD_GAUGE_RAILTYPE_NONE]],_xlfn.LAMBDA(_xlpm.r,OR(_xlpm.r))),FALSE)</f>
        <v>1</v>
      </c>
      <c r="AF58" s="38" t="b" cm="1">
        <f t="array" ref="AF58">IFERROR(_xlfn.BYROW(TRACK_TYPES[[#This Row],[TRACK_TYPE_NARROW_GAUGE_RAILTYPE_OHLE]:[TRACK_TYPE_NARROW_GAUGE_RAILTYPE_NONE]],_xlfn.LAMBDA(_xlpm.r,OR(_xlpm.r))),FALSE)</f>
        <v>0</v>
      </c>
      <c r="AG58" s="38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2702</v>
      </c>
      <c r="B59" s="40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8" t="b" cm="1">
        <f t="array" ref="AE59">IFERROR(_xlfn.BYROW(TRACK_TYPES[[#This Row],[TRACK_TYPE_STANDARD_GAUGE_RAILTYPE_OHLE]:[TRACK_TYPE_STANDARD_GAUGE_RAILTYPE_NONE]],_xlfn.LAMBDA(_xlpm.r,OR(_xlpm.r))),FALSE)</f>
        <v>1</v>
      </c>
      <c r="AF59" s="38" t="b" cm="1">
        <f t="array" ref="AF59">IFERROR(_xlfn.BYROW(TRACK_TYPES[[#This Row],[TRACK_TYPE_NARROW_GAUGE_RAILTYPE_OHLE]:[TRACK_TYPE_NARROW_GAUGE_RAILTYPE_NONE]],_xlfn.LAMBDA(_xlpm.r,OR(_xlpm.r))),FALSE)</f>
        <v>0</v>
      </c>
      <c r="AG59" s="38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2703</v>
      </c>
      <c r="B60" s="40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8" t="b" cm="1">
        <f t="array" ref="AE60">IFERROR(_xlfn.BYROW(TRACK_TYPES[[#This Row],[TRACK_TYPE_STANDARD_GAUGE_RAILTYPE_OHLE]:[TRACK_TYPE_STANDARD_GAUGE_RAILTYPE_NONE]],_xlfn.LAMBDA(_xlpm.r,OR(_xlpm.r))),FALSE)</f>
        <v>1</v>
      </c>
      <c r="AF60" s="38" t="b" cm="1">
        <f t="array" ref="AF60">IFERROR(_xlfn.BYROW(TRACK_TYPES[[#This Row],[TRACK_TYPE_NARROW_GAUGE_RAILTYPE_OHLE]:[TRACK_TYPE_NARROW_GAUGE_RAILTYPE_NONE]],_xlfn.LAMBDA(_xlpm.r,OR(_xlpm.r))),FALSE)</f>
        <v>0</v>
      </c>
      <c r="AG60" s="38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2704</v>
      </c>
      <c r="B61" s="40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8" t="b" cm="1">
        <f t="array" ref="AE61">IFERROR(_xlfn.BYROW(TRACK_TYPES[[#This Row],[TRACK_TYPE_STANDARD_GAUGE_RAILTYPE_OHLE]:[TRACK_TYPE_STANDARD_GAUGE_RAILTYPE_NONE]],_xlfn.LAMBDA(_xlpm.r,OR(_xlpm.r))),FALSE)</f>
        <v>1</v>
      </c>
      <c r="AF61" s="38" t="b" cm="1">
        <f t="array" ref="AF61">IFERROR(_xlfn.BYROW(TRACK_TYPES[[#This Row],[TRACK_TYPE_NARROW_GAUGE_RAILTYPE_OHLE]:[TRACK_TYPE_NARROW_GAUGE_RAILTYPE_NONE]],_xlfn.LAMBDA(_xlpm.r,OR(_xlpm.r))),FALSE)</f>
        <v>0</v>
      </c>
      <c r="AG61" s="38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2705</v>
      </c>
      <c r="B62" s="40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8" t="b" cm="1">
        <f t="array" ref="AE62">IFERROR(_xlfn.BYROW(TRACK_TYPES[[#This Row],[TRACK_TYPE_STANDARD_GAUGE_RAILTYPE_OHLE]:[TRACK_TYPE_STANDARD_GAUGE_RAILTYPE_NONE]],_xlfn.LAMBDA(_xlpm.r,OR(_xlpm.r))),FALSE)</f>
        <v>1</v>
      </c>
      <c r="AF62" s="38" t="b" cm="1">
        <f t="array" ref="AF62">IFERROR(_xlfn.BYROW(TRACK_TYPES[[#This Row],[TRACK_TYPE_NARROW_GAUGE_RAILTYPE_OHLE]:[TRACK_TYPE_NARROW_GAUGE_RAILTYPE_NONE]],_xlfn.LAMBDA(_xlpm.r,OR(_xlpm.r))),FALSE)</f>
        <v>0</v>
      </c>
      <c r="AG62" s="38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2706</v>
      </c>
      <c r="B63" s="40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8" t="b" cm="1">
        <f t="array" ref="AE63">IFERROR(_xlfn.BYROW(TRACK_TYPES[[#This Row],[TRACK_TYPE_STANDARD_GAUGE_RAILTYPE_OHLE]:[TRACK_TYPE_STANDARD_GAUGE_RAILTYPE_NONE]],_xlfn.LAMBDA(_xlpm.r,OR(_xlpm.r))),FALSE)</f>
        <v>1</v>
      </c>
      <c r="AF63" s="38" t="b" cm="1">
        <f t="array" ref="AF63">IFERROR(_xlfn.BYROW(TRACK_TYPES[[#This Row],[TRACK_TYPE_NARROW_GAUGE_RAILTYPE_OHLE]:[TRACK_TYPE_NARROW_GAUGE_RAILTYPE_NONE]],_xlfn.LAMBDA(_xlpm.r,OR(_xlpm.r))),FALSE)</f>
        <v>0</v>
      </c>
      <c r="AG63" s="38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2707</v>
      </c>
      <c r="B64" s="40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8" t="b" cm="1">
        <f t="array" ref="AE64">IFERROR(_xlfn.BYROW(TRACK_TYPES[[#This Row],[TRACK_TYPE_STANDARD_GAUGE_RAILTYPE_OHLE]:[TRACK_TYPE_STANDARD_GAUGE_RAILTYPE_NONE]],_xlfn.LAMBDA(_xlpm.r,OR(_xlpm.r))),FALSE)</f>
        <v>1</v>
      </c>
      <c r="AF64" s="38" t="b" cm="1">
        <f t="array" ref="AF64">IFERROR(_xlfn.BYROW(TRACK_TYPES[[#This Row],[TRACK_TYPE_NARROW_GAUGE_RAILTYPE_OHLE]:[TRACK_TYPE_NARROW_GAUGE_RAILTYPE_NONE]],_xlfn.LAMBDA(_xlpm.r,OR(_xlpm.r))),FALSE)</f>
        <v>0</v>
      </c>
      <c r="AG64" s="38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2708</v>
      </c>
      <c r="B65" s="40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8" t="b" cm="1">
        <f t="array" ref="AE65">IFERROR(_xlfn.BYROW(TRACK_TYPES[[#This Row],[TRACK_TYPE_STANDARD_GAUGE_RAILTYPE_OHLE]:[TRACK_TYPE_STANDARD_GAUGE_RAILTYPE_NONE]],_xlfn.LAMBDA(_xlpm.r,OR(_xlpm.r))),FALSE)</f>
        <v>1</v>
      </c>
      <c r="AF65" s="38" t="b" cm="1">
        <f t="array" ref="AF65">IFERROR(_xlfn.BYROW(TRACK_TYPES[[#This Row],[TRACK_TYPE_NARROW_GAUGE_RAILTYPE_OHLE]:[TRACK_TYPE_NARROW_GAUGE_RAILTYPE_NONE]],_xlfn.LAMBDA(_xlpm.r,OR(_xlpm.r))),FALSE)</f>
        <v>0</v>
      </c>
      <c r="AG65" s="38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2709</v>
      </c>
      <c r="B66" s="40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8" t="b" cm="1">
        <f t="array" ref="AE66">IFERROR(_xlfn.BYROW(TRACK_TYPES[[#This Row],[TRACK_TYPE_STANDARD_GAUGE_RAILTYPE_OHLE]:[TRACK_TYPE_STANDARD_GAUGE_RAILTYPE_NONE]],_xlfn.LAMBDA(_xlpm.r,OR(_xlpm.r))),FALSE)</f>
        <v>1</v>
      </c>
      <c r="AF66" s="38" t="b" cm="1">
        <f t="array" ref="AF66">IFERROR(_xlfn.BYROW(TRACK_TYPES[[#This Row],[TRACK_TYPE_NARROW_GAUGE_RAILTYPE_OHLE]:[TRACK_TYPE_NARROW_GAUGE_RAILTYPE_NONE]],_xlfn.LAMBDA(_xlpm.r,OR(_xlpm.r))),FALSE)</f>
        <v>0</v>
      </c>
      <c r="AG66" s="38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2710</v>
      </c>
      <c r="B67" s="40" t="str">
        <f>_xlfn.XLOOKUP(PROPERTIES[[#This Row],[VEHIDCODE]],CONTROL[VEHIDCODE],CONTROL[ENGLISH])</f>
        <v>Breese, Kneeland &amp; Co.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8" t="b" cm="1">
        <f t="array" ref="AE67">IFERROR(_xlfn.BYROW(TRACK_TYPES[[#This Row],[TRACK_TYPE_STANDARD_GAUGE_RAILTYPE_OHLE]:[TRACK_TYPE_STANDARD_GAUGE_RAILTYPE_NONE]],_xlfn.LAMBDA(_xlpm.r,OR(_xlpm.r))),FALSE)</f>
        <v>1</v>
      </c>
      <c r="AF67" s="38" t="b" cm="1">
        <f t="array" ref="AF67">IFERROR(_xlfn.BYROW(TRACK_TYPES[[#This Row],[TRACK_TYPE_NARROW_GAUGE_RAILTYPE_OHLE]:[TRACK_TYPE_NARROW_GAUGE_RAILTYPE_NONE]],_xlfn.LAMBDA(_xlpm.r,OR(_xlpm.r))),FALSE)</f>
        <v>0</v>
      </c>
      <c r="AG67" s="38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2711</v>
      </c>
      <c r="B68" s="40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8" t="b" cm="1">
        <f t="array" ref="AE68">IFERROR(_xlfn.BYROW(TRACK_TYPES[[#This Row],[TRACK_TYPE_STANDARD_GAUGE_RAILTYPE_OHLE]:[TRACK_TYPE_STANDARD_GAUGE_RAILTYPE_NONE]],_xlfn.LAMBDA(_xlpm.r,OR(_xlpm.r))),FALSE)</f>
        <v>1</v>
      </c>
      <c r="AF68" s="38" t="b" cm="1">
        <f t="array" ref="AF68">IFERROR(_xlfn.BYROW(TRACK_TYPES[[#This Row],[TRACK_TYPE_NARROW_GAUGE_RAILTYPE_OHLE]:[TRACK_TYPE_NARROW_GAUGE_RAILTYPE_NONE]],_xlfn.LAMBDA(_xlpm.r,OR(_xlpm.r))),FALSE)</f>
        <v>0</v>
      </c>
      <c r="AG68" s="38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2712</v>
      </c>
      <c r="B69" s="40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8" t="b" cm="1">
        <f t="array" ref="AE69">IFERROR(_xlfn.BYROW(TRACK_TYPES[[#This Row],[TRACK_TYPE_STANDARD_GAUGE_RAILTYPE_OHLE]:[TRACK_TYPE_STANDARD_GAUGE_RAILTYPE_NONE]],_xlfn.LAMBDA(_xlpm.r,OR(_xlpm.r))),FALSE)</f>
        <v>1</v>
      </c>
      <c r="AF69" s="38" t="b" cm="1">
        <f t="array" ref="AF69">IFERROR(_xlfn.BYROW(TRACK_TYPES[[#This Row],[TRACK_TYPE_NARROW_GAUGE_RAILTYPE_OHLE]:[TRACK_TYPE_NARROW_GAUGE_RAILTYPE_NONE]],_xlfn.LAMBDA(_xlpm.r,OR(_xlpm.r))),FALSE)</f>
        <v>0</v>
      </c>
      <c r="AG69" s="38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2713</v>
      </c>
      <c r="B70" s="40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8" t="b" cm="1">
        <f t="array" ref="AE70">IFERROR(_xlfn.BYROW(TRACK_TYPES[[#This Row],[TRACK_TYPE_STANDARD_GAUGE_RAILTYPE_OHLE]:[TRACK_TYPE_STANDARD_GAUGE_RAILTYPE_NONE]],_xlfn.LAMBDA(_xlpm.r,OR(_xlpm.r))),FALSE)</f>
        <v>1</v>
      </c>
      <c r="AF70" s="38" t="b" cm="1">
        <f t="array" ref="AF70">IFERROR(_xlfn.BYROW(TRACK_TYPES[[#This Row],[TRACK_TYPE_NARROW_GAUGE_RAILTYPE_OHLE]:[TRACK_TYPE_NARROW_GAUGE_RAILTYPE_NONE]],_xlfn.LAMBDA(_xlpm.r,OR(_xlpm.r))),FALSE)</f>
        <v>0</v>
      </c>
      <c r="AG70" s="38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2714</v>
      </c>
      <c r="B71" s="40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8" t="b" cm="1">
        <f t="array" ref="AE71">IFERROR(_xlfn.BYROW(TRACK_TYPES[[#This Row],[TRACK_TYPE_STANDARD_GAUGE_RAILTYPE_OHLE]:[TRACK_TYPE_STANDARD_GAUGE_RAILTYPE_NONE]],_xlfn.LAMBDA(_xlpm.r,OR(_xlpm.r))),FALSE)</f>
        <v>1</v>
      </c>
      <c r="AF71" s="38" t="b" cm="1">
        <f t="array" ref="AF71">IFERROR(_xlfn.BYROW(TRACK_TYPES[[#This Row],[TRACK_TYPE_NARROW_GAUGE_RAILTYPE_OHLE]:[TRACK_TYPE_NARROW_GAUGE_RAILTYPE_NONE]],_xlfn.LAMBDA(_xlpm.r,OR(_xlpm.r))),FALSE)</f>
        <v>0</v>
      </c>
      <c r="AG71" s="38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2715</v>
      </c>
      <c r="B72" s="40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8" t="b" cm="1">
        <f t="array" ref="AE72">IFERROR(_xlfn.BYROW(TRACK_TYPES[[#This Row],[TRACK_TYPE_STANDARD_GAUGE_RAILTYPE_OHLE]:[TRACK_TYPE_STANDARD_GAUGE_RAILTYPE_NONE]],_xlfn.LAMBDA(_xlpm.r,OR(_xlpm.r))),FALSE)</f>
        <v>1</v>
      </c>
      <c r="AF72" s="38" t="b" cm="1">
        <f t="array" ref="AF72">IFERROR(_xlfn.BYROW(TRACK_TYPES[[#This Row],[TRACK_TYPE_NARROW_GAUGE_RAILTYPE_OHLE]:[TRACK_TYPE_NARROW_GAUGE_RAILTYPE_NONE]],_xlfn.LAMBDA(_xlpm.r,OR(_xlpm.r))),FALSE)</f>
        <v>0</v>
      </c>
      <c r="AG72" s="38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2716</v>
      </c>
      <c r="B73" s="40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8" t="b" cm="1">
        <f t="array" ref="AE73">IFERROR(_xlfn.BYROW(TRACK_TYPES[[#This Row],[TRACK_TYPE_STANDARD_GAUGE_RAILTYPE_OHLE]:[TRACK_TYPE_STANDARD_GAUGE_RAILTYPE_NONE]],_xlfn.LAMBDA(_xlpm.r,OR(_xlpm.r))),FALSE)</f>
        <v>1</v>
      </c>
      <c r="AF73" s="38" t="b" cm="1">
        <f t="array" ref="AF73">IFERROR(_xlfn.BYROW(TRACK_TYPES[[#This Row],[TRACK_TYPE_NARROW_GAUGE_RAILTYPE_OHLE]:[TRACK_TYPE_NARROW_GAUGE_RAILTYPE_NONE]],_xlfn.LAMBDA(_xlpm.r,OR(_xlpm.r))),FALSE)</f>
        <v>0</v>
      </c>
      <c r="AG73" s="38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2717</v>
      </c>
      <c r="B74" s="40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8" t="b" cm="1">
        <f t="array" ref="AE74">IFERROR(_xlfn.BYROW(TRACK_TYPES[[#This Row],[TRACK_TYPE_STANDARD_GAUGE_RAILTYPE_OHLE]:[TRACK_TYPE_STANDARD_GAUGE_RAILTYPE_NONE]],_xlfn.LAMBDA(_xlpm.r,OR(_xlpm.r))),FALSE)</f>
        <v>1</v>
      </c>
      <c r="AF74" s="38" t="b" cm="1">
        <f t="array" ref="AF74">IFERROR(_xlfn.BYROW(TRACK_TYPES[[#This Row],[TRACK_TYPE_NARROW_GAUGE_RAILTYPE_OHLE]:[TRACK_TYPE_NARROW_GAUGE_RAILTYPE_NONE]],_xlfn.LAMBDA(_xlpm.r,OR(_xlpm.r))),FALSE)</f>
        <v>0</v>
      </c>
      <c r="AG74" s="38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2718</v>
      </c>
      <c r="B75" s="40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8" t="b" cm="1">
        <f t="array" ref="AE75">IFERROR(_xlfn.BYROW(TRACK_TYPES[[#This Row],[TRACK_TYPE_STANDARD_GAUGE_RAILTYPE_OHLE]:[TRACK_TYPE_STANDARD_GAUGE_RAILTYPE_NONE]],_xlfn.LAMBDA(_xlpm.r,OR(_xlpm.r))),FALSE)</f>
        <v>1</v>
      </c>
      <c r="AF75" s="38" t="b" cm="1">
        <f t="array" ref="AF75">IFERROR(_xlfn.BYROW(TRACK_TYPES[[#This Row],[TRACK_TYPE_NARROW_GAUGE_RAILTYPE_OHLE]:[TRACK_TYPE_NARROW_GAUGE_RAILTYPE_NONE]],_xlfn.LAMBDA(_xlpm.r,OR(_xlpm.r))),FALSE)</f>
        <v>0</v>
      </c>
      <c r="AG75" s="38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2719</v>
      </c>
      <c r="B76" s="40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8" t="b" cm="1">
        <f t="array" ref="AE76">IFERROR(_xlfn.BYROW(TRACK_TYPES[[#This Row],[TRACK_TYPE_STANDARD_GAUGE_RAILTYPE_OHLE]:[TRACK_TYPE_STANDARD_GAUGE_RAILTYPE_NONE]],_xlfn.LAMBDA(_xlpm.r,OR(_xlpm.r))),FALSE)</f>
        <v>1</v>
      </c>
      <c r="AF76" s="38" t="b" cm="1">
        <f t="array" ref="AF76">IFERROR(_xlfn.BYROW(TRACK_TYPES[[#This Row],[TRACK_TYPE_NARROW_GAUGE_RAILTYPE_OHLE]:[TRACK_TYPE_NARROW_GAUGE_RAILTYPE_NONE]],_xlfn.LAMBDA(_xlpm.r,OR(_xlpm.r))),FALSE)</f>
        <v>0</v>
      </c>
      <c r="AG76" s="38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2720</v>
      </c>
      <c r="B77" s="40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8" t="b" cm="1">
        <f t="array" ref="AE77">IFERROR(_xlfn.BYROW(TRACK_TYPES[[#This Row],[TRACK_TYPE_STANDARD_GAUGE_RAILTYPE_OHLE]:[TRACK_TYPE_STANDARD_GAUGE_RAILTYPE_NONE]],_xlfn.LAMBDA(_xlpm.r,OR(_xlpm.r))),FALSE)</f>
        <v>0</v>
      </c>
      <c r="AF77" s="38" t="b" cm="1">
        <f t="array" ref="AF77">IFERROR(_xlfn.BYROW(TRACK_TYPES[[#This Row],[TRACK_TYPE_NARROW_GAUGE_RAILTYPE_OHLE]:[TRACK_TYPE_NARROW_GAUGE_RAILTYPE_NONE]],_xlfn.LAMBDA(_xlpm.r,OR(_xlpm.r))),FALSE)</f>
        <v>1</v>
      </c>
      <c r="AG77" s="38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3450</v>
      </c>
      <c r="B78" s="40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8" t="b" cm="1">
        <f t="array" ref="AE78">IFERROR(_xlfn.BYROW(TRACK_TYPES[[#This Row],[TRACK_TYPE_STANDARD_GAUGE_RAILTYPE_OHLE]:[TRACK_TYPE_STANDARD_GAUGE_RAILTYPE_NONE]],_xlfn.LAMBDA(_xlpm.r,OR(_xlpm.r))),FALSE)</f>
        <v>1</v>
      </c>
      <c r="AF78" s="38" t="b" cm="1">
        <f t="array" ref="AF78">IFERROR(_xlfn.BYROW(TRACK_TYPES[[#This Row],[TRACK_TYPE_NARROW_GAUGE_RAILTYPE_OHLE]:[TRACK_TYPE_NARROW_GAUGE_RAILTYPE_NONE]],_xlfn.LAMBDA(_xlpm.r,OR(_xlpm.r))),FALSE)</f>
        <v>0</v>
      </c>
      <c r="AG78" s="38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2721</v>
      </c>
      <c r="B79" s="40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8" t="b" cm="1">
        <f t="array" ref="AE79">IFERROR(_xlfn.BYROW(TRACK_TYPES[[#This Row],[TRACK_TYPE_STANDARD_GAUGE_RAILTYPE_OHLE]:[TRACK_TYPE_STANDARD_GAUGE_RAILTYPE_NONE]],_xlfn.LAMBDA(_xlpm.r,OR(_xlpm.r))),FALSE)</f>
        <v>1</v>
      </c>
      <c r="AF79" s="38" t="b" cm="1">
        <f t="array" ref="AF79">IFERROR(_xlfn.BYROW(TRACK_TYPES[[#This Row],[TRACK_TYPE_NARROW_GAUGE_RAILTYPE_OHLE]:[TRACK_TYPE_NARROW_GAUGE_RAILTYPE_NONE]],_xlfn.LAMBDA(_xlpm.r,OR(_xlpm.r))),FALSE)</f>
        <v>0</v>
      </c>
      <c r="AG79" s="38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2722</v>
      </c>
      <c r="B80" s="40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8" t="b" cm="1">
        <f t="array" ref="AE80">IFERROR(_xlfn.BYROW(TRACK_TYPES[[#This Row],[TRACK_TYPE_STANDARD_GAUGE_RAILTYPE_OHLE]:[TRACK_TYPE_STANDARD_GAUGE_RAILTYPE_NONE]],_xlfn.LAMBDA(_xlpm.r,OR(_xlpm.r))),FALSE)</f>
        <v>1</v>
      </c>
      <c r="AF80" s="38" t="b" cm="1">
        <f t="array" ref="AF80">IFERROR(_xlfn.BYROW(TRACK_TYPES[[#This Row],[TRACK_TYPE_NARROW_GAUGE_RAILTYPE_OHLE]:[TRACK_TYPE_NARROW_GAUGE_RAILTYPE_NONE]],_xlfn.LAMBDA(_xlpm.r,OR(_xlpm.r))),FALSE)</f>
        <v>0</v>
      </c>
      <c r="AG80" s="38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2723</v>
      </c>
      <c r="B81" s="40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8" t="b" cm="1">
        <f t="array" ref="AE81">IFERROR(_xlfn.BYROW(TRACK_TYPES[[#This Row],[TRACK_TYPE_STANDARD_GAUGE_RAILTYPE_OHLE]:[TRACK_TYPE_STANDARD_GAUGE_RAILTYPE_NONE]],_xlfn.LAMBDA(_xlpm.r,OR(_xlpm.r))),FALSE)</f>
        <v>1</v>
      </c>
      <c r="AF81" s="38" t="b" cm="1">
        <f t="array" ref="AF81">IFERROR(_xlfn.BYROW(TRACK_TYPES[[#This Row],[TRACK_TYPE_NARROW_GAUGE_RAILTYPE_OHLE]:[TRACK_TYPE_NARROW_GAUGE_RAILTYPE_NONE]],_xlfn.LAMBDA(_xlpm.r,OR(_xlpm.r))),FALSE)</f>
        <v>0</v>
      </c>
      <c r="AG81" s="38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3472</v>
      </c>
      <c r="B82" s="40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8" t="b" cm="1">
        <f t="array" ref="AE82">IFERROR(_xlfn.BYROW(TRACK_TYPES[[#This Row],[TRACK_TYPE_STANDARD_GAUGE_RAILTYPE_OHLE]:[TRACK_TYPE_STANDARD_GAUGE_RAILTYPE_NONE]],_xlfn.LAMBDA(_xlpm.r,OR(_xlpm.r))),FALSE)</f>
        <v>1</v>
      </c>
      <c r="AF82" s="38" t="b" cm="1">
        <f t="array" ref="AF82">IFERROR(_xlfn.BYROW(TRACK_TYPES[[#This Row],[TRACK_TYPE_NARROW_GAUGE_RAILTYPE_OHLE]:[TRACK_TYPE_NARROW_GAUGE_RAILTYPE_NONE]],_xlfn.LAMBDA(_xlpm.r,OR(_xlpm.r))),FALSE)</f>
        <v>0</v>
      </c>
      <c r="AG82" s="38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2724</v>
      </c>
      <c r="B83" s="40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8" t="b" cm="1">
        <f t="array" ref="AE83">IFERROR(_xlfn.BYROW(TRACK_TYPES[[#This Row],[TRACK_TYPE_STANDARD_GAUGE_RAILTYPE_OHLE]:[TRACK_TYPE_STANDARD_GAUGE_RAILTYPE_NONE]],_xlfn.LAMBDA(_xlpm.r,OR(_xlpm.r))),FALSE)</f>
        <v>1</v>
      </c>
      <c r="AF83" s="38" t="b" cm="1">
        <f t="array" ref="AF83">IFERROR(_xlfn.BYROW(TRACK_TYPES[[#This Row],[TRACK_TYPE_NARROW_GAUGE_RAILTYPE_OHLE]:[TRACK_TYPE_NARROW_GAUGE_RAILTYPE_NONE]],_xlfn.LAMBDA(_xlpm.r,OR(_xlpm.r))),FALSE)</f>
        <v>0</v>
      </c>
      <c r="AG83" s="38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2725</v>
      </c>
      <c r="B84" s="40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8" t="b" cm="1">
        <f t="array" ref="AE84">IFERROR(_xlfn.BYROW(TRACK_TYPES[[#This Row],[TRACK_TYPE_STANDARD_GAUGE_RAILTYPE_OHLE]:[TRACK_TYPE_STANDARD_GAUGE_RAILTYPE_NONE]],_xlfn.LAMBDA(_xlpm.r,OR(_xlpm.r))),FALSE)</f>
        <v>1</v>
      </c>
      <c r="AF84" s="38" t="b" cm="1">
        <f t="array" ref="AF84">IFERROR(_xlfn.BYROW(TRACK_TYPES[[#This Row],[TRACK_TYPE_NARROW_GAUGE_RAILTYPE_OHLE]:[TRACK_TYPE_NARROW_GAUGE_RAILTYPE_NONE]],_xlfn.LAMBDA(_xlpm.r,OR(_xlpm.r))),FALSE)</f>
        <v>0</v>
      </c>
      <c r="AG84" s="38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2726</v>
      </c>
      <c r="B85" s="40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8" t="b" cm="1">
        <f t="array" ref="AE85">IFERROR(_xlfn.BYROW(TRACK_TYPES[[#This Row],[TRACK_TYPE_STANDARD_GAUGE_RAILTYPE_OHLE]:[TRACK_TYPE_STANDARD_GAUGE_RAILTYPE_NONE]],_xlfn.LAMBDA(_xlpm.r,OR(_xlpm.r))),FALSE)</f>
        <v>1</v>
      </c>
      <c r="AF85" s="38" t="b" cm="1">
        <f t="array" ref="AF85">IFERROR(_xlfn.BYROW(TRACK_TYPES[[#This Row],[TRACK_TYPE_NARROW_GAUGE_RAILTYPE_OHLE]:[TRACK_TYPE_NARROW_GAUGE_RAILTYPE_NONE]],_xlfn.LAMBDA(_xlpm.r,OR(_xlpm.r))),FALSE)</f>
        <v>0</v>
      </c>
      <c r="AG85" s="38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2727</v>
      </c>
      <c r="B86" s="40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8" t="b" cm="1">
        <f t="array" ref="AE86">IFERROR(_xlfn.BYROW(TRACK_TYPES[[#This Row],[TRACK_TYPE_STANDARD_GAUGE_RAILTYPE_OHLE]:[TRACK_TYPE_STANDARD_GAUGE_RAILTYPE_NONE]],_xlfn.LAMBDA(_xlpm.r,OR(_xlpm.r))),FALSE)</f>
        <v>1</v>
      </c>
      <c r="AF86" s="38" t="b" cm="1">
        <f t="array" ref="AF86">IFERROR(_xlfn.BYROW(TRACK_TYPES[[#This Row],[TRACK_TYPE_NARROW_GAUGE_RAILTYPE_OHLE]:[TRACK_TYPE_NARROW_GAUGE_RAILTYPE_NONE]],_xlfn.LAMBDA(_xlpm.r,OR(_xlpm.r))),FALSE)</f>
        <v>0</v>
      </c>
      <c r="AG86" s="38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2728</v>
      </c>
      <c r="B87" s="40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8" t="b" cm="1">
        <f t="array" ref="AE87">IFERROR(_xlfn.BYROW(TRACK_TYPES[[#This Row],[TRACK_TYPE_STANDARD_GAUGE_RAILTYPE_OHLE]:[TRACK_TYPE_STANDARD_GAUGE_RAILTYPE_NONE]],_xlfn.LAMBDA(_xlpm.r,OR(_xlpm.r))),FALSE)</f>
        <v>1</v>
      </c>
      <c r="AF87" s="38" t="b" cm="1">
        <f t="array" ref="AF87">IFERROR(_xlfn.BYROW(TRACK_TYPES[[#This Row],[TRACK_TYPE_NARROW_GAUGE_RAILTYPE_OHLE]:[TRACK_TYPE_NARROW_GAUGE_RAILTYPE_NONE]],_xlfn.LAMBDA(_xlpm.r,OR(_xlpm.r))),FALSE)</f>
        <v>0</v>
      </c>
      <c r="AG87" s="38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2729</v>
      </c>
      <c r="B88" s="40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8" t="b" cm="1">
        <f t="array" ref="AE88">IFERROR(_xlfn.BYROW(TRACK_TYPES[[#This Row],[TRACK_TYPE_STANDARD_GAUGE_RAILTYPE_OHLE]:[TRACK_TYPE_STANDARD_GAUGE_RAILTYPE_NONE]],_xlfn.LAMBDA(_xlpm.r,OR(_xlpm.r))),FALSE)</f>
        <v>1</v>
      </c>
      <c r="AF88" s="38" t="b" cm="1">
        <f t="array" ref="AF88">IFERROR(_xlfn.BYROW(TRACK_TYPES[[#This Row],[TRACK_TYPE_NARROW_GAUGE_RAILTYPE_OHLE]:[TRACK_TYPE_NARROW_GAUGE_RAILTYPE_NONE]],_xlfn.LAMBDA(_xlpm.r,OR(_xlpm.r))),FALSE)</f>
        <v>0</v>
      </c>
      <c r="AG88" s="38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2730</v>
      </c>
      <c r="B89" s="40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8" t="b" cm="1">
        <f t="array" ref="AE89">IFERROR(_xlfn.BYROW(TRACK_TYPES[[#This Row],[TRACK_TYPE_STANDARD_GAUGE_RAILTYPE_OHLE]:[TRACK_TYPE_STANDARD_GAUGE_RAILTYPE_NONE]],_xlfn.LAMBDA(_xlpm.r,OR(_xlpm.r))),FALSE)</f>
        <v>0</v>
      </c>
      <c r="AF89" s="38" t="b" cm="1">
        <f t="array" ref="AF89">IFERROR(_xlfn.BYROW(TRACK_TYPES[[#This Row],[TRACK_TYPE_NARROW_GAUGE_RAILTYPE_OHLE]:[TRACK_TYPE_NARROW_GAUGE_RAILTYPE_NONE]],_xlfn.LAMBDA(_xlpm.r,OR(_xlpm.r))),FALSE)</f>
        <v>0</v>
      </c>
      <c r="AG89" s="38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2731</v>
      </c>
      <c r="B90" s="40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8" t="b" cm="1">
        <f t="array" ref="AE90">IFERROR(_xlfn.BYROW(TRACK_TYPES[[#This Row],[TRACK_TYPE_STANDARD_GAUGE_RAILTYPE_OHLE]:[TRACK_TYPE_STANDARD_GAUGE_RAILTYPE_NONE]],_xlfn.LAMBDA(_xlpm.r,OR(_xlpm.r))),FALSE)</f>
        <v>1</v>
      </c>
      <c r="AF90" s="38" t="b" cm="1">
        <f t="array" ref="AF90">IFERROR(_xlfn.BYROW(TRACK_TYPES[[#This Row],[TRACK_TYPE_NARROW_GAUGE_RAILTYPE_OHLE]:[TRACK_TYPE_NARROW_GAUGE_RAILTYPE_NONE]],_xlfn.LAMBDA(_xlpm.r,OR(_xlpm.r))),FALSE)</f>
        <v>0</v>
      </c>
      <c r="AG90" s="38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2732</v>
      </c>
      <c r="B91" s="40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8" t="b" cm="1">
        <f t="array" ref="AE91">IFERROR(_xlfn.BYROW(TRACK_TYPES[[#This Row],[TRACK_TYPE_STANDARD_GAUGE_RAILTYPE_OHLE]:[TRACK_TYPE_STANDARD_GAUGE_RAILTYPE_NONE]],_xlfn.LAMBDA(_xlpm.r,OR(_xlpm.r))),FALSE)</f>
        <v>1</v>
      </c>
      <c r="AF91" s="38" t="b" cm="1">
        <f t="array" ref="AF91">IFERROR(_xlfn.BYROW(TRACK_TYPES[[#This Row],[TRACK_TYPE_NARROW_GAUGE_RAILTYPE_OHLE]:[TRACK_TYPE_NARROW_GAUGE_RAILTYPE_NONE]],_xlfn.LAMBDA(_xlpm.r,OR(_xlpm.r))),FALSE)</f>
        <v>0</v>
      </c>
      <c r="AG91" s="38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2733</v>
      </c>
      <c r="B92" s="40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8" t="b" cm="1">
        <f t="array" ref="AE92">IFERROR(_xlfn.BYROW(TRACK_TYPES[[#This Row],[TRACK_TYPE_STANDARD_GAUGE_RAILTYPE_OHLE]:[TRACK_TYPE_STANDARD_GAUGE_RAILTYPE_NONE]],_xlfn.LAMBDA(_xlpm.r,OR(_xlpm.r))),FALSE)</f>
        <v>1</v>
      </c>
      <c r="AF92" s="38" t="b" cm="1">
        <f t="array" ref="AF92">IFERROR(_xlfn.BYROW(TRACK_TYPES[[#This Row],[TRACK_TYPE_NARROW_GAUGE_RAILTYPE_OHLE]:[TRACK_TYPE_NARROW_GAUGE_RAILTYPE_NONE]],_xlfn.LAMBDA(_xlpm.r,OR(_xlpm.r))),FALSE)</f>
        <v>0</v>
      </c>
      <c r="AG92" s="38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2734</v>
      </c>
      <c r="B93" s="40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8" t="b" cm="1">
        <f t="array" ref="AE93">IFERROR(_xlfn.BYROW(TRACK_TYPES[[#This Row],[TRACK_TYPE_STANDARD_GAUGE_RAILTYPE_OHLE]:[TRACK_TYPE_STANDARD_GAUGE_RAILTYPE_NONE]],_xlfn.LAMBDA(_xlpm.r,OR(_xlpm.r))),FALSE)</f>
        <v>1</v>
      </c>
      <c r="AF93" s="38" t="b" cm="1">
        <f t="array" ref="AF93">IFERROR(_xlfn.BYROW(TRACK_TYPES[[#This Row],[TRACK_TYPE_NARROW_GAUGE_RAILTYPE_OHLE]:[TRACK_TYPE_NARROW_GAUGE_RAILTYPE_NONE]],_xlfn.LAMBDA(_xlpm.r,OR(_xlpm.r))),FALSE)</f>
        <v>0</v>
      </c>
      <c r="AG93" s="38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2735</v>
      </c>
      <c r="B94" s="40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8" t="b" cm="1">
        <f t="array" ref="AE94">IFERROR(_xlfn.BYROW(TRACK_TYPES[[#This Row],[TRACK_TYPE_STANDARD_GAUGE_RAILTYPE_OHLE]:[TRACK_TYPE_STANDARD_GAUGE_RAILTYPE_NONE]],_xlfn.LAMBDA(_xlpm.r,OR(_xlpm.r))),FALSE)</f>
        <v>1</v>
      </c>
      <c r="AF94" s="38" t="b" cm="1">
        <f t="array" ref="AF94">IFERROR(_xlfn.BYROW(TRACK_TYPES[[#This Row],[TRACK_TYPE_NARROW_GAUGE_RAILTYPE_OHLE]:[TRACK_TYPE_NARROW_GAUGE_RAILTYPE_NONE]],_xlfn.LAMBDA(_xlpm.r,OR(_xlpm.r))),FALSE)</f>
        <v>0</v>
      </c>
      <c r="AG94" s="38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2736</v>
      </c>
      <c r="B95" s="40" t="str">
        <f>_xlfn.XLOOKUP(PROPERTIES[[#This Row],[VEHIDCODE]],CONTROL[VEHIDCODE],CONTROL[ENGLISH])</f>
        <v>Henschel &amp; Sohn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8" t="b" cm="1">
        <f t="array" ref="AE95">IFERROR(_xlfn.BYROW(TRACK_TYPES[[#This Row],[TRACK_TYPE_STANDARD_GAUGE_RAILTYPE_OHLE]:[TRACK_TYPE_STANDARD_GAUGE_RAILTYPE_NONE]],_xlfn.LAMBDA(_xlpm.r,OR(_xlpm.r))),FALSE)</f>
        <v>0</v>
      </c>
      <c r="AF95" s="38" t="b" cm="1">
        <f t="array" ref="AF95">IFERROR(_xlfn.BYROW(TRACK_TYPES[[#This Row],[TRACK_TYPE_NARROW_GAUGE_RAILTYPE_OHLE]:[TRACK_TYPE_NARROW_GAUGE_RAILTYPE_NONE]],_xlfn.LAMBDA(_xlpm.r,OR(_xlpm.r))),FALSE)</f>
        <v>1</v>
      </c>
      <c r="AG95" s="38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2737</v>
      </c>
      <c r="B96" s="40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8" t="b" cm="1">
        <f t="array" ref="AE96">IFERROR(_xlfn.BYROW(TRACK_TYPES[[#This Row],[TRACK_TYPE_STANDARD_GAUGE_RAILTYPE_OHLE]:[TRACK_TYPE_STANDARD_GAUGE_RAILTYPE_NONE]],_xlfn.LAMBDA(_xlpm.r,OR(_xlpm.r))),FALSE)</f>
        <v>0</v>
      </c>
      <c r="AF96" s="38" t="b" cm="1">
        <f t="array" ref="AF96">IFERROR(_xlfn.BYROW(TRACK_TYPES[[#This Row],[TRACK_TYPE_NARROW_GAUGE_RAILTYPE_OHLE]:[TRACK_TYPE_NARROW_GAUGE_RAILTYPE_NONE]],_xlfn.LAMBDA(_xlpm.r,OR(_xlpm.r))),FALSE)</f>
        <v>0</v>
      </c>
      <c r="AG96" s="38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2738</v>
      </c>
      <c r="B97" s="40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8" t="b" cm="1">
        <f t="array" ref="AE97">IFERROR(_xlfn.BYROW(TRACK_TYPES[[#This Row],[TRACK_TYPE_STANDARD_GAUGE_RAILTYPE_OHLE]:[TRACK_TYPE_STANDARD_GAUGE_RAILTYPE_NONE]],_xlfn.LAMBDA(_xlpm.r,OR(_xlpm.r))),FALSE)</f>
        <v>1</v>
      </c>
      <c r="AF97" s="38" t="b" cm="1">
        <f t="array" ref="AF97">IFERROR(_xlfn.BYROW(TRACK_TYPES[[#This Row],[TRACK_TYPE_NARROW_GAUGE_RAILTYPE_OHLE]:[TRACK_TYPE_NARROW_GAUGE_RAILTYPE_NONE]],_xlfn.LAMBDA(_xlpm.r,OR(_xlpm.r))),FALSE)</f>
        <v>0</v>
      </c>
      <c r="AG97" s="38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2739</v>
      </c>
      <c r="B98" s="40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8" t="b" cm="1">
        <f t="array" ref="AE98">IFERROR(_xlfn.BYROW(TRACK_TYPES[[#This Row],[TRACK_TYPE_STANDARD_GAUGE_RAILTYPE_OHLE]:[TRACK_TYPE_STANDARD_GAUGE_RAILTYPE_NONE]],_xlfn.LAMBDA(_xlpm.r,OR(_xlpm.r))),FALSE)</f>
        <v>1</v>
      </c>
      <c r="AF98" s="38" t="b" cm="1">
        <f t="array" ref="AF98">IFERROR(_xlfn.BYROW(TRACK_TYPES[[#This Row],[TRACK_TYPE_NARROW_GAUGE_RAILTYPE_OHLE]:[TRACK_TYPE_NARROW_GAUGE_RAILTYPE_NONE]],_xlfn.LAMBDA(_xlpm.r,OR(_xlpm.r))),FALSE)</f>
        <v>0</v>
      </c>
      <c r="AG98" s="38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2740</v>
      </c>
      <c r="B99" s="40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8" t="b" cm="1">
        <f t="array" ref="AE99">IFERROR(_xlfn.BYROW(TRACK_TYPES[[#This Row],[TRACK_TYPE_STANDARD_GAUGE_RAILTYPE_OHLE]:[TRACK_TYPE_STANDARD_GAUGE_RAILTYPE_NONE]],_xlfn.LAMBDA(_xlpm.r,OR(_xlpm.r))),FALSE)</f>
        <v>1</v>
      </c>
      <c r="AF99" s="38" t="b" cm="1">
        <f t="array" ref="AF99">IFERROR(_xlfn.BYROW(TRACK_TYPES[[#This Row],[TRACK_TYPE_NARROW_GAUGE_RAILTYPE_OHLE]:[TRACK_TYPE_NARROW_GAUGE_RAILTYPE_NONE]],_xlfn.LAMBDA(_xlpm.r,OR(_xlpm.r))),FALSE)</f>
        <v>0</v>
      </c>
      <c r="AG99" s="38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2741</v>
      </c>
      <c r="B100" s="40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8" t="b" cm="1">
        <f t="array" ref="AE100">IFERROR(_xlfn.BYROW(TRACK_TYPES[[#This Row],[TRACK_TYPE_STANDARD_GAUGE_RAILTYPE_OHLE]:[TRACK_TYPE_STANDARD_GAUGE_RAILTYPE_NONE]],_xlfn.LAMBDA(_xlpm.r,OR(_xlpm.r))),FALSE)</f>
        <v>1</v>
      </c>
      <c r="AF100" s="38" t="b" cm="1">
        <f t="array" ref="AF100">IFERROR(_xlfn.BYROW(TRACK_TYPES[[#This Row],[TRACK_TYPE_NARROW_GAUGE_RAILTYPE_OHLE]:[TRACK_TYPE_NARROW_GAUGE_RAILTYPE_NONE]],_xlfn.LAMBDA(_xlpm.r,OR(_xlpm.r))),FALSE)</f>
        <v>0</v>
      </c>
      <c r="AG100" s="38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2742</v>
      </c>
      <c r="B101" s="40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8" t="b" cm="1">
        <f t="array" ref="AE101">IFERROR(_xlfn.BYROW(TRACK_TYPES[[#This Row],[TRACK_TYPE_STANDARD_GAUGE_RAILTYPE_OHLE]:[TRACK_TYPE_STANDARD_GAUGE_RAILTYPE_NONE]],_xlfn.LAMBDA(_xlpm.r,OR(_xlpm.r))),FALSE)</f>
        <v>1</v>
      </c>
      <c r="AF101" s="38" t="b" cm="1">
        <f t="array" ref="AF101">IFERROR(_xlfn.BYROW(TRACK_TYPES[[#This Row],[TRACK_TYPE_NARROW_GAUGE_RAILTYPE_OHLE]:[TRACK_TYPE_NARROW_GAUGE_RAILTYPE_NONE]],_xlfn.LAMBDA(_xlpm.r,OR(_xlpm.r))),FALSE)</f>
        <v>0</v>
      </c>
      <c r="AG101" s="38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2743</v>
      </c>
      <c r="B102" s="40" t="str">
        <f>_xlfn.XLOOKUP(PROPERTIES[[#This Row],[VEHIDCODE]],CONTROL[VEHIDCODE],CONTROL[ENGLISH])</f>
        <v>Sharp, Stewart &amp; Co.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8" t="b" cm="1">
        <f t="array" ref="AE102">IFERROR(_xlfn.BYROW(TRACK_TYPES[[#This Row],[TRACK_TYPE_STANDARD_GAUGE_RAILTYPE_OHLE]:[TRACK_TYPE_STANDARD_GAUGE_RAILTYPE_NONE]],_xlfn.LAMBDA(_xlpm.r,OR(_xlpm.r))),FALSE)</f>
        <v>1</v>
      </c>
      <c r="AF102" s="38" t="b" cm="1">
        <f t="array" ref="AF102">IFERROR(_xlfn.BYROW(TRACK_TYPES[[#This Row],[TRACK_TYPE_NARROW_GAUGE_RAILTYPE_OHLE]:[TRACK_TYPE_NARROW_GAUGE_RAILTYPE_NONE]],_xlfn.LAMBDA(_xlpm.r,OR(_xlpm.r))),FALSE)</f>
        <v>0</v>
      </c>
      <c r="AG102" s="38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2744</v>
      </c>
      <c r="B103" s="40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8" t="b" cm="1">
        <f t="array" ref="AE103">IFERROR(_xlfn.BYROW(TRACK_TYPES[[#This Row],[TRACK_TYPE_STANDARD_GAUGE_RAILTYPE_OHLE]:[TRACK_TYPE_STANDARD_GAUGE_RAILTYPE_NONE]],_xlfn.LAMBDA(_xlpm.r,OR(_xlpm.r))),FALSE)</f>
        <v>0</v>
      </c>
      <c r="AF103" s="38" t="b" cm="1">
        <f t="array" ref="AF103">IFERROR(_xlfn.BYROW(TRACK_TYPES[[#This Row],[TRACK_TYPE_NARROW_GAUGE_RAILTYPE_OHLE]:[TRACK_TYPE_NARROW_GAUGE_RAILTYPE_NONE]],_xlfn.LAMBDA(_xlpm.r,OR(_xlpm.r))),FALSE)</f>
        <v>0</v>
      </c>
      <c r="AG103" s="38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2745</v>
      </c>
      <c r="B104" s="40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8" t="b" cm="1">
        <f t="array" ref="AE104">IFERROR(_xlfn.BYROW(TRACK_TYPES[[#This Row],[TRACK_TYPE_STANDARD_GAUGE_RAILTYPE_OHLE]:[TRACK_TYPE_STANDARD_GAUGE_RAILTYPE_NONE]],_xlfn.LAMBDA(_xlpm.r,OR(_xlpm.r))),FALSE)</f>
        <v>1</v>
      </c>
      <c r="AF104" s="38" t="b" cm="1">
        <f t="array" ref="AF104">IFERROR(_xlfn.BYROW(TRACK_TYPES[[#This Row],[TRACK_TYPE_NARROW_GAUGE_RAILTYPE_OHLE]:[TRACK_TYPE_NARROW_GAUGE_RAILTYPE_NONE]],_xlfn.LAMBDA(_xlpm.r,OR(_xlpm.r))),FALSE)</f>
        <v>0</v>
      </c>
      <c r="AG104" s="38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2746</v>
      </c>
      <c r="B105" s="40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8" t="b" cm="1">
        <f t="array" ref="AE105">IFERROR(_xlfn.BYROW(TRACK_TYPES[[#This Row],[TRACK_TYPE_STANDARD_GAUGE_RAILTYPE_OHLE]:[TRACK_TYPE_STANDARD_GAUGE_RAILTYPE_NONE]],_xlfn.LAMBDA(_xlpm.r,OR(_xlpm.r))),FALSE)</f>
        <v>1</v>
      </c>
      <c r="AF105" s="38" t="b" cm="1">
        <f t="array" ref="AF105">IFERROR(_xlfn.BYROW(TRACK_TYPES[[#This Row],[TRACK_TYPE_NARROW_GAUGE_RAILTYPE_OHLE]:[TRACK_TYPE_NARROW_GAUGE_RAILTYPE_NONE]],_xlfn.LAMBDA(_xlpm.r,OR(_xlpm.r))),FALSE)</f>
        <v>0</v>
      </c>
      <c r="AG105" s="38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2747</v>
      </c>
      <c r="B106" s="40" t="str">
        <f>_xlfn.XLOOKUP(PROPERTIES[[#This Row],[VEHIDCODE]],CONTROL[VEHIDCODE],CONTROL[ENGLISH])</f>
        <v>Beyer, P &amp; Co.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8" t="b" cm="1">
        <f t="array" ref="AE106">IFERROR(_xlfn.BYROW(TRACK_TYPES[[#This Row],[TRACK_TYPE_STANDARD_GAUGE_RAILTYPE_OHLE]:[TRACK_TYPE_STANDARD_GAUGE_RAILTYPE_NONE]],_xlfn.LAMBDA(_xlpm.r,OR(_xlpm.r))),FALSE)</f>
        <v>1</v>
      </c>
      <c r="AF106" s="38" t="b" cm="1">
        <f t="array" ref="AF106">IFERROR(_xlfn.BYROW(TRACK_TYPES[[#This Row],[TRACK_TYPE_NARROW_GAUGE_RAILTYPE_OHLE]:[TRACK_TYPE_NARROW_GAUGE_RAILTYPE_NONE]],_xlfn.LAMBDA(_xlpm.r,OR(_xlpm.r))),FALSE)</f>
        <v>0</v>
      </c>
      <c r="AG106" s="38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2748</v>
      </c>
      <c r="B107" s="40" t="str">
        <f>_xlfn.XLOOKUP(PROPERTIES[[#This Row],[VEHIDCODE]],CONTROL[VEHIDCODE],CONTROL[ENGLISH])</f>
        <v>Beyer, P &amp; Co.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8" t="b" cm="1">
        <f t="array" ref="AE107">IFERROR(_xlfn.BYROW(TRACK_TYPES[[#This Row],[TRACK_TYPE_STANDARD_GAUGE_RAILTYPE_OHLE]:[TRACK_TYPE_STANDARD_GAUGE_RAILTYPE_NONE]],_xlfn.LAMBDA(_xlpm.r,OR(_xlpm.r))),FALSE)</f>
        <v>0</v>
      </c>
      <c r="AF107" s="38" t="b" cm="1">
        <f t="array" ref="AF107">IFERROR(_xlfn.BYROW(TRACK_TYPES[[#This Row],[TRACK_TYPE_NARROW_GAUGE_RAILTYPE_OHLE]:[TRACK_TYPE_NARROW_GAUGE_RAILTYPE_NONE]],_xlfn.LAMBDA(_xlpm.r,OR(_xlpm.r))),FALSE)</f>
        <v>1</v>
      </c>
      <c r="AG107" s="38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2749</v>
      </c>
      <c r="B108" s="40" t="str">
        <f>_xlfn.XLOOKUP(PROPERTIES[[#This Row],[VEHIDCODE]],CONTROL[VEHIDCODE],CONTROL[ENGLISH])</f>
        <v>Beyer, P &amp; Co.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8" t="b" cm="1">
        <f t="array" ref="AE108">IFERROR(_xlfn.BYROW(TRACK_TYPES[[#This Row],[TRACK_TYPE_STANDARD_GAUGE_RAILTYPE_OHLE]:[TRACK_TYPE_STANDARD_GAUGE_RAILTYPE_NONE]],_xlfn.LAMBDA(_xlpm.r,OR(_xlpm.r))),FALSE)</f>
        <v>1</v>
      </c>
      <c r="AF108" s="38" t="b" cm="1">
        <f t="array" ref="AF108">IFERROR(_xlfn.BYROW(TRACK_TYPES[[#This Row],[TRACK_TYPE_NARROW_GAUGE_RAILTYPE_OHLE]:[TRACK_TYPE_NARROW_GAUGE_RAILTYPE_NONE]],_xlfn.LAMBDA(_xlpm.r,OR(_xlpm.r))),FALSE)</f>
        <v>0</v>
      </c>
      <c r="AG108" s="38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2750</v>
      </c>
      <c r="B109" s="40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8" t="b" cm="1">
        <f t="array" ref="AE109">IFERROR(_xlfn.BYROW(TRACK_TYPES[[#This Row],[TRACK_TYPE_STANDARD_GAUGE_RAILTYPE_OHLE]:[TRACK_TYPE_STANDARD_GAUGE_RAILTYPE_NONE]],_xlfn.LAMBDA(_xlpm.r,OR(_xlpm.r))),FALSE)</f>
        <v>1</v>
      </c>
      <c r="AF109" s="38" t="b" cm="1">
        <f t="array" ref="AF109">IFERROR(_xlfn.BYROW(TRACK_TYPES[[#This Row],[TRACK_TYPE_NARROW_GAUGE_RAILTYPE_OHLE]:[TRACK_TYPE_NARROW_GAUGE_RAILTYPE_NONE]],_xlfn.LAMBDA(_xlpm.r,OR(_xlpm.r))),FALSE)</f>
        <v>0</v>
      </c>
      <c r="AG109" s="38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2751</v>
      </c>
      <c r="B110" s="40" t="str">
        <f>_xlfn.XLOOKUP(PROPERTIES[[#This Row],[VEHIDCODE]],CONTROL[VEHIDCODE],CONTROL[ENGLISH])</f>
        <v>Nasmyth, Wilson &amp; Co.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8" t="b" cm="1">
        <f t="array" ref="AE110">IFERROR(_xlfn.BYROW(TRACK_TYPES[[#This Row],[TRACK_TYPE_STANDARD_GAUGE_RAILTYPE_OHLE]:[TRACK_TYPE_STANDARD_GAUGE_RAILTYPE_NONE]],_xlfn.LAMBDA(_xlpm.r,OR(_xlpm.r))),FALSE)</f>
        <v>0</v>
      </c>
      <c r="AF110" s="38" t="b" cm="1">
        <f t="array" ref="AF110">IFERROR(_xlfn.BYROW(TRACK_TYPES[[#This Row],[TRACK_TYPE_NARROW_GAUGE_RAILTYPE_OHLE]:[TRACK_TYPE_NARROW_GAUGE_RAILTYPE_NONE]],_xlfn.LAMBDA(_xlpm.r,OR(_xlpm.r))),FALSE)</f>
        <v>1</v>
      </c>
      <c r="AG110" s="38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2752</v>
      </c>
      <c r="B111" s="40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8" t="b" cm="1">
        <f t="array" ref="AE111">IFERROR(_xlfn.BYROW(TRACK_TYPES[[#This Row],[TRACK_TYPE_STANDARD_GAUGE_RAILTYPE_OHLE]:[TRACK_TYPE_STANDARD_GAUGE_RAILTYPE_NONE]],_xlfn.LAMBDA(_xlpm.r,OR(_xlpm.r))),FALSE)</f>
        <v>0</v>
      </c>
      <c r="AF111" s="38" t="b" cm="1">
        <f t="array" ref="AF111">IFERROR(_xlfn.BYROW(TRACK_TYPES[[#This Row],[TRACK_TYPE_NARROW_GAUGE_RAILTYPE_OHLE]:[TRACK_TYPE_NARROW_GAUGE_RAILTYPE_NONE]],_xlfn.LAMBDA(_xlpm.r,OR(_xlpm.r))),FALSE)</f>
        <v>0</v>
      </c>
      <c r="AG111" s="38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2753</v>
      </c>
      <c r="B112" s="40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8" t="b" cm="1">
        <f t="array" ref="AE112">IFERROR(_xlfn.BYROW(TRACK_TYPES[[#This Row],[TRACK_TYPE_STANDARD_GAUGE_RAILTYPE_OHLE]:[TRACK_TYPE_STANDARD_GAUGE_RAILTYPE_NONE]],_xlfn.LAMBDA(_xlpm.r,OR(_xlpm.r))),FALSE)</f>
        <v>0</v>
      </c>
      <c r="AF112" s="38" t="b" cm="1">
        <f t="array" ref="AF112">IFERROR(_xlfn.BYROW(TRACK_TYPES[[#This Row],[TRACK_TYPE_NARROW_GAUGE_RAILTYPE_OHLE]:[TRACK_TYPE_NARROW_GAUGE_RAILTYPE_NONE]],_xlfn.LAMBDA(_xlpm.r,OR(_xlpm.r))),FALSE)</f>
        <v>1</v>
      </c>
      <c r="AG112" s="38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2754</v>
      </c>
      <c r="B113" s="40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8" t="b" cm="1">
        <f t="array" ref="AE113">IFERROR(_xlfn.BYROW(TRACK_TYPES[[#This Row],[TRACK_TYPE_STANDARD_GAUGE_RAILTYPE_OHLE]:[TRACK_TYPE_STANDARD_GAUGE_RAILTYPE_NONE]],_xlfn.LAMBDA(_xlpm.r,OR(_xlpm.r))),FALSE)</f>
        <v>1</v>
      </c>
      <c r="AF113" s="38" t="b" cm="1">
        <f t="array" ref="AF113">IFERROR(_xlfn.BYROW(TRACK_TYPES[[#This Row],[TRACK_TYPE_NARROW_GAUGE_RAILTYPE_OHLE]:[TRACK_TYPE_NARROW_GAUGE_RAILTYPE_NONE]],_xlfn.LAMBDA(_xlpm.r,OR(_xlpm.r))),FALSE)</f>
        <v>0</v>
      </c>
      <c r="AG113" s="38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2755</v>
      </c>
      <c r="B114" s="40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8" t="b" cm="1">
        <f t="array" ref="AE114">IFERROR(_xlfn.BYROW(TRACK_TYPES[[#This Row],[TRACK_TYPE_STANDARD_GAUGE_RAILTYPE_OHLE]:[TRACK_TYPE_STANDARD_GAUGE_RAILTYPE_NONE]],_xlfn.LAMBDA(_xlpm.r,OR(_xlpm.r))),FALSE)</f>
        <v>1</v>
      </c>
      <c r="AF114" s="38" t="b" cm="1">
        <f t="array" ref="AF114">IFERROR(_xlfn.BYROW(TRACK_TYPES[[#This Row],[TRACK_TYPE_NARROW_GAUGE_RAILTYPE_OHLE]:[TRACK_TYPE_NARROW_GAUGE_RAILTYPE_NONE]],_xlfn.LAMBDA(_xlpm.r,OR(_xlpm.r))),FALSE)</f>
        <v>0</v>
      </c>
      <c r="AG114" s="38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2756</v>
      </c>
      <c r="B115" s="40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8" t="b" cm="1">
        <f t="array" ref="AE115">IFERROR(_xlfn.BYROW(TRACK_TYPES[[#This Row],[TRACK_TYPE_STANDARD_GAUGE_RAILTYPE_OHLE]:[TRACK_TYPE_STANDARD_GAUGE_RAILTYPE_NONE]],_xlfn.LAMBDA(_xlpm.r,OR(_xlpm.r))),FALSE)</f>
        <v>1</v>
      </c>
      <c r="AF115" s="38" t="b" cm="1">
        <f t="array" ref="AF115">IFERROR(_xlfn.BYROW(TRACK_TYPES[[#This Row],[TRACK_TYPE_NARROW_GAUGE_RAILTYPE_OHLE]:[TRACK_TYPE_NARROW_GAUGE_RAILTYPE_NONE]],_xlfn.LAMBDA(_xlpm.r,OR(_xlpm.r))),FALSE)</f>
        <v>0</v>
      </c>
      <c r="AG115" s="38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2757</v>
      </c>
      <c r="B116" s="40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8" t="b" cm="1">
        <f t="array" ref="AE116">IFERROR(_xlfn.BYROW(TRACK_TYPES[[#This Row],[TRACK_TYPE_STANDARD_GAUGE_RAILTYPE_OHLE]:[TRACK_TYPE_STANDARD_GAUGE_RAILTYPE_NONE]],_xlfn.LAMBDA(_xlpm.r,OR(_xlpm.r))),FALSE)</f>
        <v>1</v>
      </c>
      <c r="AF116" s="38" t="b" cm="1">
        <f t="array" ref="AF116">IFERROR(_xlfn.BYROW(TRACK_TYPES[[#This Row],[TRACK_TYPE_NARROW_GAUGE_RAILTYPE_OHLE]:[TRACK_TYPE_NARROW_GAUGE_RAILTYPE_NONE]],_xlfn.LAMBDA(_xlpm.r,OR(_xlpm.r))),FALSE)</f>
        <v>0</v>
      </c>
      <c r="AG116" s="38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2758</v>
      </c>
      <c r="B117" s="40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8" t="b" cm="1">
        <f t="array" ref="AE117">IFERROR(_xlfn.BYROW(TRACK_TYPES[[#This Row],[TRACK_TYPE_STANDARD_GAUGE_RAILTYPE_OHLE]:[TRACK_TYPE_STANDARD_GAUGE_RAILTYPE_NONE]],_xlfn.LAMBDA(_xlpm.r,OR(_xlpm.r))),FALSE)</f>
        <v>0</v>
      </c>
      <c r="AF117" s="38" t="b" cm="1">
        <f t="array" ref="AF117">IFERROR(_xlfn.BYROW(TRACK_TYPES[[#This Row],[TRACK_TYPE_NARROW_GAUGE_RAILTYPE_OHLE]:[TRACK_TYPE_NARROW_GAUGE_RAILTYPE_NONE]],_xlfn.LAMBDA(_xlpm.r,OR(_xlpm.r))),FALSE)</f>
        <v>1</v>
      </c>
      <c r="AG117" s="38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2759</v>
      </c>
      <c r="B118" s="40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8" t="b" cm="1">
        <f t="array" ref="AE118">IFERROR(_xlfn.BYROW(TRACK_TYPES[[#This Row],[TRACK_TYPE_STANDARD_GAUGE_RAILTYPE_OHLE]:[TRACK_TYPE_STANDARD_GAUGE_RAILTYPE_NONE]],_xlfn.LAMBDA(_xlpm.r,OR(_xlpm.r))),FALSE)</f>
        <v>0</v>
      </c>
      <c r="AF118" s="38" t="b" cm="1">
        <f t="array" ref="AF118">IFERROR(_xlfn.BYROW(TRACK_TYPES[[#This Row],[TRACK_TYPE_NARROW_GAUGE_RAILTYPE_OHLE]:[TRACK_TYPE_NARROW_GAUGE_RAILTYPE_NONE]],_xlfn.LAMBDA(_xlpm.r,OR(_xlpm.r))),FALSE)</f>
        <v>1</v>
      </c>
      <c r="AG118" s="38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2760</v>
      </c>
      <c r="B119" s="40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8" t="b" cm="1">
        <f t="array" ref="AE119">IFERROR(_xlfn.BYROW(TRACK_TYPES[[#This Row],[TRACK_TYPE_STANDARD_GAUGE_RAILTYPE_OHLE]:[TRACK_TYPE_STANDARD_GAUGE_RAILTYPE_NONE]],_xlfn.LAMBDA(_xlpm.r,OR(_xlpm.r))),FALSE)</f>
        <v>1</v>
      </c>
      <c r="AF119" s="38" t="b" cm="1">
        <f t="array" ref="AF119">IFERROR(_xlfn.BYROW(TRACK_TYPES[[#This Row],[TRACK_TYPE_NARROW_GAUGE_RAILTYPE_OHLE]:[TRACK_TYPE_NARROW_GAUGE_RAILTYPE_NONE]],_xlfn.LAMBDA(_xlpm.r,OR(_xlpm.r))),FALSE)</f>
        <v>0</v>
      </c>
      <c r="AG119" s="38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2761</v>
      </c>
      <c r="B120" s="40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8" t="b" cm="1">
        <f t="array" ref="AE120">IFERROR(_xlfn.BYROW(TRACK_TYPES[[#This Row],[TRACK_TYPE_STANDARD_GAUGE_RAILTYPE_OHLE]:[TRACK_TYPE_STANDARD_GAUGE_RAILTYPE_NONE]],_xlfn.LAMBDA(_xlpm.r,OR(_xlpm.r))),FALSE)</f>
        <v>1</v>
      </c>
      <c r="AF120" s="38" t="b" cm="1">
        <f t="array" ref="AF120">IFERROR(_xlfn.BYROW(TRACK_TYPES[[#This Row],[TRACK_TYPE_NARROW_GAUGE_RAILTYPE_OHLE]:[TRACK_TYPE_NARROW_GAUGE_RAILTYPE_NONE]],_xlfn.LAMBDA(_xlpm.r,OR(_xlpm.r))),FALSE)</f>
        <v>0</v>
      </c>
      <c r="AG120" s="38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2762</v>
      </c>
      <c r="B121" s="40" t="str">
        <f>_xlfn.XLOOKUP(PROPERTIES[[#This Row],[VEHIDCODE]],CONTROL[VEHIDCODE],CONTROL[ENGLISH])</f>
        <v>Beyer, P &amp; Co.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8" t="b" cm="1">
        <f t="array" ref="AE121">IFERROR(_xlfn.BYROW(TRACK_TYPES[[#This Row],[TRACK_TYPE_STANDARD_GAUGE_RAILTYPE_OHLE]:[TRACK_TYPE_STANDARD_GAUGE_RAILTYPE_NONE]],_xlfn.LAMBDA(_xlpm.r,OR(_xlpm.r))),FALSE)</f>
        <v>1</v>
      </c>
      <c r="AF121" s="38" t="b" cm="1">
        <f t="array" ref="AF121">IFERROR(_xlfn.BYROW(TRACK_TYPES[[#This Row],[TRACK_TYPE_NARROW_GAUGE_RAILTYPE_OHLE]:[TRACK_TYPE_NARROW_GAUGE_RAILTYPE_NONE]],_xlfn.LAMBDA(_xlpm.r,OR(_xlpm.r))),FALSE)</f>
        <v>0</v>
      </c>
      <c r="AG121" s="38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2763</v>
      </c>
      <c r="B122" s="40" t="str">
        <f>_xlfn.XLOOKUP(PROPERTIES[[#This Row],[VEHIDCODE]],CONTROL[VEHIDCODE],CONTROL[ENGLISH])</f>
        <v>Beyer, P &amp; Co.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8" t="b" cm="1">
        <f t="array" ref="AE122">IFERROR(_xlfn.BYROW(TRACK_TYPES[[#This Row],[TRACK_TYPE_STANDARD_GAUGE_RAILTYPE_OHLE]:[TRACK_TYPE_STANDARD_GAUGE_RAILTYPE_NONE]],_xlfn.LAMBDA(_xlpm.r,OR(_xlpm.r))),FALSE)</f>
        <v>0</v>
      </c>
      <c r="AF122" s="38" t="b" cm="1">
        <f t="array" ref="AF122">IFERROR(_xlfn.BYROW(TRACK_TYPES[[#This Row],[TRACK_TYPE_NARROW_GAUGE_RAILTYPE_OHLE]:[TRACK_TYPE_NARROW_GAUGE_RAILTYPE_NONE]],_xlfn.LAMBDA(_xlpm.r,OR(_xlpm.r))),FALSE)</f>
        <v>0</v>
      </c>
      <c r="AG122" s="38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2764</v>
      </c>
      <c r="B123" s="40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8" t="b" cm="1">
        <f t="array" ref="AE123">IFERROR(_xlfn.BYROW(TRACK_TYPES[[#This Row],[TRACK_TYPE_STANDARD_GAUGE_RAILTYPE_OHLE]:[TRACK_TYPE_STANDARD_GAUGE_RAILTYPE_NONE]],_xlfn.LAMBDA(_xlpm.r,OR(_xlpm.r))),FALSE)</f>
        <v>1</v>
      </c>
      <c r="AF123" s="38" t="b" cm="1">
        <f t="array" ref="AF123">IFERROR(_xlfn.BYROW(TRACK_TYPES[[#This Row],[TRACK_TYPE_NARROW_GAUGE_RAILTYPE_OHLE]:[TRACK_TYPE_NARROW_GAUGE_RAILTYPE_NONE]],_xlfn.LAMBDA(_xlpm.r,OR(_xlpm.r))),FALSE)</f>
        <v>0</v>
      </c>
      <c r="AG123" s="38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3455</v>
      </c>
      <c r="B124" s="40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8" t="b" cm="1">
        <f t="array" ref="AE124">IFERROR(_xlfn.BYROW(TRACK_TYPES[[#This Row],[TRACK_TYPE_STANDARD_GAUGE_RAILTYPE_OHLE]:[TRACK_TYPE_STANDARD_GAUGE_RAILTYPE_NONE]],_xlfn.LAMBDA(_xlpm.r,OR(_xlpm.r))),FALSE)</f>
        <v>1</v>
      </c>
      <c r="AF124" s="38" t="b" cm="1">
        <f t="array" ref="AF124">IFERROR(_xlfn.BYROW(TRACK_TYPES[[#This Row],[TRACK_TYPE_NARROW_GAUGE_RAILTYPE_OHLE]:[TRACK_TYPE_NARROW_GAUGE_RAILTYPE_NONE]],_xlfn.LAMBDA(_xlpm.r,OR(_xlpm.r))),FALSE)</f>
        <v>0</v>
      </c>
      <c r="AG124" s="38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2765</v>
      </c>
      <c r="B125" s="40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8" t="b" cm="1">
        <f t="array" ref="AE125">IFERROR(_xlfn.BYROW(TRACK_TYPES[[#This Row],[TRACK_TYPE_STANDARD_GAUGE_RAILTYPE_OHLE]:[TRACK_TYPE_STANDARD_GAUGE_RAILTYPE_NONE]],_xlfn.LAMBDA(_xlpm.r,OR(_xlpm.r))),FALSE)</f>
        <v>0</v>
      </c>
      <c r="AF125" s="38" t="b" cm="1">
        <f t="array" ref="AF125">IFERROR(_xlfn.BYROW(TRACK_TYPES[[#This Row],[TRACK_TYPE_NARROW_GAUGE_RAILTYPE_OHLE]:[TRACK_TYPE_NARROW_GAUGE_RAILTYPE_NONE]],_xlfn.LAMBDA(_xlpm.r,OR(_xlpm.r))),FALSE)</f>
        <v>0</v>
      </c>
      <c r="AG125" s="38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2766</v>
      </c>
      <c r="B126" s="40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8" t="b" cm="1">
        <f t="array" ref="AE126">IFERROR(_xlfn.BYROW(TRACK_TYPES[[#This Row],[TRACK_TYPE_STANDARD_GAUGE_RAILTYPE_OHLE]:[TRACK_TYPE_STANDARD_GAUGE_RAILTYPE_NONE]],_xlfn.LAMBDA(_xlpm.r,OR(_xlpm.r))),FALSE)</f>
        <v>1</v>
      </c>
      <c r="AF126" s="38" t="b" cm="1">
        <f t="array" ref="AF126">IFERROR(_xlfn.BYROW(TRACK_TYPES[[#This Row],[TRACK_TYPE_NARROW_GAUGE_RAILTYPE_OHLE]:[TRACK_TYPE_NARROW_GAUGE_RAILTYPE_NONE]],_xlfn.LAMBDA(_xlpm.r,OR(_xlpm.r))),FALSE)</f>
        <v>0</v>
      </c>
      <c r="AG126" s="38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2767</v>
      </c>
      <c r="B127" s="40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8" t="b" cm="1">
        <f t="array" ref="AE127">IFERROR(_xlfn.BYROW(TRACK_TYPES[[#This Row],[TRACK_TYPE_STANDARD_GAUGE_RAILTYPE_OHLE]:[TRACK_TYPE_STANDARD_GAUGE_RAILTYPE_NONE]],_xlfn.LAMBDA(_xlpm.r,OR(_xlpm.r))),FALSE)</f>
        <v>1</v>
      </c>
      <c r="AF127" s="38" t="b" cm="1">
        <f t="array" ref="AF127">IFERROR(_xlfn.BYROW(TRACK_TYPES[[#This Row],[TRACK_TYPE_NARROW_GAUGE_RAILTYPE_OHLE]:[TRACK_TYPE_NARROW_GAUGE_RAILTYPE_NONE]],_xlfn.LAMBDA(_xlpm.r,OR(_xlpm.r))),FALSE)</f>
        <v>0</v>
      </c>
      <c r="AG127" s="38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2768</v>
      </c>
      <c r="B128" s="40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8" t="b" cm="1">
        <f t="array" ref="AE128">IFERROR(_xlfn.BYROW(TRACK_TYPES[[#This Row],[TRACK_TYPE_STANDARD_GAUGE_RAILTYPE_OHLE]:[TRACK_TYPE_STANDARD_GAUGE_RAILTYPE_NONE]],_xlfn.LAMBDA(_xlpm.r,OR(_xlpm.r))),FALSE)</f>
        <v>1</v>
      </c>
      <c r="AF128" s="38" t="b" cm="1">
        <f t="array" ref="AF128">IFERROR(_xlfn.BYROW(TRACK_TYPES[[#This Row],[TRACK_TYPE_NARROW_GAUGE_RAILTYPE_OHLE]:[TRACK_TYPE_NARROW_GAUGE_RAILTYPE_NONE]],_xlfn.LAMBDA(_xlpm.r,OR(_xlpm.r))),FALSE)</f>
        <v>0</v>
      </c>
      <c r="AG128" s="38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2769</v>
      </c>
      <c r="B129" s="40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8" t="b" cm="1">
        <f t="array" ref="AE129">IFERROR(_xlfn.BYROW(TRACK_TYPES[[#This Row],[TRACK_TYPE_STANDARD_GAUGE_RAILTYPE_OHLE]:[TRACK_TYPE_STANDARD_GAUGE_RAILTYPE_NONE]],_xlfn.LAMBDA(_xlpm.r,OR(_xlpm.r))),FALSE)</f>
        <v>0</v>
      </c>
      <c r="AF129" s="38" t="b" cm="1">
        <f t="array" ref="AF129">IFERROR(_xlfn.BYROW(TRACK_TYPES[[#This Row],[TRACK_TYPE_NARROW_GAUGE_RAILTYPE_OHLE]:[TRACK_TYPE_NARROW_GAUGE_RAILTYPE_NONE]],_xlfn.LAMBDA(_xlpm.r,OR(_xlpm.r))),FALSE)</f>
        <v>0</v>
      </c>
      <c r="AG129" s="38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2770</v>
      </c>
      <c r="B130" s="40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8" t="b" cm="1">
        <f t="array" ref="AE130">IFERROR(_xlfn.BYROW(TRACK_TYPES[[#This Row],[TRACK_TYPE_STANDARD_GAUGE_RAILTYPE_OHLE]:[TRACK_TYPE_STANDARD_GAUGE_RAILTYPE_NONE]],_xlfn.LAMBDA(_xlpm.r,OR(_xlpm.r))),FALSE)</f>
        <v>0</v>
      </c>
      <c r="AF130" s="38" t="b" cm="1">
        <f t="array" ref="AF130">IFERROR(_xlfn.BYROW(TRACK_TYPES[[#This Row],[TRACK_TYPE_NARROW_GAUGE_RAILTYPE_OHLE]:[TRACK_TYPE_NARROW_GAUGE_RAILTYPE_NONE]],_xlfn.LAMBDA(_xlpm.r,OR(_xlpm.r))),FALSE)</f>
        <v>1</v>
      </c>
      <c r="AG130" s="38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2771</v>
      </c>
      <c r="B131" s="40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8" t="b" cm="1">
        <f t="array" ref="AE131">IFERROR(_xlfn.BYROW(TRACK_TYPES[[#This Row],[TRACK_TYPE_STANDARD_GAUGE_RAILTYPE_OHLE]:[TRACK_TYPE_STANDARD_GAUGE_RAILTYPE_NONE]],_xlfn.LAMBDA(_xlpm.r,OR(_xlpm.r))),FALSE)</f>
        <v>1</v>
      </c>
      <c r="AF131" s="38" t="b" cm="1">
        <f t="array" ref="AF131">IFERROR(_xlfn.BYROW(TRACK_TYPES[[#This Row],[TRACK_TYPE_NARROW_GAUGE_RAILTYPE_OHLE]:[TRACK_TYPE_NARROW_GAUGE_RAILTYPE_NONE]],_xlfn.LAMBDA(_xlpm.r,OR(_xlpm.r))),FALSE)</f>
        <v>0</v>
      </c>
      <c r="AG131" s="38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2772</v>
      </c>
      <c r="B132" s="40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8" t="b" cm="1">
        <f t="array" ref="AE132">IFERROR(_xlfn.BYROW(TRACK_TYPES[[#This Row],[TRACK_TYPE_STANDARD_GAUGE_RAILTYPE_OHLE]:[TRACK_TYPE_STANDARD_GAUGE_RAILTYPE_NONE]],_xlfn.LAMBDA(_xlpm.r,OR(_xlpm.r))),FALSE)</f>
        <v>0</v>
      </c>
      <c r="AF132" s="38" t="b" cm="1">
        <f t="array" ref="AF132">IFERROR(_xlfn.BYROW(TRACK_TYPES[[#This Row],[TRACK_TYPE_NARROW_GAUGE_RAILTYPE_OHLE]:[TRACK_TYPE_NARROW_GAUGE_RAILTYPE_NONE]],_xlfn.LAMBDA(_xlpm.r,OR(_xlpm.r))),FALSE)</f>
        <v>1</v>
      </c>
      <c r="AG132" s="38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2773</v>
      </c>
      <c r="B133" s="40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8" t="b" cm="1">
        <f t="array" ref="AE133">IFERROR(_xlfn.BYROW(TRACK_TYPES[[#This Row],[TRACK_TYPE_STANDARD_GAUGE_RAILTYPE_OHLE]:[TRACK_TYPE_STANDARD_GAUGE_RAILTYPE_NONE]],_xlfn.LAMBDA(_xlpm.r,OR(_xlpm.r))),FALSE)</f>
        <v>1</v>
      </c>
      <c r="AF133" s="38" t="b" cm="1">
        <f t="array" ref="AF133">IFERROR(_xlfn.BYROW(TRACK_TYPES[[#This Row],[TRACK_TYPE_NARROW_GAUGE_RAILTYPE_OHLE]:[TRACK_TYPE_NARROW_GAUGE_RAILTYPE_NONE]],_xlfn.LAMBDA(_xlpm.r,OR(_xlpm.r))),FALSE)</f>
        <v>0</v>
      </c>
      <c r="AG133" s="38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2774</v>
      </c>
      <c r="B134" s="40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8" t="b" cm="1">
        <f t="array" ref="AE134">IFERROR(_xlfn.BYROW(TRACK_TYPES[[#This Row],[TRACK_TYPE_STANDARD_GAUGE_RAILTYPE_OHLE]:[TRACK_TYPE_STANDARD_GAUGE_RAILTYPE_NONE]],_xlfn.LAMBDA(_xlpm.r,OR(_xlpm.r))),FALSE)</f>
        <v>0</v>
      </c>
      <c r="AF134" s="38" t="b" cm="1">
        <f t="array" ref="AF134">IFERROR(_xlfn.BYROW(TRACK_TYPES[[#This Row],[TRACK_TYPE_NARROW_GAUGE_RAILTYPE_OHLE]:[TRACK_TYPE_NARROW_GAUGE_RAILTYPE_NONE]],_xlfn.LAMBDA(_xlpm.r,OR(_xlpm.r))),FALSE)</f>
        <v>0</v>
      </c>
      <c r="AG134" s="38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2775</v>
      </c>
      <c r="B135" s="40" t="str">
        <f>_xlfn.XLOOKUP(PROPERTIES[[#This Row],[VEHIDCODE]],CONTROL[VEHIDCODE],CONTROL[ENGLISH])</f>
        <v>Beyer, P &amp; Co.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8" t="b" cm="1">
        <f t="array" ref="AE135">IFERROR(_xlfn.BYROW(TRACK_TYPES[[#This Row],[TRACK_TYPE_STANDARD_GAUGE_RAILTYPE_OHLE]:[TRACK_TYPE_STANDARD_GAUGE_RAILTYPE_NONE]],_xlfn.LAMBDA(_xlpm.r,OR(_xlpm.r))),FALSE)</f>
        <v>1</v>
      </c>
      <c r="AF135" s="38" t="b" cm="1">
        <f t="array" ref="AF135">IFERROR(_xlfn.BYROW(TRACK_TYPES[[#This Row],[TRACK_TYPE_NARROW_GAUGE_RAILTYPE_OHLE]:[TRACK_TYPE_NARROW_GAUGE_RAILTYPE_NONE]],_xlfn.LAMBDA(_xlpm.r,OR(_xlpm.r))),FALSE)</f>
        <v>0</v>
      </c>
      <c r="AG135" s="38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2776</v>
      </c>
      <c r="B136" s="40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8" t="b" cm="1">
        <f t="array" ref="AE136">IFERROR(_xlfn.BYROW(TRACK_TYPES[[#This Row],[TRACK_TYPE_STANDARD_GAUGE_RAILTYPE_OHLE]:[TRACK_TYPE_STANDARD_GAUGE_RAILTYPE_NONE]],_xlfn.LAMBDA(_xlpm.r,OR(_xlpm.r))),FALSE)</f>
        <v>1</v>
      </c>
      <c r="AF136" s="38" t="b" cm="1">
        <f t="array" ref="AF136">IFERROR(_xlfn.BYROW(TRACK_TYPES[[#This Row],[TRACK_TYPE_NARROW_GAUGE_RAILTYPE_OHLE]:[TRACK_TYPE_NARROW_GAUGE_RAILTYPE_NONE]],_xlfn.LAMBDA(_xlpm.r,OR(_xlpm.r))),FALSE)</f>
        <v>0</v>
      </c>
      <c r="AG136" s="38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2777</v>
      </c>
      <c r="B137" s="40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8" t="b" cm="1">
        <f t="array" ref="AE137">IFERROR(_xlfn.BYROW(TRACK_TYPES[[#This Row],[TRACK_TYPE_STANDARD_GAUGE_RAILTYPE_OHLE]:[TRACK_TYPE_STANDARD_GAUGE_RAILTYPE_NONE]],_xlfn.LAMBDA(_xlpm.r,OR(_xlpm.r))),FALSE)</f>
        <v>0</v>
      </c>
      <c r="AF137" s="38" t="b" cm="1">
        <f t="array" ref="AF137">IFERROR(_xlfn.BYROW(TRACK_TYPES[[#This Row],[TRACK_TYPE_NARROW_GAUGE_RAILTYPE_OHLE]:[TRACK_TYPE_NARROW_GAUGE_RAILTYPE_NONE]],_xlfn.LAMBDA(_xlpm.r,OR(_xlpm.r))),FALSE)</f>
        <v>0</v>
      </c>
      <c r="AG137" s="38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2778</v>
      </c>
      <c r="B138" s="40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8" t="b" cm="1">
        <f t="array" ref="AE138">IFERROR(_xlfn.BYROW(TRACK_TYPES[[#This Row],[TRACK_TYPE_STANDARD_GAUGE_RAILTYPE_OHLE]:[TRACK_TYPE_STANDARD_GAUGE_RAILTYPE_NONE]],_xlfn.LAMBDA(_xlpm.r,OR(_xlpm.r))),FALSE)</f>
        <v>0</v>
      </c>
      <c r="AF138" s="38" t="b" cm="1">
        <f t="array" ref="AF138">IFERROR(_xlfn.BYROW(TRACK_TYPES[[#This Row],[TRACK_TYPE_NARROW_GAUGE_RAILTYPE_OHLE]:[TRACK_TYPE_NARROW_GAUGE_RAILTYPE_NONE]],_xlfn.LAMBDA(_xlpm.r,OR(_xlpm.r))),FALSE)</f>
        <v>0</v>
      </c>
      <c r="AG138" s="38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2779</v>
      </c>
      <c r="B139" s="40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8" t="b" cm="1">
        <f t="array" ref="AE139">IFERROR(_xlfn.BYROW(TRACK_TYPES[[#This Row],[TRACK_TYPE_STANDARD_GAUGE_RAILTYPE_OHLE]:[TRACK_TYPE_STANDARD_GAUGE_RAILTYPE_NONE]],_xlfn.LAMBDA(_xlpm.r,OR(_xlpm.r))),FALSE)</f>
        <v>0</v>
      </c>
      <c r="AF139" s="38" t="b" cm="1">
        <f t="array" ref="AF139">IFERROR(_xlfn.BYROW(TRACK_TYPES[[#This Row],[TRACK_TYPE_NARROW_GAUGE_RAILTYPE_OHLE]:[TRACK_TYPE_NARROW_GAUGE_RAILTYPE_NONE]],_xlfn.LAMBDA(_xlpm.r,OR(_xlpm.r))),FALSE)</f>
        <v>1</v>
      </c>
      <c r="AG139" s="38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2780</v>
      </c>
      <c r="B140" s="40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8" t="b" cm="1">
        <f t="array" ref="AE140">IFERROR(_xlfn.BYROW(TRACK_TYPES[[#This Row],[TRACK_TYPE_STANDARD_GAUGE_RAILTYPE_OHLE]:[TRACK_TYPE_STANDARD_GAUGE_RAILTYPE_NONE]],_xlfn.LAMBDA(_xlpm.r,OR(_xlpm.r))),FALSE)</f>
        <v>0</v>
      </c>
      <c r="AF140" s="38" t="b" cm="1">
        <f t="array" ref="AF140">IFERROR(_xlfn.BYROW(TRACK_TYPES[[#This Row],[TRACK_TYPE_NARROW_GAUGE_RAILTYPE_OHLE]:[TRACK_TYPE_NARROW_GAUGE_RAILTYPE_NONE]],_xlfn.LAMBDA(_xlpm.r,OR(_xlpm.r))),FALSE)</f>
        <v>1</v>
      </c>
      <c r="AG140" s="38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2781</v>
      </c>
      <c r="B141" s="40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8" t="b" cm="1">
        <f t="array" ref="AE141">IFERROR(_xlfn.BYROW(TRACK_TYPES[[#This Row],[TRACK_TYPE_STANDARD_GAUGE_RAILTYPE_OHLE]:[TRACK_TYPE_STANDARD_GAUGE_RAILTYPE_NONE]],_xlfn.LAMBDA(_xlpm.r,OR(_xlpm.r))),FALSE)</f>
        <v>0</v>
      </c>
      <c r="AF141" s="38" t="b" cm="1">
        <f t="array" ref="AF141">IFERROR(_xlfn.BYROW(TRACK_TYPES[[#This Row],[TRACK_TYPE_NARROW_GAUGE_RAILTYPE_OHLE]:[TRACK_TYPE_NARROW_GAUGE_RAILTYPE_NONE]],_xlfn.LAMBDA(_xlpm.r,OR(_xlpm.r))),FALSE)</f>
        <v>1</v>
      </c>
      <c r="AG141" s="38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2782</v>
      </c>
      <c r="B142" s="40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8" t="b" cm="1">
        <f t="array" ref="AE142">IFERROR(_xlfn.BYROW(TRACK_TYPES[[#This Row],[TRACK_TYPE_STANDARD_GAUGE_RAILTYPE_OHLE]:[TRACK_TYPE_STANDARD_GAUGE_RAILTYPE_NONE]],_xlfn.LAMBDA(_xlpm.r,OR(_xlpm.r))),FALSE)</f>
        <v>0</v>
      </c>
      <c r="AF142" s="38" t="b" cm="1">
        <f t="array" ref="AF142">IFERROR(_xlfn.BYROW(TRACK_TYPES[[#This Row],[TRACK_TYPE_NARROW_GAUGE_RAILTYPE_OHLE]:[TRACK_TYPE_NARROW_GAUGE_RAILTYPE_NONE]],_xlfn.LAMBDA(_xlpm.r,OR(_xlpm.r))),FALSE)</f>
        <v>1</v>
      </c>
      <c r="AG142" s="38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2783</v>
      </c>
      <c r="B143" s="40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8" t="b" cm="1">
        <f t="array" ref="AE143">IFERROR(_xlfn.BYROW(TRACK_TYPES[[#This Row],[TRACK_TYPE_STANDARD_GAUGE_RAILTYPE_OHLE]:[TRACK_TYPE_STANDARD_GAUGE_RAILTYPE_NONE]],_xlfn.LAMBDA(_xlpm.r,OR(_xlpm.r))),FALSE)</f>
        <v>0</v>
      </c>
      <c r="AF143" s="38" t="b" cm="1">
        <f t="array" ref="AF143">IFERROR(_xlfn.BYROW(TRACK_TYPES[[#This Row],[TRACK_TYPE_NARROW_GAUGE_RAILTYPE_OHLE]:[TRACK_TYPE_NARROW_GAUGE_RAILTYPE_NONE]],_xlfn.LAMBDA(_xlpm.r,OR(_xlpm.r))),FALSE)</f>
        <v>1</v>
      </c>
      <c r="AG143" s="38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2784</v>
      </c>
      <c r="B144" s="40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8" t="b" cm="1">
        <f t="array" ref="AE144">IFERROR(_xlfn.BYROW(TRACK_TYPES[[#This Row],[TRACK_TYPE_STANDARD_GAUGE_RAILTYPE_OHLE]:[TRACK_TYPE_STANDARD_GAUGE_RAILTYPE_NONE]],_xlfn.LAMBDA(_xlpm.r,OR(_xlpm.r))),FALSE)</f>
        <v>0</v>
      </c>
      <c r="AF144" s="38" t="b" cm="1">
        <f t="array" ref="AF144">IFERROR(_xlfn.BYROW(TRACK_TYPES[[#This Row],[TRACK_TYPE_NARROW_GAUGE_RAILTYPE_OHLE]:[TRACK_TYPE_NARROW_GAUGE_RAILTYPE_NONE]],_xlfn.LAMBDA(_xlpm.r,OR(_xlpm.r))),FALSE)</f>
        <v>1</v>
      </c>
      <c r="AG144" s="38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2785</v>
      </c>
      <c r="B145" s="40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8" t="b" cm="1">
        <f t="array" ref="AE145">IFERROR(_xlfn.BYROW(TRACK_TYPES[[#This Row],[TRACK_TYPE_STANDARD_GAUGE_RAILTYPE_OHLE]:[TRACK_TYPE_STANDARD_GAUGE_RAILTYPE_NONE]],_xlfn.LAMBDA(_xlpm.r,OR(_xlpm.r))),FALSE)</f>
        <v>0</v>
      </c>
      <c r="AF145" s="38" t="b" cm="1">
        <f t="array" ref="AF145">IFERROR(_xlfn.BYROW(TRACK_TYPES[[#This Row],[TRACK_TYPE_NARROW_GAUGE_RAILTYPE_OHLE]:[TRACK_TYPE_NARROW_GAUGE_RAILTYPE_NONE]],_xlfn.LAMBDA(_xlpm.r,OR(_xlpm.r))),FALSE)</f>
        <v>1</v>
      </c>
      <c r="AG145" s="38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2786</v>
      </c>
      <c r="B146" s="40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8" t="b" cm="1">
        <f t="array" ref="AE146">IFERROR(_xlfn.BYROW(TRACK_TYPES[[#This Row],[TRACK_TYPE_STANDARD_GAUGE_RAILTYPE_OHLE]:[TRACK_TYPE_STANDARD_GAUGE_RAILTYPE_NONE]],_xlfn.LAMBDA(_xlpm.r,OR(_xlpm.r))),FALSE)</f>
        <v>0</v>
      </c>
      <c r="AF146" s="38" t="b" cm="1">
        <f t="array" ref="AF146">IFERROR(_xlfn.BYROW(TRACK_TYPES[[#This Row],[TRACK_TYPE_NARROW_GAUGE_RAILTYPE_OHLE]:[TRACK_TYPE_NARROW_GAUGE_RAILTYPE_NONE]],_xlfn.LAMBDA(_xlpm.r,OR(_xlpm.r))),FALSE)</f>
        <v>0</v>
      </c>
      <c r="AG146" s="38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2787</v>
      </c>
      <c r="B147" s="40" t="str">
        <f>_xlfn.XLOOKUP(PROPERTIES[[#This Row],[VEHIDCODE]],CONTROL[VEHIDCODE],CONTROL[ENGLISH])</f>
        <v>Sharp, Stewart &amp; Co.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8" t="b" cm="1">
        <f t="array" ref="AE147">IFERROR(_xlfn.BYROW(TRACK_TYPES[[#This Row],[TRACK_TYPE_STANDARD_GAUGE_RAILTYPE_OHLE]:[TRACK_TYPE_STANDARD_GAUGE_RAILTYPE_NONE]],_xlfn.LAMBDA(_xlpm.r,OR(_xlpm.r))),FALSE)</f>
        <v>0</v>
      </c>
      <c r="AF147" s="38" t="b" cm="1">
        <f t="array" ref="AF147">IFERROR(_xlfn.BYROW(TRACK_TYPES[[#This Row],[TRACK_TYPE_NARROW_GAUGE_RAILTYPE_OHLE]:[TRACK_TYPE_NARROW_GAUGE_RAILTYPE_NONE]],_xlfn.LAMBDA(_xlpm.r,OR(_xlpm.r))),FALSE)</f>
        <v>1</v>
      </c>
      <c r="AG147" s="38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2788</v>
      </c>
      <c r="B148" s="40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8" t="b" cm="1">
        <f t="array" ref="AE148">IFERROR(_xlfn.BYROW(TRACK_TYPES[[#This Row],[TRACK_TYPE_STANDARD_GAUGE_RAILTYPE_OHLE]:[TRACK_TYPE_STANDARD_GAUGE_RAILTYPE_NONE]],_xlfn.LAMBDA(_xlpm.r,OR(_xlpm.r))),FALSE)</f>
        <v>1</v>
      </c>
      <c r="AF148" s="38" t="b" cm="1">
        <f t="array" ref="AF148">IFERROR(_xlfn.BYROW(TRACK_TYPES[[#This Row],[TRACK_TYPE_NARROW_GAUGE_RAILTYPE_OHLE]:[TRACK_TYPE_NARROW_GAUGE_RAILTYPE_NONE]],_xlfn.LAMBDA(_xlpm.r,OR(_xlpm.r))),FALSE)</f>
        <v>0</v>
      </c>
      <c r="AG148" s="38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2789</v>
      </c>
      <c r="B149" s="40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8" t="b" cm="1">
        <f t="array" ref="AE149">IFERROR(_xlfn.BYROW(TRACK_TYPES[[#This Row],[TRACK_TYPE_STANDARD_GAUGE_RAILTYPE_OHLE]:[TRACK_TYPE_STANDARD_GAUGE_RAILTYPE_NONE]],_xlfn.LAMBDA(_xlpm.r,OR(_xlpm.r))),FALSE)</f>
        <v>0</v>
      </c>
      <c r="AF149" s="38" t="b" cm="1">
        <f t="array" ref="AF149">IFERROR(_xlfn.BYROW(TRACK_TYPES[[#This Row],[TRACK_TYPE_NARROW_GAUGE_RAILTYPE_OHLE]:[TRACK_TYPE_NARROW_GAUGE_RAILTYPE_NONE]],_xlfn.LAMBDA(_xlpm.r,OR(_xlpm.r))),FALSE)</f>
        <v>0</v>
      </c>
      <c r="AG149" s="38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2790</v>
      </c>
      <c r="B150" s="40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8" t="b" cm="1">
        <f t="array" ref="AE150">IFERROR(_xlfn.BYROW(TRACK_TYPES[[#This Row],[TRACK_TYPE_STANDARD_GAUGE_RAILTYPE_OHLE]:[TRACK_TYPE_STANDARD_GAUGE_RAILTYPE_NONE]],_xlfn.LAMBDA(_xlpm.r,OR(_xlpm.r))),FALSE)</f>
        <v>1</v>
      </c>
      <c r="AF150" s="38" t="b" cm="1">
        <f t="array" ref="AF150">IFERROR(_xlfn.BYROW(TRACK_TYPES[[#This Row],[TRACK_TYPE_NARROW_GAUGE_RAILTYPE_OHLE]:[TRACK_TYPE_NARROW_GAUGE_RAILTYPE_NONE]],_xlfn.LAMBDA(_xlpm.r,OR(_xlpm.r))),FALSE)</f>
        <v>0</v>
      </c>
      <c r="AG150" s="38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2791</v>
      </c>
      <c r="B151" s="40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8" t="b" cm="1">
        <f t="array" ref="AE151">IFERROR(_xlfn.BYROW(TRACK_TYPES[[#This Row],[TRACK_TYPE_STANDARD_GAUGE_RAILTYPE_OHLE]:[TRACK_TYPE_STANDARD_GAUGE_RAILTYPE_NONE]],_xlfn.LAMBDA(_xlpm.r,OR(_xlpm.r))),FALSE)</f>
        <v>1</v>
      </c>
      <c r="AF151" s="38" t="b" cm="1">
        <f t="array" ref="AF151">IFERROR(_xlfn.BYROW(TRACK_TYPES[[#This Row],[TRACK_TYPE_NARROW_GAUGE_RAILTYPE_OHLE]:[TRACK_TYPE_NARROW_GAUGE_RAILTYPE_NONE]],_xlfn.LAMBDA(_xlpm.r,OR(_xlpm.r))),FALSE)</f>
        <v>0</v>
      </c>
      <c r="AG151" s="38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2792</v>
      </c>
      <c r="B152" s="40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8" t="b" cm="1">
        <f t="array" ref="AE152">IFERROR(_xlfn.BYROW(TRACK_TYPES[[#This Row],[TRACK_TYPE_STANDARD_GAUGE_RAILTYPE_OHLE]:[TRACK_TYPE_STANDARD_GAUGE_RAILTYPE_NONE]],_xlfn.LAMBDA(_xlpm.r,OR(_xlpm.r))),FALSE)</f>
        <v>1</v>
      </c>
      <c r="AF152" s="38" t="b" cm="1">
        <f t="array" ref="AF152">IFERROR(_xlfn.BYROW(TRACK_TYPES[[#This Row],[TRACK_TYPE_NARROW_GAUGE_RAILTYPE_OHLE]:[TRACK_TYPE_NARROW_GAUGE_RAILTYPE_NONE]],_xlfn.LAMBDA(_xlpm.r,OR(_xlpm.r))),FALSE)</f>
        <v>0</v>
      </c>
      <c r="AG152" s="38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2793</v>
      </c>
      <c r="B153" s="40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8" t="b" cm="1">
        <f t="array" ref="AE153">IFERROR(_xlfn.BYROW(TRACK_TYPES[[#This Row],[TRACK_TYPE_STANDARD_GAUGE_RAILTYPE_OHLE]:[TRACK_TYPE_STANDARD_GAUGE_RAILTYPE_NONE]],_xlfn.LAMBDA(_xlpm.r,OR(_xlpm.r))),FALSE)</f>
        <v>1</v>
      </c>
      <c r="AF153" s="38" t="b" cm="1">
        <f t="array" ref="AF153">IFERROR(_xlfn.BYROW(TRACK_TYPES[[#This Row],[TRACK_TYPE_NARROW_GAUGE_RAILTYPE_OHLE]:[TRACK_TYPE_NARROW_GAUGE_RAILTYPE_NONE]],_xlfn.LAMBDA(_xlpm.r,OR(_xlpm.r))),FALSE)</f>
        <v>0</v>
      </c>
      <c r="AG153" s="38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2794</v>
      </c>
      <c r="B154" s="40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8" t="b" cm="1">
        <f t="array" ref="AE154">IFERROR(_xlfn.BYROW(TRACK_TYPES[[#This Row],[TRACK_TYPE_STANDARD_GAUGE_RAILTYPE_OHLE]:[TRACK_TYPE_STANDARD_GAUGE_RAILTYPE_NONE]],_xlfn.LAMBDA(_xlpm.r,OR(_xlpm.r))),FALSE)</f>
        <v>1</v>
      </c>
      <c r="AF154" s="38" t="b" cm="1">
        <f t="array" ref="AF154">IFERROR(_xlfn.BYROW(TRACK_TYPES[[#This Row],[TRACK_TYPE_NARROW_GAUGE_RAILTYPE_OHLE]:[TRACK_TYPE_NARROW_GAUGE_RAILTYPE_NONE]],_xlfn.LAMBDA(_xlpm.r,OR(_xlpm.r))),FALSE)</f>
        <v>0</v>
      </c>
      <c r="AG154" s="38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2795</v>
      </c>
      <c r="B155" s="40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8" t="b" cm="1">
        <f t="array" ref="AE155">IFERROR(_xlfn.BYROW(TRACK_TYPES[[#This Row],[TRACK_TYPE_STANDARD_GAUGE_RAILTYPE_OHLE]:[TRACK_TYPE_STANDARD_GAUGE_RAILTYPE_NONE]],_xlfn.LAMBDA(_xlpm.r,OR(_xlpm.r))),FALSE)</f>
        <v>1</v>
      </c>
      <c r="AF155" s="38" t="b" cm="1">
        <f t="array" ref="AF155">IFERROR(_xlfn.BYROW(TRACK_TYPES[[#This Row],[TRACK_TYPE_NARROW_GAUGE_RAILTYPE_OHLE]:[TRACK_TYPE_NARROW_GAUGE_RAILTYPE_NONE]],_xlfn.LAMBDA(_xlpm.r,OR(_xlpm.r))),FALSE)</f>
        <v>0</v>
      </c>
      <c r="AG155" s="38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3474</v>
      </c>
      <c r="B156" s="40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8" t="b" cm="1">
        <f t="array" ref="AE156">IFERROR(_xlfn.BYROW(TRACK_TYPES[[#This Row],[TRACK_TYPE_STANDARD_GAUGE_RAILTYPE_OHLE]:[TRACK_TYPE_STANDARD_GAUGE_RAILTYPE_NONE]],_xlfn.LAMBDA(_xlpm.r,OR(_xlpm.r))),FALSE)</f>
        <v>0</v>
      </c>
      <c r="AF156" s="38" t="b" cm="1">
        <f t="array" ref="AF156">IFERROR(_xlfn.BYROW(TRACK_TYPES[[#This Row],[TRACK_TYPE_NARROW_GAUGE_RAILTYPE_OHLE]:[TRACK_TYPE_NARROW_GAUGE_RAILTYPE_NONE]],_xlfn.LAMBDA(_xlpm.r,OR(_xlpm.r))),FALSE)</f>
        <v>0</v>
      </c>
      <c r="AG156" s="38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2796</v>
      </c>
      <c r="B157" s="40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8" t="b" cm="1">
        <f t="array" ref="AE157">IFERROR(_xlfn.BYROW(TRACK_TYPES[[#This Row],[TRACK_TYPE_STANDARD_GAUGE_RAILTYPE_OHLE]:[TRACK_TYPE_STANDARD_GAUGE_RAILTYPE_NONE]],_xlfn.LAMBDA(_xlpm.r,OR(_xlpm.r))),FALSE)</f>
        <v>1</v>
      </c>
      <c r="AF157" s="38" t="b" cm="1">
        <f t="array" ref="AF157">IFERROR(_xlfn.BYROW(TRACK_TYPES[[#This Row],[TRACK_TYPE_NARROW_GAUGE_RAILTYPE_OHLE]:[TRACK_TYPE_NARROW_GAUGE_RAILTYPE_NONE]],_xlfn.LAMBDA(_xlpm.r,OR(_xlpm.r))),FALSE)</f>
        <v>0</v>
      </c>
      <c r="AG157" s="38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2797</v>
      </c>
      <c r="B158" s="40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8" t="b" cm="1">
        <f t="array" ref="AE158">IFERROR(_xlfn.BYROW(TRACK_TYPES[[#This Row],[TRACK_TYPE_STANDARD_GAUGE_RAILTYPE_OHLE]:[TRACK_TYPE_STANDARD_GAUGE_RAILTYPE_NONE]],_xlfn.LAMBDA(_xlpm.r,OR(_xlpm.r))),FALSE)</f>
        <v>1</v>
      </c>
      <c r="AF158" s="38" t="b" cm="1">
        <f t="array" ref="AF158">IFERROR(_xlfn.BYROW(TRACK_TYPES[[#This Row],[TRACK_TYPE_NARROW_GAUGE_RAILTYPE_OHLE]:[TRACK_TYPE_NARROW_GAUGE_RAILTYPE_NONE]],_xlfn.LAMBDA(_xlpm.r,OR(_xlpm.r))),FALSE)</f>
        <v>0</v>
      </c>
      <c r="AG158" s="38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2798</v>
      </c>
      <c r="B159" s="40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8" t="b" cm="1">
        <f t="array" ref="AE159">IFERROR(_xlfn.BYROW(TRACK_TYPES[[#This Row],[TRACK_TYPE_STANDARD_GAUGE_RAILTYPE_OHLE]:[TRACK_TYPE_STANDARD_GAUGE_RAILTYPE_NONE]],_xlfn.LAMBDA(_xlpm.r,OR(_xlpm.r))),FALSE)</f>
        <v>1</v>
      </c>
      <c r="AF159" s="38" t="b" cm="1">
        <f t="array" ref="AF159">IFERROR(_xlfn.BYROW(TRACK_TYPES[[#This Row],[TRACK_TYPE_NARROW_GAUGE_RAILTYPE_OHLE]:[TRACK_TYPE_NARROW_GAUGE_RAILTYPE_NONE]],_xlfn.LAMBDA(_xlpm.r,OR(_xlpm.r))),FALSE)</f>
        <v>0</v>
      </c>
      <c r="AG159" s="38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2799</v>
      </c>
      <c r="B160" s="40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8" t="b" cm="1">
        <f t="array" ref="AE160">IFERROR(_xlfn.BYROW(TRACK_TYPES[[#This Row],[TRACK_TYPE_STANDARD_GAUGE_RAILTYPE_OHLE]:[TRACK_TYPE_STANDARD_GAUGE_RAILTYPE_NONE]],_xlfn.LAMBDA(_xlpm.r,OR(_xlpm.r))),FALSE)</f>
        <v>1</v>
      </c>
      <c r="AF160" s="38" t="b" cm="1">
        <f t="array" ref="AF160">IFERROR(_xlfn.BYROW(TRACK_TYPES[[#This Row],[TRACK_TYPE_NARROW_GAUGE_RAILTYPE_OHLE]:[TRACK_TYPE_NARROW_GAUGE_RAILTYPE_NONE]],_xlfn.LAMBDA(_xlpm.r,OR(_xlpm.r))),FALSE)</f>
        <v>0</v>
      </c>
      <c r="AG160" s="38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2800</v>
      </c>
      <c r="B161" s="40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8" t="b" cm="1">
        <f t="array" ref="AE161">IFERROR(_xlfn.BYROW(TRACK_TYPES[[#This Row],[TRACK_TYPE_STANDARD_GAUGE_RAILTYPE_OHLE]:[TRACK_TYPE_STANDARD_GAUGE_RAILTYPE_NONE]],_xlfn.LAMBDA(_xlpm.r,OR(_xlpm.r))),FALSE)</f>
        <v>1</v>
      </c>
      <c r="AF161" s="38" t="b" cm="1">
        <f t="array" ref="AF161">IFERROR(_xlfn.BYROW(TRACK_TYPES[[#This Row],[TRACK_TYPE_NARROW_GAUGE_RAILTYPE_OHLE]:[TRACK_TYPE_NARROW_GAUGE_RAILTYPE_NONE]],_xlfn.LAMBDA(_xlpm.r,OR(_xlpm.r))),FALSE)</f>
        <v>0</v>
      </c>
      <c r="AG161" s="38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2801</v>
      </c>
      <c r="B162" s="40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8" t="b" cm="1">
        <f t="array" ref="AE162">IFERROR(_xlfn.BYROW(TRACK_TYPES[[#This Row],[TRACK_TYPE_STANDARD_GAUGE_RAILTYPE_OHLE]:[TRACK_TYPE_STANDARD_GAUGE_RAILTYPE_NONE]],_xlfn.LAMBDA(_xlpm.r,OR(_xlpm.r))),FALSE)</f>
        <v>1</v>
      </c>
      <c r="AF162" s="38" t="b" cm="1">
        <f t="array" ref="AF162">IFERROR(_xlfn.BYROW(TRACK_TYPES[[#This Row],[TRACK_TYPE_NARROW_GAUGE_RAILTYPE_OHLE]:[TRACK_TYPE_NARROW_GAUGE_RAILTYPE_NONE]],_xlfn.LAMBDA(_xlpm.r,OR(_xlpm.r))),FALSE)</f>
        <v>0</v>
      </c>
      <c r="AG162" s="38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2802</v>
      </c>
      <c r="B163" s="40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8" t="b" cm="1">
        <f t="array" ref="AE163">IFERROR(_xlfn.BYROW(TRACK_TYPES[[#This Row],[TRACK_TYPE_STANDARD_GAUGE_RAILTYPE_OHLE]:[TRACK_TYPE_STANDARD_GAUGE_RAILTYPE_NONE]],_xlfn.LAMBDA(_xlpm.r,OR(_xlpm.r))),FALSE)</f>
        <v>1</v>
      </c>
      <c r="AF163" s="38" t="b" cm="1">
        <f t="array" ref="AF163">IFERROR(_xlfn.BYROW(TRACK_TYPES[[#This Row],[TRACK_TYPE_NARROW_GAUGE_RAILTYPE_OHLE]:[TRACK_TYPE_NARROW_GAUGE_RAILTYPE_NONE]],_xlfn.LAMBDA(_xlpm.r,OR(_xlpm.r))),FALSE)</f>
        <v>0</v>
      </c>
      <c r="AG163" s="38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2803</v>
      </c>
      <c r="B164" s="40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8" t="b" cm="1">
        <f t="array" ref="AE164">IFERROR(_xlfn.BYROW(TRACK_TYPES[[#This Row],[TRACK_TYPE_STANDARD_GAUGE_RAILTYPE_OHLE]:[TRACK_TYPE_STANDARD_GAUGE_RAILTYPE_NONE]],_xlfn.LAMBDA(_xlpm.r,OR(_xlpm.r))),FALSE)</f>
        <v>1</v>
      </c>
      <c r="AF164" s="38" t="b" cm="1">
        <f t="array" ref="AF164">IFERROR(_xlfn.BYROW(TRACK_TYPES[[#This Row],[TRACK_TYPE_NARROW_GAUGE_RAILTYPE_OHLE]:[TRACK_TYPE_NARROW_GAUGE_RAILTYPE_NONE]],_xlfn.LAMBDA(_xlpm.r,OR(_xlpm.r))),FALSE)</f>
        <v>0</v>
      </c>
      <c r="AG164" s="38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2804</v>
      </c>
      <c r="B165" s="40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8" t="b" cm="1">
        <f t="array" ref="AE165">IFERROR(_xlfn.BYROW(TRACK_TYPES[[#This Row],[TRACK_TYPE_STANDARD_GAUGE_RAILTYPE_OHLE]:[TRACK_TYPE_STANDARD_GAUGE_RAILTYPE_NONE]],_xlfn.LAMBDA(_xlpm.r,OR(_xlpm.r))),FALSE)</f>
        <v>0</v>
      </c>
      <c r="AF165" s="38" t="b" cm="1">
        <f t="array" ref="AF165">IFERROR(_xlfn.BYROW(TRACK_TYPES[[#This Row],[TRACK_TYPE_NARROW_GAUGE_RAILTYPE_OHLE]:[TRACK_TYPE_NARROW_GAUGE_RAILTYPE_NONE]],_xlfn.LAMBDA(_xlpm.r,OR(_xlpm.r))),FALSE)</f>
        <v>0</v>
      </c>
      <c r="AG165" s="38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2805</v>
      </c>
      <c r="B166" s="40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8" t="b" cm="1">
        <f t="array" ref="AE166">IFERROR(_xlfn.BYROW(TRACK_TYPES[[#This Row],[TRACK_TYPE_STANDARD_GAUGE_RAILTYPE_OHLE]:[TRACK_TYPE_STANDARD_GAUGE_RAILTYPE_NONE]],_xlfn.LAMBDA(_xlpm.r,OR(_xlpm.r))),FALSE)</f>
        <v>1</v>
      </c>
      <c r="AF166" s="38" t="b" cm="1">
        <f t="array" ref="AF166">IFERROR(_xlfn.BYROW(TRACK_TYPES[[#This Row],[TRACK_TYPE_NARROW_GAUGE_RAILTYPE_OHLE]:[TRACK_TYPE_NARROW_GAUGE_RAILTYPE_NONE]],_xlfn.LAMBDA(_xlpm.r,OR(_xlpm.r))),FALSE)</f>
        <v>0</v>
      </c>
      <c r="AG166" s="38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2806</v>
      </c>
      <c r="B167" s="40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8" t="b" cm="1">
        <f t="array" ref="AE167">IFERROR(_xlfn.BYROW(TRACK_TYPES[[#This Row],[TRACK_TYPE_STANDARD_GAUGE_RAILTYPE_OHLE]:[TRACK_TYPE_STANDARD_GAUGE_RAILTYPE_NONE]],_xlfn.LAMBDA(_xlpm.r,OR(_xlpm.r))),FALSE)</f>
        <v>0</v>
      </c>
      <c r="AF167" s="38" t="b" cm="1">
        <f t="array" ref="AF167">IFERROR(_xlfn.BYROW(TRACK_TYPES[[#This Row],[TRACK_TYPE_NARROW_GAUGE_RAILTYPE_OHLE]:[TRACK_TYPE_NARROW_GAUGE_RAILTYPE_NONE]],_xlfn.LAMBDA(_xlpm.r,OR(_xlpm.r))),FALSE)</f>
        <v>0</v>
      </c>
      <c r="AG167" s="38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2807</v>
      </c>
      <c r="B168" s="40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8" t="b" cm="1">
        <f t="array" ref="AE168">IFERROR(_xlfn.BYROW(TRACK_TYPES[[#This Row],[TRACK_TYPE_STANDARD_GAUGE_RAILTYPE_OHLE]:[TRACK_TYPE_STANDARD_GAUGE_RAILTYPE_NONE]],_xlfn.LAMBDA(_xlpm.r,OR(_xlpm.r))),FALSE)</f>
        <v>1</v>
      </c>
      <c r="AF168" s="38" t="b" cm="1">
        <f t="array" ref="AF168">IFERROR(_xlfn.BYROW(TRACK_TYPES[[#This Row],[TRACK_TYPE_NARROW_GAUGE_RAILTYPE_OHLE]:[TRACK_TYPE_NARROW_GAUGE_RAILTYPE_NONE]],_xlfn.LAMBDA(_xlpm.r,OR(_xlpm.r))),FALSE)</f>
        <v>0</v>
      </c>
      <c r="AG168" s="38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2808</v>
      </c>
      <c r="B169" s="40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8" t="b" cm="1">
        <f t="array" ref="AE169">IFERROR(_xlfn.BYROW(TRACK_TYPES[[#This Row],[TRACK_TYPE_STANDARD_GAUGE_RAILTYPE_OHLE]:[TRACK_TYPE_STANDARD_GAUGE_RAILTYPE_NONE]],_xlfn.LAMBDA(_xlpm.r,OR(_xlpm.r))),FALSE)</f>
        <v>1</v>
      </c>
      <c r="AF169" s="38" t="b" cm="1">
        <f t="array" ref="AF169">IFERROR(_xlfn.BYROW(TRACK_TYPES[[#This Row],[TRACK_TYPE_NARROW_GAUGE_RAILTYPE_OHLE]:[TRACK_TYPE_NARROW_GAUGE_RAILTYPE_NONE]],_xlfn.LAMBDA(_xlpm.r,OR(_xlpm.r))),FALSE)</f>
        <v>0</v>
      </c>
      <c r="AG169" s="38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2809</v>
      </c>
      <c r="B170" s="40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8" t="b" cm="1">
        <f t="array" ref="AE170">IFERROR(_xlfn.BYROW(TRACK_TYPES[[#This Row],[TRACK_TYPE_STANDARD_GAUGE_RAILTYPE_OHLE]:[TRACK_TYPE_STANDARD_GAUGE_RAILTYPE_NONE]],_xlfn.LAMBDA(_xlpm.r,OR(_xlpm.r))),FALSE)</f>
        <v>0</v>
      </c>
      <c r="AF170" s="38" t="b" cm="1">
        <f t="array" ref="AF170">IFERROR(_xlfn.BYROW(TRACK_TYPES[[#This Row],[TRACK_TYPE_NARROW_GAUGE_RAILTYPE_OHLE]:[TRACK_TYPE_NARROW_GAUGE_RAILTYPE_NONE]],_xlfn.LAMBDA(_xlpm.r,OR(_xlpm.r))),FALSE)</f>
        <v>1</v>
      </c>
      <c r="AG170" s="38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2810</v>
      </c>
      <c r="B171" s="40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8" t="b" cm="1">
        <f t="array" ref="AE171">IFERROR(_xlfn.BYROW(TRACK_TYPES[[#This Row],[TRACK_TYPE_STANDARD_GAUGE_RAILTYPE_OHLE]:[TRACK_TYPE_STANDARD_GAUGE_RAILTYPE_NONE]],_xlfn.LAMBDA(_xlpm.r,OR(_xlpm.r))),FALSE)</f>
        <v>1</v>
      </c>
      <c r="AF171" s="38" t="b" cm="1">
        <f t="array" ref="AF171">IFERROR(_xlfn.BYROW(TRACK_TYPES[[#This Row],[TRACK_TYPE_NARROW_GAUGE_RAILTYPE_OHLE]:[TRACK_TYPE_NARROW_GAUGE_RAILTYPE_NONE]],_xlfn.LAMBDA(_xlpm.r,OR(_xlpm.r))),FALSE)</f>
        <v>0</v>
      </c>
      <c r="AG171" s="38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2811</v>
      </c>
      <c r="B172" s="40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8" t="b" cm="1">
        <f t="array" ref="AE172">IFERROR(_xlfn.BYROW(TRACK_TYPES[[#This Row],[TRACK_TYPE_STANDARD_GAUGE_RAILTYPE_OHLE]:[TRACK_TYPE_STANDARD_GAUGE_RAILTYPE_NONE]],_xlfn.LAMBDA(_xlpm.r,OR(_xlpm.r))),FALSE)</f>
        <v>1</v>
      </c>
      <c r="AF172" s="38" t="b" cm="1">
        <f t="array" ref="AF172">IFERROR(_xlfn.BYROW(TRACK_TYPES[[#This Row],[TRACK_TYPE_NARROW_GAUGE_RAILTYPE_OHLE]:[TRACK_TYPE_NARROW_GAUGE_RAILTYPE_NONE]],_xlfn.LAMBDA(_xlpm.r,OR(_xlpm.r))),FALSE)</f>
        <v>1</v>
      </c>
      <c r="AG172" s="38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2812</v>
      </c>
      <c r="B173" s="40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8" t="b" cm="1">
        <f t="array" ref="AE173">IFERROR(_xlfn.BYROW(TRACK_TYPES[[#This Row],[TRACK_TYPE_STANDARD_GAUGE_RAILTYPE_OHLE]:[TRACK_TYPE_STANDARD_GAUGE_RAILTYPE_NONE]],_xlfn.LAMBDA(_xlpm.r,OR(_xlpm.r))),FALSE)</f>
        <v>1</v>
      </c>
      <c r="AF173" s="38" t="b" cm="1">
        <f t="array" ref="AF173">IFERROR(_xlfn.BYROW(TRACK_TYPES[[#This Row],[TRACK_TYPE_NARROW_GAUGE_RAILTYPE_OHLE]:[TRACK_TYPE_NARROW_GAUGE_RAILTYPE_NONE]],_xlfn.LAMBDA(_xlpm.r,OR(_xlpm.r))),FALSE)</f>
        <v>0</v>
      </c>
      <c r="AG173" s="38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2813</v>
      </c>
      <c r="B174" s="40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8" t="b" cm="1">
        <f t="array" ref="AE174">IFERROR(_xlfn.BYROW(TRACK_TYPES[[#This Row],[TRACK_TYPE_STANDARD_GAUGE_RAILTYPE_OHLE]:[TRACK_TYPE_STANDARD_GAUGE_RAILTYPE_NONE]],_xlfn.LAMBDA(_xlpm.r,OR(_xlpm.r))),FALSE)</f>
        <v>1</v>
      </c>
      <c r="AF174" s="38" t="b" cm="1">
        <f t="array" ref="AF174">IFERROR(_xlfn.BYROW(TRACK_TYPES[[#This Row],[TRACK_TYPE_NARROW_GAUGE_RAILTYPE_OHLE]:[TRACK_TYPE_NARROW_GAUGE_RAILTYPE_NONE]],_xlfn.LAMBDA(_xlpm.r,OR(_xlpm.r))),FALSE)</f>
        <v>0</v>
      </c>
      <c r="AG174" s="38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2814</v>
      </c>
      <c r="B175" s="40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8" t="b" cm="1">
        <f t="array" ref="AE175">IFERROR(_xlfn.BYROW(TRACK_TYPES[[#This Row],[TRACK_TYPE_STANDARD_GAUGE_RAILTYPE_OHLE]:[TRACK_TYPE_STANDARD_GAUGE_RAILTYPE_NONE]],_xlfn.LAMBDA(_xlpm.r,OR(_xlpm.r))),FALSE)</f>
        <v>1</v>
      </c>
      <c r="AF175" s="38" t="b" cm="1">
        <f t="array" ref="AF175">IFERROR(_xlfn.BYROW(TRACK_TYPES[[#This Row],[TRACK_TYPE_NARROW_GAUGE_RAILTYPE_OHLE]:[TRACK_TYPE_NARROW_GAUGE_RAILTYPE_NONE]],_xlfn.LAMBDA(_xlpm.r,OR(_xlpm.r))),FALSE)</f>
        <v>0</v>
      </c>
      <c r="AG175" s="38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2815</v>
      </c>
      <c r="B176" s="40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8" t="b" cm="1">
        <f t="array" ref="AE176">IFERROR(_xlfn.BYROW(TRACK_TYPES[[#This Row],[TRACK_TYPE_STANDARD_GAUGE_RAILTYPE_OHLE]:[TRACK_TYPE_STANDARD_GAUGE_RAILTYPE_NONE]],_xlfn.LAMBDA(_xlpm.r,OR(_xlpm.r))),FALSE)</f>
        <v>1</v>
      </c>
      <c r="AF176" s="38" t="b" cm="1">
        <f t="array" ref="AF176">IFERROR(_xlfn.BYROW(TRACK_TYPES[[#This Row],[TRACK_TYPE_NARROW_GAUGE_RAILTYPE_OHLE]:[TRACK_TYPE_NARROW_GAUGE_RAILTYPE_NONE]],_xlfn.LAMBDA(_xlpm.r,OR(_xlpm.r))),FALSE)</f>
        <v>0</v>
      </c>
      <c r="AG176" s="38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2816</v>
      </c>
      <c r="B177" s="40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8" t="b" cm="1">
        <f t="array" ref="AE177">IFERROR(_xlfn.BYROW(TRACK_TYPES[[#This Row],[TRACK_TYPE_STANDARD_GAUGE_RAILTYPE_OHLE]:[TRACK_TYPE_STANDARD_GAUGE_RAILTYPE_NONE]],_xlfn.LAMBDA(_xlpm.r,OR(_xlpm.r))),FALSE)</f>
        <v>1</v>
      </c>
      <c r="AF177" s="38" t="b" cm="1">
        <f t="array" ref="AF177">IFERROR(_xlfn.BYROW(TRACK_TYPES[[#This Row],[TRACK_TYPE_NARROW_GAUGE_RAILTYPE_OHLE]:[TRACK_TYPE_NARROW_GAUGE_RAILTYPE_NONE]],_xlfn.LAMBDA(_xlpm.r,OR(_xlpm.r))),FALSE)</f>
        <v>1</v>
      </c>
      <c r="AG177" s="38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2817</v>
      </c>
      <c r="B178" s="40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8" t="b" cm="1">
        <f t="array" ref="AE178">IFERROR(_xlfn.BYROW(TRACK_TYPES[[#This Row],[TRACK_TYPE_STANDARD_GAUGE_RAILTYPE_OHLE]:[TRACK_TYPE_STANDARD_GAUGE_RAILTYPE_NONE]],_xlfn.LAMBDA(_xlpm.r,OR(_xlpm.r))),FALSE)</f>
        <v>1</v>
      </c>
      <c r="AF178" s="38" t="b" cm="1">
        <f t="array" ref="AF178">IFERROR(_xlfn.BYROW(TRACK_TYPES[[#This Row],[TRACK_TYPE_NARROW_GAUGE_RAILTYPE_OHLE]:[TRACK_TYPE_NARROW_GAUGE_RAILTYPE_NONE]],_xlfn.LAMBDA(_xlpm.r,OR(_xlpm.r))),FALSE)</f>
        <v>0</v>
      </c>
      <c r="AG178" s="38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2818</v>
      </c>
      <c r="B179" s="40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8" t="b" cm="1">
        <f t="array" ref="AE179">IFERROR(_xlfn.BYROW(TRACK_TYPES[[#This Row],[TRACK_TYPE_STANDARD_GAUGE_RAILTYPE_OHLE]:[TRACK_TYPE_STANDARD_GAUGE_RAILTYPE_NONE]],_xlfn.LAMBDA(_xlpm.r,OR(_xlpm.r))),FALSE)</f>
        <v>1</v>
      </c>
      <c r="AF179" s="38" t="b" cm="1">
        <f t="array" ref="AF179">IFERROR(_xlfn.BYROW(TRACK_TYPES[[#This Row],[TRACK_TYPE_NARROW_GAUGE_RAILTYPE_OHLE]:[TRACK_TYPE_NARROW_GAUGE_RAILTYPE_NONE]],_xlfn.LAMBDA(_xlpm.r,OR(_xlpm.r))),FALSE)</f>
        <v>0</v>
      </c>
      <c r="AG179" s="38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2819</v>
      </c>
      <c r="B180" s="40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8" t="b" cm="1">
        <f t="array" ref="AE180">IFERROR(_xlfn.BYROW(TRACK_TYPES[[#This Row],[TRACK_TYPE_STANDARD_GAUGE_RAILTYPE_OHLE]:[TRACK_TYPE_STANDARD_GAUGE_RAILTYPE_NONE]],_xlfn.LAMBDA(_xlpm.r,OR(_xlpm.r))),FALSE)</f>
        <v>1</v>
      </c>
      <c r="AF180" s="38" t="b" cm="1">
        <f t="array" ref="AF180">IFERROR(_xlfn.BYROW(TRACK_TYPES[[#This Row],[TRACK_TYPE_NARROW_GAUGE_RAILTYPE_OHLE]:[TRACK_TYPE_NARROW_GAUGE_RAILTYPE_NONE]],_xlfn.LAMBDA(_xlpm.r,OR(_xlpm.r))),FALSE)</f>
        <v>0</v>
      </c>
      <c r="AG180" s="38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2820</v>
      </c>
      <c r="B181" s="40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8" t="b" cm="1">
        <f t="array" ref="AE181">IFERROR(_xlfn.BYROW(TRACK_TYPES[[#This Row],[TRACK_TYPE_STANDARD_GAUGE_RAILTYPE_OHLE]:[TRACK_TYPE_STANDARD_GAUGE_RAILTYPE_NONE]],_xlfn.LAMBDA(_xlpm.r,OR(_xlpm.r))),FALSE)</f>
        <v>1</v>
      </c>
      <c r="AF181" s="38" t="b" cm="1">
        <f t="array" ref="AF181">IFERROR(_xlfn.BYROW(TRACK_TYPES[[#This Row],[TRACK_TYPE_NARROW_GAUGE_RAILTYPE_OHLE]:[TRACK_TYPE_NARROW_GAUGE_RAILTYPE_NONE]],_xlfn.LAMBDA(_xlpm.r,OR(_xlpm.r))),FALSE)</f>
        <v>0</v>
      </c>
      <c r="AG181" s="38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2821</v>
      </c>
      <c r="B182" s="40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8" t="b" cm="1">
        <f t="array" ref="AE182">IFERROR(_xlfn.BYROW(TRACK_TYPES[[#This Row],[TRACK_TYPE_STANDARD_GAUGE_RAILTYPE_OHLE]:[TRACK_TYPE_STANDARD_GAUGE_RAILTYPE_NONE]],_xlfn.LAMBDA(_xlpm.r,OR(_xlpm.r))),FALSE)</f>
        <v>1</v>
      </c>
      <c r="AF182" s="38" t="b" cm="1">
        <f t="array" ref="AF182">IFERROR(_xlfn.BYROW(TRACK_TYPES[[#This Row],[TRACK_TYPE_NARROW_GAUGE_RAILTYPE_OHLE]:[TRACK_TYPE_NARROW_GAUGE_RAILTYPE_NONE]],_xlfn.LAMBDA(_xlpm.r,OR(_xlpm.r))),FALSE)</f>
        <v>0</v>
      </c>
      <c r="AG182" s="38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2822</v>
      </c>
      <c r="B183" s="40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8" t="b" cm="1">
        <f t="array" ref="AE183">IFERROR(_xlfn.BYROW(TRACK_TYPES[[#This Row],[TRACK_TYPE_STANDARD_GAUGE_RAILTYPE_OHLE]:[TRACK_TYPE_STANDARD_GAUGE_RAILTYPE_NONE]],_xlfn.LAMBDA(_xlpm.r,OR(_xlpm.r))),FALSE)</f>
        <v>1</v>
      </c>
      <c r="AF183" s="38" t="b" cm="1">
        <f t="array" ref="AF183">IFERROR(_xlfn.BYROW(TRACK_TYPES[[#This Row],[TRACK_TYPE_NARROW_GAUGE_RAILTYPE_OHLE]:[TRACK_TYPE_NARROW_GAUGE_RAILTYPE_NONE]],_xlfn.LAMBDA(_xlpm.r,OR(_xlpm.r))),FALSE)</f>
        <v>0</v>
      </c>
      <c r="AG183" s="38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2823</v>
      </c>
      <c r="B184" s="40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8" t="b" cm="1">
        <f t="array" ref="AE184">IFERROR(_xlfn.BYROW(TRACK_TYPES[[#This Row],[TRACK_TYPE_STANDARD_GAUGE_RAILTYPE_OHLE]:[TRACK_TYPE_STANDARD_GAUGE_RAILTYPE_NONE]],_xlfn.LAMBDA(_xlpm.r,OR(_xlpm.r))),FALSE)</f>
        <v>1</v>
      </c>
      <c r="AF184" s="38" t="b" cm="1">
        <f t="array" ref="AF184">IFERROR(_xlfn.BYROW(TRACK_TYPES[[#This Row],[TRACK_TYPE_NARROW_GAUGE_RAILTYPE_OHLE]:[TRACK_TYPE_NARROW_GAUGE_RAILTYPE_NONE]],_xlfn.LAMBDA(_xlpm.r,OR(_xlpm.r))),FALSE)</f>
        <v>0</v>
      </c>
      <c r="AG184" s="38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2824</v>
      </c>
      <c r="B185" s="40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8" t="b" cm="1">
        <f t="array" ref="AE185">IFERROR(_xlfn.BYROW(TRACK_TYPES[[#This Row],[TRACK_TYPE_STANDARD_GAUGE_RAILTYPE_OHLE]:[TRACK_TYPE_STANDARD_GAUGE_RAILTYPE_NONE]],_xlfn.LAMBDA(_xlpm.r,OR(_xlpm.r))),FALSE)</f>
        <v>1</v>
      </c>
      <c r="AF185" s="38" t="b" cm="1">
        <f t="array" ref="AF185">IFERROR(_xlfn.BYROW(TRACK_TYPES[[#This Row],[TRACK_TYPE_NARROW_GAUGE_RAILTYPE_OHLE]:[TRACK_TYPE_NARROW_GAUGE_RAILTYPE_NONE]],_xlfn.LAMBDA(_xlpm.r,OR(_xlpm.r))),FALSE)</f>
        <v>0</v>
      </c>
      <c r="AG185" s="38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2825</v>
      </c>
      <c r="B186" s="40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8" t="b" cm="1">
        <f t="array" ref="AE186">IFERROR(_xlfn.BYROW(TRACK_TYPES[[#This Row],[TRACK_TYPE_STANDARD_GAUGE_RAILTYPE_OHLE]:[TRACK_TYPE_STANDARD_GAUGE_RAILTYPE_NONE]],_xlfn.LAMBDA(_xlpm.r,OR(_xlpm.r))),FALSE)</f>
        <v>1</v>
      </c>
      <c r="AF186" s="38" t="b" cm="1">
        <f t="array" ref="AF186">IFERROR(_xlfn.BYROW(TRACK_TYPES[[#This Row],[TRACK_TYPE_NARROW_GAUGE_RAILTYPE_OHLE]:[TRACK_TYPE_NARROW_GAUGE_RAILTYPE_NONE]],_xlfn.LAMBDA(_xlpm.r,OR(_xlpm.r))),FALSE)</f>
        <v>0</v>
      </c>
      <c r="AG186" s="38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2826</v>
      </c>
      <c r="B187" s="40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8" t="b" cm="1">
        <f t="array" ref="AE187">IFERROR(_xlfn.BYROW(TRACK_TYPES[[#This Row],[TRACK_TYPE_STANDARD_GAUGE_RAILTYPE_OHLE]:[TRACK_TYPE_STANDARD_GAUGE_RAILTYPE_NONE]],_xlfn.LAMBDA(_xlpm.r,OR(_xlpm.r))),FALSE)</f>
        <v>1</v>
      </c>
      <c r="AF187" s="38" t="b" cm="1">
        <f t="array" ref="AF187">IFERROR(_xlfn.BYROW(TRACK_TYPES[[#This Row],[TRACK_TYPE_NARROW_GAUGE_RAILTYPE_OHLE]:[TRACK_TYPE_NARROW_GAUGE_RAILTYPE_NONE]],_xlfn.LAMBDA(_xlpm.r,OR(_xlpm.r))),FALSE)</f>
        <v>0</v>
      </c>
      <c r="AG187" s="38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2827</v>
      </c>
      <c r="B188" s="40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8" t="b" cm="1">
        <f t="array" ref="AE188">IFERROR(_xlfn.BYROW(TRACK_TYPES[[#This Row],[TRACK_TYPE_STANDARD_GAUGE_RAILTYPE_OHLE]:[TRACK_TYPE_STANDARD_GAUGE_RAILTYPE_NONE]],_xlfn.LAMBDA(_xlpm.r,OR(_xlpm.r))),FALSE)</f>
        <v>1</v>
      </c>
      <c r="AF188" s="38" t="b" cm="1">
        <f t="array" ref="AF188">IFERROR(_xlfn.BYROW(TRACK_TYPES[[#This Row],[TRACK_TYPE_NARROW_GAUGE_RAILTYPE_OHLE]:[TRACK_TYPE_NARROW_GAUGE_RAILTYPE_NONE]],_xlfn.LAMBDA(_xlpm.r,OR(_xlpm.r))),FALSE)</f>
        <v>1</v>
      </c>
      <c r="AG188" s="38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2828</v>
      </c>
      <c r="B189" s="40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8" t="b" cm="1">
        <f t="array" ref="AE189">IFERROR(_xlfn.BYROW(TRACK_TYPES[[#This Row],[TRACK_TYPE_STANDARD_GAUGE_RAILTYPE_OHLE]:[TRACK_TYPE_STANDARD_GAUGE_RAILTYPE_NONE]],_xlfn.LAMBDA(_xlpm.r,OR(_xlpm.r))),FALSE)</f>
        <v>1</v>
      </c>
      <c r="AF189" s="38" t="b" cm="1">
        <f t="array" ref="AF189">IFERROR(_xlfn.BYROW(TRACK_TYPES[[#This Row],[TRACK_TYPE_NARROW_GAUGE_RAILTYPE_OHLE]:[TRACK_TYPE_NARROW_GAUGE_RAILTYPE_NONE]],_xlfn.LAMBDA(_xlpm.r,OR(_xlpm.r))),FALSE)</f>
        <v>0</v>
      </c>
      <c r="AG189" s="38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2829</v>
      </c>
      <c r="B190" s="40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8" t="b" cm="1">
        <f t="array" ref="AE190">IFERROR(_xlfn.BYROW(TRACK_TYPES[[#This Row],[TRACK_TYPE_STANDARD_GAUGE_RAILTYPE_OHLE]:[TRACK_TYPE_STANDARD_GAUGE_RAILTYPE_NONE]],_xlfn.LAMBDA(_xlpm.r,OR(_xlpm.r))),FALSE)</f>
        <v>1</v>
      </c>
      <c r="AF190" s="38" t="b" cm="1">
        <f t="array" ref="AF190">IFERROR(_xlfn.BYROW(TRACK_TYPES[[#This Row],[TRACK_TYPE_NARROW_GAUGE_RAILTYPE_OHLE]:[TRACK_TYPE_NARROW_GAUGE_RAILTYPE_NONE]],_xlfn.LAMBDA(_xlpm.r,OR(_xlpm.r))),FALSE)</f>
        <v>0</v>
      </c>
      <c r="AG190" s="38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3439</v>
      </c>
      <c r="B191" s="40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8" t="b" cm="1">
        <f t="array" ref="AE191">IFERROR(_xlfn.BYROW(TRACK_TYPES[[#This Row],[TRACK_TYPE_STANDARD_GAUGE_RAILTYPE_OHLE]:[TRACK_TYPE_STANDARD_GAUGE_RAILTYPE_NONE]],_xlfn.LAMBDA(_xlpm.r,OR(_xlpm.r))),FALSE)</f>
        <v>1</v>
      </c>
      <c r="AF191" s="38" t="b" cm="1">
        <f t="array" ref="AF191">IFERROR(_xlfn.BYROW(TRACK_TYPES[[#This Row],[TRACK_TYPE_NARROW_GAUGE_RAILTYPE_OHLE]:[TRACK_TYPE_NARROW_GAUGE_RAILTYPE_NONE]],_xlfn.LAMBDA(_xlpm.r,OR(_xlpm.r))),FALSE)</f>
        <v>0</v>
      </c>
      <c r="AG191" s="38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3440</v>
      </c>
      <c r="B192" s="40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8" t="b" cm="1">
        <f t="array" ref="AE192">IFERROR(_xlfn.BYROW(TRACK_TYPES[[#This Row],[TRACK_TYPE_STANDARD_GAUGE_RAILTYPE_OHLE]:[TRACK_TYPE_STANDARD_GAUGE_RAILTYPE_NONE]],_xlfn.LAMBDA(_xlpm.r,OR(_xlpm.r))),FALSE)</f>
        <v>1</v>
      </c>
      <c r="AF192" s="38" t="b" cm="1">
        <f t="array" ref="AF192">IFERROR(_xlfn.BYROW(TRACK_TYPES[[#This Row],[TRACK_TYPE_NARROW_GAUGE_RAILTYPE_OHLE]:[TRACK_TYPE_NARROW_GAUGE_RAILTYPE_NONE]],_xlfn.LAMBDA(_xlpm.r,OR(_xlpm.r))),FALSE)</f>
        <v>0</v>
      </c>
      <c r="AG192" s="38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2830</v>
      </c>
      <c r="B193" s="40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8" t="b" cm="1">
        <f t="array" ref="AE193">IFERROR(_xlfn.BYROW(TRACK_TYPES[[#This Row],[TRACK_TYPE_STANDARD_GAUGE_RAILTYPE_OHLE]:[TRACK_TYPE_STANDARD_GAUGE_RAILTYPE_NONE]],_xlfn.LAMBDA(_xlpm.r,OR(_xlpm.r))),FALSE)</f>
        <v>1</v>
      </c>
      <c r="AF193" s="38" t="b" cm="1">
        <f t="array" ref="AF193">IFERROR(_xlfn.BYROW(TRACK_TYPES[[#This Row],[TRACK_TYPE_NARROW_GAUGE_RAILTYPE_OHLE]:[TRACK_TYPE_NARROW_GAUGE_RAILTYPE_NONE]],_xlfn.LAMBDA(_xlpm.r,OR(_xlpm.r))),FALSE)</f>
        <v>0</v>
      </c>
      <c r="AG193" s="38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2831</v>
      </c>
      <c r="B194" s="40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8" t="b" cm="1">
        <f t="array" ref="AE194">IFERROR(_xlfn.BYROW(TRACK_TYPES[[#This Row],[TRACK_TYPE_STANDARD_GAUGE_RAILTYPE_OHLE]:[TRACK_TYPE_STANDARD_GAUGE_RAILTYPE_NONE]],_xlfn.LAMBDA(_xlpm.r,OR(_xlpm.r))),FALSE)</f>
        <v>1</v>
      </c>
      <c r="AF194" s="38" t="b" cm="1">
        <f t="array" ref="AF194">IFERROR(_xlfn.BYROW(TRACK_TYPES[[#This Row],[TRACK_TYPE_NARROW_GAUGE_RAILTYPE_OHLE]:[TRACK_TYPE_NARROW_GAUGE_RAILTYPE_NONE]],_xlfn.LAMBDA(_xlpm.r,OR(_xlpm.r))),FALSE)</f>
        <v>0</v>
      </c>
      <c r="AG194" s="38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2832</v>
      </c>
      <c r="B195" s="40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8" t="b" cm="1">
        <f t="array" ref="AE195">IFERROR(_xlfn.BYROW(TRACK_TYPES[[#This Row],[TRACK_TYPE_STANDARD_GAUGE_RAILTYPE_OHLE]:[TRACK_TYPE_STANDARD_GAUGE_RAILTYPE_NONE]],_xlfn.LAMBDA(_xlpm.r,OR(_xlpm.r))),FALSE)</f>
        <v>1</v>
      </c>
      <c r="AF195" s="38" t="b" cm="1">
        <f t="array" ref="AF195">IFERROR(_xlfn.BYROW(TRACK_TYPES[[#This Row],[TRACK_TYPE_NARROW_GAUGE_RAILTYPE_OHLE]:[TRACK_TYPE_NARROW_GAUGE_RAILTYPE_NONE]],_xlfn.LAMBDA(_xlpm.r,OR(_xlpm.r))),FALSE)</f>
        <v>0</v>
      </c>
      <c r="AG195" s="38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2833</v>
      </c>
      <c r="B196" s="40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8" t="b" cm="1">
        <f t="array" ref="AE196">IFERROR(_xlfn.BYROW(TRACK_TYPES[[#This Row],[TRACK_TYPE_STANDARD_GAUGE_RAILTYPE_OHLE]:[TRACK_TYPE_STANDARD_GAUGE_RAILTYPE_NONE]],_xlfn.LAMBDA(_xlpm.r,OR(_xlpm.r))),FALSE)</f>
        <v>0</v>
      </c>
      <c r="AF196" s="38" t="b" cm="1">
        <f t="array" ref="AF196">IFERROR(_xlfn.BYROW(TRACK_TYPES[[#This Row],[TRACK_TYPE_NARROW_GAUGE_RAILTYPE_OHLE]:[TRACK_TYPE_NARROW_GAUGE_RAILTYPE_NONE]],_xlfn.LAMBDA(_xlpm.r,OR(_xlpm.r))),FALSE)</f>
        <v>0</v>
      </c>
      <c r="AG196" s="38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2834</v>
      </c>
      <c r="B197" s="40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8" t="b" cm="1">
        <f t="array" ref="AE197">IFERROR(_xlfn.BYROW(TRACK_TYPES[[#This Row],[TRACK_TYPE_STANDARD_GAUGE_RAILTYPE_OHLE]:[TRACK_TYPE_STANDARD_GAUGE_RAILTYPE_NONE]],_xlfn.LAMBDA(_xlpm.r,OR(_xlpm.r))),FALSE)</f>
        <v>1</v>
      </c>
      <c r="AF197" s="38" t="b" cm="1">
        <f t="array" ref="AF197">IFERROR(_xlfn.BYROW(TRACK_TYPES[[#This Row],[TRACK_TYPE_NARROW_GAUGE_RAILTYPE_OHLE]:[TRACK_TYPE_NARROW_GAUGE_RAILTYPE_NONE]],_xlfn.LAMBDA(_xlpm.r,OR(_xlpm.r))),FALSE)</f>
        <v>0</v>
      </c>
      <c r="AG197" s="38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2835</v>
      </c>
      <c r="B198" s="40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8" t="b" cm="1">
        <f t="array" ref="AE198">IFERROR(_xlfn.BYROW(TRACK_TYPES[[#This Row],[TRACK_TYPE_STANDARD_GAUGE_RAILTYPE_OHLE]:[TRACK_TYPE_STANDARD_GAUGE_RAILTYPE_NONE]],_xlfn.LAMBDA(_xlpm.r,OR(_xlpm.r))),FALSE)</f>
        <v>1</v>
      </c>
      <c r="AF198" s="38" t="b" cm="1">
        <f t="array" ref="AF198">IFERROR(_xlfn.BYROW(TRACK_TYPES[[#This Row],[TRACK_TYPE_NARROW_GAUGE_RAILTYPE_OHLE]:[TRACK_TYPE_NARROW_GAUGE_RAILTYPE_NONE]],_xlfn.LAMBDA(_xlpm.r,OR(_xlpm.r))),FALSE)</f>
        <v>1</v>
      </c>
      <c r="AG198" s="38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2836</v>
      </c>
      <c r="B199" s="40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8" t="b" cm="1">
        <f t="array" ref="AE199">IFERROR(_xlfn.BYROW(TRACK_TYPES[[#This Row],[TRACK_TYPE_STANDARD_GAUGE_RAILTYPE_OHLE]:[TRACK_TYPE_STANDARD_GAUGE_RAILTYPE_NONE]],_xlfn.LAMBDA(_xlpm.r,OR(_xlpm.r))),FALSE)</f>
        <v>1</v>
      </c>
      <c r="AF199" s="38" t="b" cm="1">
        <f t="array" ref="AF199">IFERROR(_xlfn.BYROW(TRACK_TYPES[[#This Row],[TRACK_TYPE_NARROW_GAUGE_RAILTYPE_OHLE]:[TRACK_TYPE_NARROW_GAUGE_RAILTYPE_NONE]],_xlfn.LAMBDA(_xlpm.r,OR(_xlpm.r))),FALSE)</f>
        <v>1</v>
      </c>
      <c r="AG199" s="38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2837</v>
      </c>
      <c r="B200" s="40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8" t="b" cm="1">
        <f t="array" ref="AE200">IFERROR(_xlfn.BYROW(TRACK_TYPES[[#This Row],[TRACK_TYPE_STANDARD_GAUGE_RAILTYPE_OHLE]:[TRACK_TYPE_STANDARD_GAUGE_RAILTYPE_NONE]],_xlfn.LAMBDA(_xlpm.r,OR(_xlpm.r))),FALSE)</f>
        <v>0</v>
      </c>
      <c r="AF200" s="38" t="b" cm="1">
        <f t="array" ref="AF200">IFERROR(_xlfn.BYROW(TRACK_TYPES[[#This Row],[TRACK_TYPE_NARROW_GAUGE_RAILTYPE_OHLE]:[TRACK_TYPE_NARROW_GAUGE_RAILTYPE_NONE]],_xlfn.LAMBDA(_xlpm.r,OR(_xlpm.r))),FALSE)</f>
        <v>0</v>
      </c>
      <c r="AG200" s="38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2838</v>
      </c>
      <c r="B201" s="40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8" t="b" cm="1">
        <f t="array" ref="AE201">IFERROR(_xlfn.BYROW(TRACK_TYPES[[#This Row],[TRACK_TYPE_STANDARD_GAUGE_RAILTYPE_OHLE]:[TRACK_TYPE_STANDARD_GAUGE_RAILTYPE_NONE]],_xlfn.LAMBDA(_xlpm.r,OR(_xlpm.r))),FALSE)</f>
        <v>1</v>
      </c>
      <c r="AF201" s="38" t="b" cm="1">
        <f t="array" ref="AF201">IFERROR(_xlfn.BYROW(TRACK_TYPES[[#This Row],[TRACK_TYPE_NARROW_GAUGE_RAILTYPE_OHLE]:[TRACK_TYPE_NARROW_GAUGE_RAILTYPE_NONE]],_xlfn.LAMBDA(_xlpm.r,OR(_xlpm.r))),FALSE)</f>
        <v>0</v>
      </c>
      <c r="AG201" s="38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2839</v>
      </c>
      <c r="B202" s="40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8" t="b" cm="1">
        <f t="array" ref="AE202">IFERROR(_xlfn.BYROW(TRACK_TYPES[[#This Row],[TRACK_TYPE_STANDARD_GAUGE_RAILTYPE_OHLE]:[TRACK_TYPE_STANDARD_GAUGE_RAILTYPE_NONE]],_xlfn.LAMBDA(_xlpm.r,OR(_xlpm.r))),FALSE)</f>
        <v>1</v>
      </c>
      <c r="AF202" s="38" t="b" cm="1">
        <f t="array" ref="AF202">IFERROR(_xlfn.BYROW(TRACK_TYPES[[#This Row],[TRACK_TYPE_NARROW_GAUGE_RAILTYPE_OHLE]:[TRACK_TYPE_NARROW_GAUGE_RAILTYPE_NONE]],_xlfn.LAMBDA(_xlpm.r,OR(_xlpm.r))),FALSE)</f>
        <v>0</v>
      </c>
      <c r="AG202" s="38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2840</v>
      </c>
      <c r="B203" s="40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8" t="b" cm="1">
        <f t="array" ref="AE203">IFERROR(_xlfn.BYROW(TRACK_TYPES[[#This Row],[TRACK_TYPE_STANDARD_GAUGE_RAILTYPE_OHLE]:[TRACK_TYPE_STANDARD_GAUGE_RAILTYPE_NONE]],_xlfn.LAMBDA(_xlpm.r,OR(_xlpm.r))),FALSE)</f>
        <v>0</v>
      </c>
      <c r="AF203" s="38" t="b" cm="1">
        <f t="array" ref="AF203">IFERROR(_xlfn.BYROW(TRACK_TYPES[[#This Row],[TRACK_TYPE_NARROW_GAUGE_RAILTYPE_OHLE]:[TRACK_TYPE_NARROW_GAUGE_RAILTYPE_NONE]],_xlfn.LAMBDA(_xlpm.r,OR(_xlpm.r))),FALSE)</f>
        <v>0</v>
      </c>
      <c r="AG203" s="38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2841</v>
      </c>
      <c r="B204" s="40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8" t="b" cm="1">
        <f t="array" ref="AE204">IFERROR(_xlfn.BYROW(TRACK_TYPES[[#This Row],[TRACK_TYPE_STANDARD_GAUGE_RAILTYPE_OHLE]:[TRACK_TYPE_STANDARD_GAUGE_RAILTYPE_NONE]],_xlfn.LAMBDA(_xlpm.r,OR(_xlpm.r))),FALSE)</f>
        <v>1</v>
      </c>
      <c r="AF204" s="38" t="b" cm="1">
        <f t="array" ref="AF204">IFERROR(_xlfn.BYROW(TRACK_TYPES[[#This Row],[TRACK_TYPE_NARROW_GAUGE_RAILTYPE_OHLE]:[TRACK_TYPE_NARROW_GAUGE_RAILTYPE_NONE]],_xlfn.LAMBDA(_xlpm.r,OR(_xlpm.r))),FALSE)</f>
        <v>0</v>
      </c>
      <c r="AG204" s="38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2842</v>
      </c>
      <c r="B205" s="40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8" t="b" cm="1">
        <f t="array" ref="AE205">IFERROR(_xlfn.BYROW(TRACK_TYPES[[#This Row],[TRACK_TYPE_STANDARD_GAUGE_RAILTYPE_OHLE]:[TRACK_TYPE_STANDARD_GAUGE_RAILTYPE_NONE]],_xlfn.LAMBDA(_xlpm.r,OR(_xlpm.r))),FALSE)</f>
        <v>1</v>
      </c>
      <c r="AF205" s="38" t="b" cm="1">
        <f t="array" ref="AF205">IFERROR(_xlfn.BYROW(TRACK_TYPES[[#This Row],[TRACK_TYPE_NARROW_GAUGE_RAILTYPE_OHLE]:[TRACK_TYPE_NARROW_GAUGE_RAILTYPE_NONE]],_xlfn.LAMBDA(_xlpm.r,OR(_xlpm.r))),FALSE)</f>
        <v>0</v>
      </c>
      <c r="AG205" s="38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2843</v>
      </c>
      <c r="B206" s="40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8" t="b" cm="1">
        <f t="array" ref="AE206">IFERROR(_xlfn.BYROW(TRACK_TYPES[[#This Row],[TRACK_TYPE_STANDARD_GAUGE_RAILTYPE_OHLE]:[TRACK_TYPE_STANDARD_GAUGE_RAILTYPE_NONE]],_xlfn.LAMBDA(_xlpm.r,OR(_xlpm.r))),FALSE)</f>
        <v>0</v>
      </c>
      <c r="AF206" s="38" t="b" cm="1">
        <f t="array" ref="AF206">IFERROR(_xlfn.BYROW(TRACK_TYPES[[#This Row],[TRACK_TYPE_NARROW_GAUGE_RAILTYPE_OHLE]:[TRACK_TYPE_NARROW_GAUGE_RAILTYPE_NONE]],_xlfn.LAMBDA(_xlpm.r,OR(_xlpm.r))),FALSE)</f>
        <v>0</v>
      </c>
      <c r="AG206" s="38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2844</v>
      </c>
      <c r="B207" s="40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8" t="b" cm="1">
        <f t="array" ref="AE207">IFERROR(_xlfn.BYROW(TRACK_TYPES[[#This Row],[TRACK_TYPE_STANDARD_GAUGE_RAILTYPE_OHLE]:[TRACK_TYPE_STANDARD_GAUGE_RAILTYPE_NONE]],_xlfn.LAMBDA(_xlpm.r,OR(_xlpm.r))),FALSE)</f>
        <v>1</v>
      </c>
      <c r="AF207" s="38" t="b" cm="1">
        <f t="array" ref="AF207">IFERROR(_xlfn.BYROW(TRACK_TYPES[[#This Row],[TRACK_TYPE_NARROW_GAUGE_RAILTYPE_OHLE]:[TRACK_TYPE_NARROW_GAUGE_RAILTYPE_NONE]],_xlfn.LAMBDA(_xlpm.r,OR(_xlpm.r))),FALSE)</f>
        <v>0</v>
      </c>
      <c r="AG207" s="38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2845</v>
      </c>
      <c r="B208" s="40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8" t="b" cm="1">
        <f t="array" ref="AE208">IFERROR(_xlfn.BYROW(TRACK_TYPES[[#This Row],[TRACK_TYPE_STANDARD_GAUGE_RAILTYPE_OHLE]:[TRACK_TYPE_STANDARD_GAUGE_RAILTYPE_NONE]],_xlfn.LAMBDA(_xlpm.r,OR(_xlpm.r))),FALSE)</f>
        <v>1</v>
      </c>
      <c r="AF208" s="38" t="b" cm="1">
        <f t="array" ref="AF208">IFERROR(_xlfn.BYROW(TRACK_TYPES[[#This Row],[TRACK_TYPE_NARROW_GAUGE_RAILTYPE_OHLE]:[TRACK_TYPE_NARROW_GAUGE_RAILTYPE_NONE]],_xlfn.LAMBDA(_xlpm.r,OR(_xlpm.r))),FALSE)</f>
        <v>0</v>
      </c>
      <c r="AG208" s="38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2846</v>
      </c>
      <c r="B209" s="40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8" t="b" cm="1">
        <f t="array" ref="AE209">IFERROR(_xlfn.BYROW(TRACK_TYPES[[#This Row],[TRACK_TYPE_STANDARD_GAUGE_RAILTYPE_OHLE]:[TRACK_TYPE_STANDARD_GAUGE_RAILTYPE_NONE]],_xlfn.LAMBDA(_xlpm.r,OR(_xlpm.r))),FALSE)</f>
        <v>1</v>
      </c>
      <c r="AF209" s="38" t="b" cm="1">
        <f t="array" ref="AF209">IFERROR(_xlfn.BYROW(TRACK_TYPES[[#This Row],[TRACK_TYPE_NARROW_GAUGE_RAILTYPE_OHLE]:[TRACK_TYPE_NARROW_GAUGE_RAILTYPE_NONE]],_xlfn.LAMBDA(_xlpm.r,OR(_xlpm.r))),FALSE)</f>
        <v>0</v>
      </c>
      <c r="AG209" s="38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2847</v>
      </c>
      <c r="B210" s="40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8" t="b" cm="1">
        <f t="array" ref="AE210">IFERROR(_xlfn.BYROW(TRACK_TYPES[[#This Row],[TRACK_TYPE_STANDARD_GAUGE_RAILTYPE_OHLE]:[TRACK_TYPE_STANDARD_GAUGE_RAILTYPE_NONE]],_xlfn.LAMBDA(_xlpm.r,OR(_xlpm.r))),FALSE)</f>
        <v>1</v>
      </c>
      <c r="AF210" s="38" t="b" cm="1">
        <f t="array" ref="AF210">IFERROR(_xlfn.BYROW(TRACK_TYPES[[#This Row],[TRACK_TYPE_NARROW_GAUGE_RAILTYPE_OHLE]:[TRACK_TYPE_NARROW_GAUGE_RAILTYPE_NONE]],_xlfn.LAMBDA(_xlpm.r,OR(_xlpm.r))),FALSE)</f>
        <v>0</v>
      </c>
      <c r="AG210" s="38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2848</v>
      </c>
      <c r="B211" s="40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8" t="b" cm="1">
        <f t="array" ref="AE211">IFERROR(_xlfn.BYROW(TRACK_TYPES[[#This Row],[TRACK_TYPE_STANDARD_GAUGE_RAILTYPE_OHLE]:[TRACK_TYPE_STANDARD_GAUGE_RAILTYPE_NONE]],_xlfn.LAMBDA(_xlpm.r,OR(_xlpm.r))),FALSE)</f>
        <v>0</v>
      </c>
      <c r="AF211" s="38" t="b" cm="1">
        <f t="array" ref="AF211">IFERROR(_xlfn.BYROW(TRACK_TYPES[[#This Row],[TRACK_TYPE_NARROW_GAUGE_RAILTYPE_OHLE]:[TRACK_TYPE_NARROW_GAUGE_RAILTYPE_NONE]],_xlfn.LAMBDA(_xlpm.r,OR(_xlpm.r))),FALSE)</f>
        <v>1</v>
      </c>
      <c r="AG211" s="38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2849</v>
      </c>
      <c r="B212" s="40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8" t="b" cm="1">
        <f t="array" ref="AE212">IFERROR(_xlfn.BYROW(TRACK_TYPES[[#This Row],[TRACK_TYPE_STANDARD_GAUGE_RAILTYPE_OHLE]:[TRACK_TYPE_STANDARD_GAUGE_RAILTYPE_NONE]],_xlfn.LAMBDA(_xlpm.r,OR(_xlpm.r))),FALSE)</f>
        <v>1</v>
      </c>
      <c r="AF212" s="38" t="b" cm="1">
        <f t="array" ref="AF212">IFERROR(_xlfn.BYROW(TRACK_TYPES[[#This Row],[TRACK_TYPE_NARROW_GAUGE_RAILTYPE_OHLE]:[TRACK_TYPE_NARROW_GAUGE_RAILTYPE_NONE]],_xlfn.LAMBDA(_xlpm.r,OR(_xlpm.r))),FALSE)</f>
        <v>1</v>
      </c>
      <c r="AG212" s="38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2850</v>
      </c>
      <c r="B213" s="40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8" t="b" cm="1">
        <f t="array" ref="AE213">IFERROR(_xlfn.BYROW(TRACK_TYPES[[#This Row],[TRACK_TYPE_STANDARD_GAUGE_RAILTYPE_OHLE]:[TRACK_TYPE_STANDARD_GAUGE_RAILTYPE_NONE]],_xlfn.LAMBDA(_xlpm.r,OR(_xlpm.r))),FALSE)</f>
        <v>1</v>
      </c>
      <c r="AF213" s="38" t="b" cm="1">
        <f t="array" ref="AF213">IFERROR(_xlfn.BYROW(TRACK_TYPES[[#This Row],[TRACK_TYPE_NARROW_GAUGE_RAILTYPE_OHLE]:[TRACK_TYPE_NARROW_GAUGE_RAILTYPE_NONE]],_xlfn.LAMBDA(_xlpm.r,OR(_xlpm.r))),FALSE)</f>
        <v>0</v>
      </c>
      <c r="AG213" s="38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2851</v>
      </c>
      <c r="B214" s="40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8" t="b" cm="1">
        <f t="array" ref="AE214">IFERROR(_xlfn.BYROW(TRACK_TYPES[[#This Row],[TRACK_TYPE_STANDARD_GAUGE_RAILTYPE_OHLE]:[TRACK_TYPE_STANDARD_GAUGE_RAILTYPE_NONE]],_xlfn.LAMBDA(_xlpm.r,OR(_xlpm.r))),FALSE)</f>
        <v>1</v>
      </c>
      <c r="AF214" s="38" t="b" cm="1">
        <f t="array" ref="AF214">IFERROR(_xlfn.BYROW(TRACK_TYPES[[#This Row],[TRACK_TYPE_NARROW_GAUGE_RAILTYPE_OHLE]:[TRACK_TYPE_NARROW_GAUGE_RAILTYPE_NONE]],_xlfn.LAMBDA(_xlpm.r,OR(_xlpm.r))),FALSE)</f>
        <v>0</v>
      </c>
      <c r="AG214" s="38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2852</v>
      </c>
      <c r="B215" s="40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8" t="b" cm="1">
        <f t="array" ref="AE215">IFERROR(_xlfn.BYROW(TRACK_TYPES[[#This Row],[TRACK_TYPE_STANDARD_GAUGE_RAILTYPE_OHLE]:[TRACK_TYPE_STANDARD_GAUGE_RAILTYPE_NONE]],_xlfn.LAMBDA(_xlpm.r,OR(_xlpm.r))),FALSE)</f>
        <v>1</v>
      </c>
      <c r="AF215" s="38" t="b" cm="1">
        <f t="array" ref="AF215">IFERROR(_xlfn.BYROW(TRACK_TYPES[[#This Row],[TRACK_TYPE_NARROW_GAUGE_RAILTYPE_OHLE]:[TRACK_TYPE_NARROW_GAUGE_RAILTYPE_NONE]],_xlfn.LAMBDA(_xlpm.r,OR(_xlpm.r))),FALSE)</f>
        <v>0</v>
      </c>
      <c r="AG215" s="38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2853</v>
      </c>
      <c r="B216" s="40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8" t="b" cm="1">
        <f t="array" ref="AE216">IFERROR(_xlfn.BYROW(TRACK_TYPES[[#This Row],[TRACK_TYPE_STANDARD_GAUGE_RAILTYPE_OHLE]:[TRACK_TYPE_STANDARD_GAUGE_RAILTYPE_NONE]],_xlfn.LAMBDA(_xlpm.r,OR(_xlpm.r))),FALSE)</f>
        <v>1</v>
      </c>
      <c r="AF216" s="38" t="b" cm="1">
        <f t="array" ref="AF216">IFERROR(_xlfn.BYROW(TRACK_TYPES[[#This Row],[TRACK_TYPE_NARROW_GAUGE_RAILTYPE_OHLE]:[TRACK_TYPE_NARROW_GAUGE_RAILTYPE_NONE]],_xlfn.LAMBDA(_xlpm.r,OR(_xlpm.r))),FALSE)</f>
        <v>0</v>
      </c>
      <c r="AG216" s="38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2854</v>
      </c>
      <c r="B217" s="40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8" t="b" cm="1">
        <f t="array" ref="AE217">IFERROR(_xlfn.BYROW(TRACK_TYPES[[#This Row],[TRACK_TYPE_STANDARD_GAUGE_RAILTYPE_OHLE]:[TRACK_TYPE_STANDARD_GAUGE_RAILTYPE_NONE]],_xlfn.LAMBDA(_xlpm.r,OR(_xlpm.r))),FALSE)</f>
        <v>1</v>
      </c>
      <c r="AF217" s="38" t="b" cm="1">
        <f t="array" ref="AF217">IFERROR(_xlfn.BYROW(TRACK_TYPES[[#This Row],[TRACK_TYPE_NARROW_GAUGE_RAILTYPE_OHLE]:[TRACK_TYPE_NARROW_GAUGE_RAILTYPE_NONE]],_xlfn.LAMBDA(_xlpm.r,OR(_xlpm.r))),FALSE)</f>
        <v>0</v>
      </c>
      <c r="AG217" s="38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2855</v>
      </c>
      <c r="B218" s="40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8" t="b" cm="1">
        <f t="array" ref="AE218">IFERROR(_xlfn.BYROW(TRACK_TYPES[[#This Row],[TRACK_TYPE_STANDARD_GAUGE_RAILTYPE_OHLE]:[TRACK_TYPE_STANDARD_GAUGE_RAILTYPE_NONE]],_xlfn.LAMBDA(_xlpm.r,OR(_xlpm.r))),FALSE)</f>
        <v>0</v>
      </c>
      <c r="AF218" s="38" t="b" cm="1">
        <f t="array" ref="AF218">IFERROR(_xlfn.BYROW(TRACK_TYPES[[#This Row],[TRACK_TYPE_NARROW_GAUGE_RAILTYPE_OHLE]:[TRACK_TYPE_NARROW_GAUGE_RAILTYPE_NONE]],_xlfn.LAMBDA(_xlpm.r,OR(_xlpm.r))),FALSE)</f>
        <v>0</v>
      </c>
      <c r="AG218" s="38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2856</v>
      </c>
      <c r="B219" s="40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8" t="b" cm="1">
        <f t="array" ref="AE219">IFERROR(_xlfn.BYROW(TRACK_TYPES[[#This Row],[TRACK_TYPE_STANDARD_GAUGE_RAILTYPE_OHLE]:[TRACK_TYPE_STANDARD_GAUGE_RAILTYPE_NONE]],_xlfn.LAMBDA(_xlpm.r,OR(_xlpm.r))),FALSE)</f>
        <v>0</v>
      </c>
      <c r="AF219" s="38" t="b" cm="1">
        <f t="array" ref="AF219">IFERROR(_xlfn.BYROW(TRACK_TYPES[[#This Row],[TRACK_TYPE_NARROW_GAUGE_RAILTYPE_OHLE]:[TRACK_TYPE_NARROW_GAUGE_RAILTYPE_NONE]],_xlfn.LAMBDA(_xlpm.r,OR(_xlpm.r))),FALSE)</f>
        <v>0</v>
      </c>
      <c r="AG219" s="38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2857</v>
      </c>
      <c r="B220" s="40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8" t="b" cm="1">
        <f t="array" ref="AE220">IFERROR(_xlfn.BYROW(TRACK_TYPES[[#This Row],[TRACK_TYPE_STANDARD_GAUGE_RAILTYPE_OHLE]:[TRACK_TYPE_STANDARD_GAUGE_RAILTYPE_NONE]],_xlfn.LAMBDA(_xlpm.r,OR(_xlpm.r))),FALSE)</f>
        <v>0</v>
      </c>
      <c r="AF220" s="38" t="b" cm="1">
        <f t="array" ref="AF220">IFERROR(_xlfn.BYROW(TRACK_TYPES[[#This Row],[TRACK_TYPE_NARROW_GAUGE_RAILTYPE_OHLE]:[TRACK_TYPE_NARROW_GAUGE_RAILTYPE_NONE]],_xlfn.LAMBDA(_xlpm.r,OR(_xlpm.r))),FALSE)</f>
        <v>0</v>
      </c>
      <c r="AG220" s="38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2858</v>
      </c>
      <c r="B221" s="40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8" t="b" cm="1">
        <f t="array" ref="AE221">IFERROR(_xlfn.BYROW(TRACK_TYPES[[#This Row],[TRACK_TYPE_STANDARD_GAUGE_RAILTYPE_OHLE]:[TRACK_TYPE_STANDARD_GAUGE_RAILTYPE_NONE]],_xlfn.LAMBDA(_xlpm.r,OR(_xlpm.r))),FALSE)</f>
        <v>1</v>
      </c>
      <c r="AF221" s="38" t="b" cm="1">
        <f t="array" ref="AF221">IFERROR(_xlfn.BYROW(TRACK_TYPES[[#This Row],[TRACK_TYPE_NARROW_GAUGE_RAILTYPE_OHLE]:[TRACK_TYPE_NARROW_GAUGE_RAILTYPE_NONE]],_xlfn.LAMBDA(_xlpm.r,OR(_xlpm.r))),FALSE)</f>
        <v>0</v>
      </c>
      <c r="AG221" s="38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2859</v>
      </c>
      <c r="B222" s="40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8" t="b" cm="1">
        <f t="array" ref="AE222">IFERROR(_xlfn.BYROW(TRACK_TYPES[[#This Row],[TRACK_TYPE_STANDARD_GAUGE_RAILTYPE_OHLE]:[TRACK_TYPE_STANDARD_GAUGE_RAILTYPE_NONE]],_xlfn.LAMBDA(_xlpm.r,OR(_xlpm.r))),FALSE)</f>
        <v>1</v>
      </c>
      <c r="AF222" s="38" t="b" cm="1">
        <f t="array" ref="AF222">IFERROR(_xlfn.BYROW(TRACK_TYPES[[#This Row],[TRACK_TYPE_NARROW_GAUGE_RAILTYPE_OHLE]:[TRACK_TYPE_NARROW_GAUGE_RAILTYPE_NONE]],_xlfn.LAMBDA(_xlpm.r,OR(_xlpm.r))),FALSE)</f>
        <v>0</v>
      </c>
      <c r="AG222" s="38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2860</v>
      </c>
      <c r="B223" s="40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8" t="b" cm="1">
        <f t="array" ref="AE223">IFERROR(_xlfn.BYROW(TRACK_TYPES[[#This Row],[TRACK_TYPE_STANDARD_GAUGE_RAILTYPE_OHLE]:[TRACK_TYPE_STANDARD_GAUGE_RAILTYPE_NONE]],_xlfn.LAMBDA(_xlpm.r,OR(_xlpm.r))),FALSE)</f>
        <v>1</v>
      </c>
      <c r="AF223" s="38" t="b" cm="1">
        <f t="array" ref="AF223">IFERROR(_xlfn.BYROW(TRACK_TYPES[[#This Row],[TRACK_TYPE_NARROW_GAUGE_RAILTYPE_OHLE]:[TRACK_TYPE_NARROW_GAUGE_RAILTYPE_NONE]],_xlfn.LAMBDA(_xlpm.r,OR(_xlpm.r))),FALSE)</f>
        <v>0</v>
      </c>
      <c r="AG223" s="38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2861</v>
      </c>
      <c r="B224" s="40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8" t="b" cm="1">
        <f t="array" ref="AE224">IFERROR(_xlfn.BYROW(TRACK_TYPES[[#This Row],[TRACK_TYPE_STANDARD_GAUGE_RAILTYPE_OHLE]:[TRACK_TYPE_STANDARD_GAUGE_RAILTYPE_NONE]],_xlfn.LAMBDA(_xlpm.r,OR(_xlpm.r))),FALSE)</f>
        <v>1</v>
      </c>
      <c r="AF224" s="38" t="b" cm="1">
        <f t="array" ref="AF224">IFERROR(_xlfn.BYROW(TRACK_TYPES[[#This Row],[TRACK_TYPE_NARROW_GAUGE_RAILTYPE_OHLE]:[TRACK_TYPE_NARROW_GAUGE_RAILTYPE_NONE]],_xlfn.LAMBDA(_xlpm.r,OR(_xlpm.r))),FALSE)</f>
        <v>1</v>
      </c>
      <c r="AG224" s="38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3442</v>
      </c>
      <c r="B225" s="40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8" t="b" cm="1">
        <f t="array" ref="AE225">IFERROR(_xlfn.BYROW(TRACK_TYPES[[#This Row],[TRACK_TYPE_STANDARD_GAUGE_RAILTYPE_OHLE]:[TRACK_TYPE_STANDARD_GAUGE_RAILTYPE_NONE]],_xlfn.LAMBDA(_xlpm.r,OR(_xlpm.r))),FALSE)</f>
        <v>1</v>
      </c>
      <c r="AF225" s="38" t="b" cm="1">
        <f t="array" ref="AF225">IFERROR(_xlfn.BYROW(TRACK_TYPES[[#This Row],[TRACK_TYPE_NARROW_GAUGE_RAILTYPE_OHLE]:[TRACK_TYPE_NARROW_GAUGE_RAILTYPE_NONE]],_xlfn.LAMBDA(_xlpm.r,OR(_xlpm.r))),FALSE)</f>
        <v>0</v>
      </c>
      <c r="AG225" s="38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2862</v>
      </c>
      <c r="B226" s="40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8" t="b" cm="1">
        <f t="array" ref="AE226">IFERROR(_xlfn.BYROW(TRACK_TYPES[[#This Row],[TRACK_TYPE_STANDARD_GAUGE_RAILTYPE_OHLE]:[TRACK_TYPE_STANDARD_GAUGE_RAILTYPE_NONE]],_xlfn.LAMBDA(_xlpm.r,OR(_xlpm.r))),FALSE)</f>
        <v>1</v>
      </c>
      <c r="AF226" s="38" t="b" cm="1">
        <f t="array" ref="AF226">IFERROR(_xlfn.BYROW(TRACK_TYPES[[#This Row],[TRACK_TYPE_NARROW_GAUGE_RAILTYPE_OHLE]:[TRACK_TYPE_NARROW_GAUGE_RAILTYPE_NONE]],_xlfn.LAMBDA(_xlpm.r,OR(_xlpm.r))),FALSE)</f>
        <v>0</v>
      </c>
      <c r="AG226" s="38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2863</v>
      </c>
      <c r="B227" s="40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8" t="b" cm="1">
        <f t="array" ref="AE227">IFERROR(_xlfn.BYROW(TRACK_TYPES[[#This Row],[TRACK_TYPE_STANDARD_GAUGE_RAILTYPE_OHLE]:[TRACK_TYPE_STANDARD_GAUGE_RAILTYPE_NONE]],_xlfn.LAMBDA(_xlpm.r,OR(_xlpm.r))),FALSE)</f>
        <v>1</v>
      </c>
      <c r="AF227" s="38" t="b" cm="1">
        <f t="array" ref="AF227">IFERROR(_xlfn.BYROW(TRACK_TYPES[[#This Row],[TRACK_TYPE_NARROW_GAUGE_RAILTYPE_OHLE]:[TRACK_TYPE_NARROW_GAUGE_RAILTYPE_NONE]],_xlfn.LAMBDA(_xlpm.r,OR(_xlpm.r))),FALSE)</f>
        <v>0</v>
      </c>
      <c r="AG227" s="38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2864</v>
      </c>
      <c r="B228" s="40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8" t="b" cm="1">
        <f t="array" ref="AE228">IFERROR(_xlfn.BYROW(TRACK_TYPES[[#This Row],[TRACK_TYPE_STANDARD_GAUGE_RAILTYPE_OHLE]:[TRACK_TYPE_STANDARD_GAUGE_RAILTYPE_NONE]],_xlfn.LAMBDA(_xlpm.r,OR(_xlpm.r))),FALSE)</f>
        <v>1</v>
      </c>
      <c r="AF228" s="38" t="b" cm="1">
        <f t="array" ref="AF228">IFERROR(_xlfn.BYROW(TRACK_TYPES[[#This Row],[TRACK_TYPE_NARROW_GAUGE_RAILTYPE_OHLE]:[TRACK_TYPE_NARROW_GAUGE_RAILTYPE_NONE]],_xlfn.LAMBDA(_xlpm.r,OR(_xlpm.r))),FALSE)</f>
        <v>0</v>
      </c>
      <c r="AG228" s="38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2865</v>
      </c>
      <c r="B229" s="40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8" t="b" cm="1">
        <f t="array" ref="AE229">IFERROR(_xlfn.BYROW(TRACK_TYPES[[#This Row],[TRACK_TYPE_STANDARD_GAUGE_RAILTYPE_OHLE]:[TRACK_TYPE_STANDARD_GAUGE_RAILTYPE_NONE]],_xlfn.LAMBDA(_xlpm.r,OR(_xlpm.r))),FALSE)</f>
        <v>0</v>
      </c>
      <c r="AF229" s="38" t="b" cm="1">
        <f t="array" ref="AF229">IFERROR(_xlfn.BYROW(TRACK_TYPES[[#This Row],[TRACK_TYPE_NARROW_GAUGE_RAILTYPE_OHLE]:[TRACK_TYPE_NARROW_GAUGE_RAILTYPE_NONE]],_xlfn.LAMBDA(_xlpm.r,OR(_xlpm.r))),FALSE)</f>
        <v>0</v>
      </c>
      <c r="AG229" s="38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2866</v>
      </c>
      <c r="B230" s="40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8" t="b" cm="1">
        <f t="array" ref="AE230">IFERROR(_xlfn.BYROW(TRACK_TYPES[[#This Row],[TRACK_TYPE_STANDARD_GAUGE_RAILTYPE_OHLE]:[TRACK_TYPE_STANDARD_GAUGE_RAILTYPE_NONE]],_xlfn.LAMBDA(_xlpm.r,OR(_xlpm.r))),FALSE)</f>
        <v>1</v>
      </c>
      <c r="AF230" s="38" t="b" cm="1">
        <f t="array" ref="AF230">IFERROR(_xlfn.BYROW(TRACK_TYPES[[#This Row],[TRACK_TYPE_NARROW_GAUGE_RAILTYPE_OHLE]:[TRACK_TYPE_NARROW_GAUGE_RAILTYPE_NONE]],_xlfn.LAMBDA(_xlpm.r,OR(_xlpm.r))),FALSE)</f>
        <v>0</v>
      </c>
      <c r="AG230" s="38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2867</v>
      </c>
      <c r="B231" s="40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8" t="b" cm="1">
        <f t="array" ref="AE231">IFERROR(_xlfn.BYROW(TRACK_TYPES[[#This Row],[TRACK_TYPE_STANDARD_GAUGE_RAILTYPE_OHLE]:[TRACK_TYPE_STANDARD_GAUGE_RAILTYPE_NONE]],_xlfn.LAMBDA(_xlpm.r,OR(_xlpm.r))),FALSE)</f>
        <v>1</v>
      </c>
      <c r="AF231" s="38" t="b" cm="1">
        <f t="array" ref="AF231">IFERROR(_xlfn.BYROW(TRACK_TYPES[[#This Row],[TRACK_TYPE_NARROW_GAUGE_RAILTYPE_OHLE]:[TRACK_TYPE_NARROW_GAUGE_RAILTYPE_NONE]],_xlfn.LAMBDA(_xlpm.r,OR(_xlpm.r))),FALSE)</f>
        <v>0</v>
      </c>
      <c r="AG231" s="38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2868</v>
      </c>
      <c r="B232" s="40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8" t="b" cm="1">
        <f t="array" ref="AE232">IFERROR(_xlfn.BYROW(TRACK_TYPES[[#This Row],[TRACK_TYPE_STANDARD_GAUGE_RAILTYPE_OHLE]:[TRACK_TYPE_STANDARD_GAUGE_RAILTYPE_NONE]],_xlfn.LAMBDA(_xlpm.r,OR(_xlpm.r))),FALSE)</f>
        <v>0</v>
      </c>
      <c r="AF232" s="38" t="b" cm="1">
        <f t="array" ref="AF232">IFERROR(_xlfn.BYROW(TRACK_TYPES[[#This Row],[TRACK_TYPE_NARROW_GAUGE_RAILTYPE_OHLE]:[TRACK_TYPE_NARROW_GAUGE_RAILTYPE_NONE]],_xlfn.LAMBDA(_xlpm.r,OR(_xlpm.r))),FALSE)</f>
        <v>0</v>
      </c>
      <c r="AG232" s="38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2869</v>
      </c>
      <c r="B233" s="40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8" t="b" cm="1">
        <f t="array" ref="AE233">IFERROR(_xlfn.BYROW(TRACK_TYPES[[#This Row],[TRACK_TYPE_STANDARD_GAUGE_RAILTYPE_OHLE]:[TRACK_TYPE_STANDARD_GAUGE_RAILTYPE_NONE]],_xlfn.LAMBDA(_xlpm.r,OR(_xlpm.r))),FALSE)</f>
        <v>1</v>
      </c>
      <c r="AF233" s="38" t="b" cm="1">
        <f t="array" ref="AF233">IFERROR(_xlfn.BYROW(TRACK_TYPES[[#This Row],[TRACK_TYPE_NARROW_GAUGE_RAILTYPE_OHLE]:[TRACK_TYPE_NARROW_GAUGE_RAILTYPE_NONE]],_xlfn.LAMBDA(_xlpm.r,OR(_xlpm.r))),FALSE)</f>
        <v>0</v>
      </c>
      <c r="AG233" s="38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2870</v>
      </c>
      <c r="B234" s="40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8" t="b" cm="1">
        <f t="array" ref="AE234">IFERROR(_xlfn.BYROW(TRACK_TYPES[[#This Row],[TRACK_TYPE_STANDARD_GAUGE_RAILTYPE_OHLE]:[TRACK_TYPE_STANDARD_GAUGE_RAILTYPE_NONE]],_xlfn.LAMBDA(_xlpm.r,OR(_xlpm.r))),FALSE)</f>
        <v>1</v>
      </c>
      <c r="AF234" s="38" t="b" cm="1">
        <f t="array" ref="AF234">IFERROR(_xlfn.BYROW(TRACK_TYPES[[#This Row],[TRACK_TYPE_NARROW_GAUGE_RAILTYPE_OHLE]:[TRACK_TYPE_NARROW_GAUGE_RAILTYPE_NONE]],_xlfn.LAMBDA(_xlpm.r,OR(_xlpm.r))),FALSE)</f>
        <v>0</v>
      </c>
      <c r="AG234" s="38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2871</v>
      </c>
      <c r="B235" s="40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8" t="b" cm="1">
        <f t="array" ref="AE235">IFERROR(_xlfn.BYROW(TRACK_TYPES[[#This Row],[TRACK_TYPE_STANDARD_GAUGE_RAILTYPE_OHLE]:[TRACK_TYPE_STANDARD_GAUGE_RAILTYPE_NONE]],_xlfn.LAMBDA(_xlpm.r,OR(_xlpm.r))),FALSE)</f>
        <v>0</v>
      </c>
      <c r="AF235" s="38" t="b" cm="1">
        <f t="array" ref="AF235">IFERROR(_xlfn.BYROW(TRACK_TYPES[[#This Row],[TRACK_TYPE_NARROW_GAUGE_RAILTYPE_OHLE]:[TRACK_TYPE_NARROW_GAUGE_RAILTYPE_NONE]],_xlfn.LAMBDA(_xlpm.r,OR(_xlpm.r))),FALSE)</f>
        <v>0</v>
      </c>
      <c r="AG235" s="38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2872</v>
      </c>
      <c r="B236" s="40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8" t="b" cm="1">
        <f t="array" ref="AE236">IFERROR(_xlfn.BYROW(TRACK_TYPES[[#This Row],[TRACK_TYPE_STANDARD_GAUGE_RAILTYPE_OHLE]:[TRACK_TYPE_STANDARD_GAUGE_RAILTYPE_NONE]],_xlfn.LAMBDA(_xlpm.r,OR(_xlpm.r))),FALSE)</f>
        <v>1</v>
      </c>
      <c r="AF236" s="38" t="b" cm="1">
        <f t="array" ref="AF236">IFERROR(_xlfn.BYROW(TRACK_TYPES[[#This Row],[TRACK_TYPE_NARROW_GAUGE_RAILTYPE_OHLE]:[TRACK_TYPE_NARROW_GAUGE_RAILTYPE_NONE]],_xlfn.LAMBDA(_xlpm.r,OR(_xlpm.r))),FALSE)</f>
        <v>0</v>
      </c>
      <c r="AG236" s="38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2873</v>
      </c>
      <c r="B237" s="40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8" t="b" cm="1">
        <f t="array" ref="AE237">IFERROR(_xlfn.BYROW(TRACK_TYPES[[#This Row],[TRACK_TYPE_STANDARD_GAUGE_RAILTYPE_OHLE]:[TRACK_TYPE_STANDARD_GAUGE_RAILTYPE_NONE]],_xlfn.LAMBDA(_xlpm.r,OR(_xlpm.r))),FALSE)</f>
        <v>1</v>
      </c>
      <c r="AF237" s="38" t="b" cm="1">
        <f t="array" ref="AF237">IFERROR(_xlfn.BYROW(TRACK_TYPES[[#This Row],[TRACK_TYPE_NARROW_GAUGE_RAILTYPE_OHLE]:[TRACK_TYPE_NARROW_GAUGE_RAILTYPE_NONE]],_xlfn.LAMBDA(_xlpm.r,OR(_xlpm.r))),FALSE)</f>
        <v>0</v>
      </c>
      <c r="AG237" s="38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2874</v>
      </c>
      <c r="B238" s="40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8" t="b" cm="1">
        <f t="array" ref="AE238">IFERROR(_xlfn.BYROW(TRACK_TYPES[[#This Row],[TRACK_TYPE_STANDARD_GAUGE_RAILTYPE_OHLE]:[TRACK_TYPE_STANDARD_GAUGE_RAILTYPE_NONE]],_xlfn.LAMBDA(_xlpm.r,OR(_xlpm.r))),FALSE)</f>
        <v>1</v>
      </c>
      <c r="AF238" s="38" t="b" cm="1">
        <f t="array" ref="AF238">IFERROR(_xlfn.BYROW(TRACK_TYPES[[#This Row],[TRACK_TYPE_NARROW_GAUGE_RAILTYPE_OHLE]:[TRACK_TYPE_NARROW_GAUGE_RAILTYPE_NONE]],_xlfn.LAMBDA(_xlpm.r,OR(_xlpm.r))),FALSE)</f>
        <v>0</v>
      </c>
      <c r="AG238" s="38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2875</v>
      </c>
      <c r="B239" s="40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8" t="b" cm="1">
        <f t="array" ref="AE239">IFERROR(_xlfn.BYROW(TRACK_TYPES[[#This Row],[TRACK_TYPE_STANDARD_GAUGE_RAILTYPE_OHLE]:[TRACK_TYPE_STANDARD_GAUGE_RAILTYPE_NONE]],_xlfn.LAMBDA(_xlpm.r,OR(_xlpm.r))),FALSE)</f>
        <v>1</v>
      </c>
      <c r="AF239" s="38" t="b" cm="1">
        <f t="array" ref="AF239">IFERROR(_xlfn.BYROW(TRACK_TYPES[[#This Row],[TRACK_TYPE_NARROW_GAUGE_RAILTYPE_OHLE]:[TRACK_TYPE_NARROW_GAUGE_RAILTYPE_NONE]],_xlfn.LAMBDA(_xlpm.r,OR(_xlpm.r))),FALSE)</f>
        <v>0</v>
      </c>
      <c r="AG239" s="38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2876</v>
      </c>
      <c r="B240" s="40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8" t="b" cm="1">
        <f t="array" ref="AE240">IFERROR(_xlfn.BYROW(TRACK_TYPES[[#This Row],[TRACK_TYPE_STANDARD_GAUGE_RAILTYPE_OHLE]:[TRACK_TYPE_STANDARD_GAUGE_RAILTYPE_NONE]],_xlfn.LAMBDA(_xlpm.r,OR(_xlpm.r))),FALSE)</f>
        <v>1</v>
      </c>
      <c r="AF240" s="38" t="b" cm="1">
        <f t="array" ref="AF240">IFERROR(_xlfn.BYROW(TRACK_TYPES[[#This Row],[TRACK_TYPE_NARROW_GAUGE_RAILTYPE_OHLE]:[TRACK_TYPE_NARROW_GAUGE_RAILTYPE_NONE]],_xlfn.LAMBDA(_xlpm.r,OR(_xlpm.r))),FALSE)</f>
        <v>0</v>
      </c>
      <c r="AG240" s="38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2877</v>
      </c>
      <c r="B241" s="40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8" t="b" cm="1">
        <f t="array" ref="AE241">IFERROR(_xlfn.BYROW(TRACK_TYPES[[#This Row],[TRACK_TYPE_STANDARD_GAUGE_RAILTYPE_OHLE]:[TRACK_TYPE_STANDARD_GAUGE_RAILTYPE_NONE]],_xlfn.LAMBDA(_xlpm.r,OR(_xlpm.r))),FALSE)</f>
        <v>0</v>
      </c>
      <c r="AF241" s="38" t="b" cm="1">
        <f t="array" ref="AF241">IFERROR(_xlfn.BYROW(TRACK_TYPES[[#This Row],[TRACK_TYPE_NARROW_GAUGE_RAILTYPE_OHLE]:[TRACK_TYPE_NARROW_GAUGE_RAILTYPE_NONE]],_xlfn.LAMBDA(_xlpm.r,OR(_xlpm.r))),FALSE)</f>
        <v>1</v>
      </c>
      <c r="AG241" s="38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2878</v>
      </c>
      <c r="B242" s="40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8" t="b" cm="1">
        <f t="array" ref="AE242">IFERROR(_xlfn.BYROW(TRACK_TYPES[[#This Row],[TRACK_TYPE_STANDARD_GAUGE_RAILTYPE_OHLE]:[TRACK_TYPE_STANDARD_GAUGE_RAILTYPE_NONE]],_xlfn.LAMBDA(_xlpm.r,OR(_xlpm.r))),FALSE)</f>
        <v>1</v>
      </c>
      <c r="AF242" s="38" t="b" cm="1">
        <f t="array" ref="AF242">IFERROR(_xlfn.BYROW(TRACK_TYPES[[#This Row],[TRACK_TYPE_NARROW_GAUGE_RAILTYPE_OHLE]:[TRACK_TYPE_NARROW_GAUGE_RAILTYPE_NONE]],_xlfn.LAMBDA(_xlpm.r,OR(_xlpm.r))),FALSE)</f>
        <v>0</v>
      </c>
      <c r="AG242" s="38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2879</v>
      </c>
      <c r="B243" s="40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8" t="b" cm="1">
        <f t="array" ref="AE243">IFERROR(_xlfn.BYROW(TRACK_TYPES[[#This Row],[TRACK_TYPE_STANDARD_GAUGE_RAILTYPE_OHLE]:[TRACK_TYPE_STANDARD_GAUGE_RAILTYPE_NONE]],_xlfn.LAMBDA(_xlpm.r,OR(_xlpm.r))),FALSE)</f>
        <v>1</v>
      </c>
      <c r="AF243" s="38" t="b" cm="1">
        <f t="array" ref="AF243">IFERROR(_xlfn.BYROW(TRACK_TYPES[[#This Row],[TRACK_TYPE_NARROW_GAUGE_RAILTYPE_OHLE]:[TRACK_TYPE_NARROW_GAUGE_RAILTYPE_NONE]],_xlfn.LAMBDA(_xlpm.r,OR(_xlpm.r))),FALSE)</f>
        <v>0</v>
      </c>
      <c r="AG243" s="38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2880</v>
      </c>
      <c r="B244" s="40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8" t="b" cm="1">
        <f t="array" ref="AE244">IFERROR(_xlfn.BYROW(TRACK_TYPES[[#This Row],[TRACK_TYPE_STANDARD_GAUGE_RAILTYPE_OHLE]:[TRACK_TYPE_STANDARD_GAUGE_RAILTYPE_NONE]],_xlfn.LAMBDA(_xlpm.r,OR(_xlpm.r))),FALSE)</f>
        <v>0</v>
      </c>
      <c r="AF244" s="38" t="b" cm="1">
        <f t="array" ref="AF244">IFERROR(_xlfn.BYROW(TRACK_TYPES[[#This Row],[TRACK_TYPE_NARROW_GAUGE_RAILTYPE_OHLE]:[TRACK_TYPE_NARROW_GAUGE_RAILTYPE_NONE]],_xlfn.LAMBDA(_xlpm.r,OR(_xlpm.r))),FALSE)</f>
        <v>0</v>
      </c>
      <c r="AG244" s="38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2881</v>
      </c>
      <c r="B245" s="40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8" t="b" cm="1">
        <f t="array" ref="AE245">IFERROR(_xlfn.BYROW(TRACK_TYPES[[#This Row],[TRACK_TYPE_STANDARD_GAUGE_RAILTYPE_OHLE]:[TRACK_TYPE_STANDARD_GAUGE_RAILTYPE_NONE]],_xlfn.LAMBDA(_xlpm.r,OR(_xlpm.r))),FALSE)</f>
        <v>1</v>
      </c>
      <c r="AF245" s="38" t="b" cm="1">
        <f t="array" ref="AF245">IFERROR(_xlfn.BYROW(TRACK_TYPES[[#This Row],[TRACK_TYPE_NARROW_GAUGE_RAILTYPE_OHLE]:[TRACK_TYPE_NARROW_GAUGE_RAILTYPE_NONE]],_xlfn.LAMBDA(_xlpm.r,OR(_xlpm.r))),FALSE)</f>
        <v>1</v>
      </c>
      <c r="AG245" s="38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2882</v>
      </c>
      <c r="B246" s="40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8" t="b" cm="1">
        <f t="array" ref="AE246">IFERROR(_xlfn.BYROW(TRACK_TYPES[[#This Row],[TRACK_TYPE_STANDARD_GAUGE_RAILTYPE_OHLE]:[TRACK_TYPE_STANDARD_GAUGE_RAILTYPE_NONE]],_xlfn.LAMBDA(_xlpm.r,OR(_xlpm.r))),FALSE)</f>
        <v>1</v>
      </c>
      <c r="AF246" s="38" t="b" cm="1">
        <f t="array" ref="AF246">IFERROR(_xlfn.BYROW(TRACK_TYPES[[#This Row],[TRACK_TYPE_NARROW_GAUGE_RAILTYPE_OHLE]:[TRACK_TYPE_NARROW_GAUGE_RAILTYPE_NONE]],_xlfn.LAMBDA(_xlpm.r,OR(_xlpm.r))),FALSE)</f>
        <v>0</v>
      </c>
      <c r="AG246" s="38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2883</v>
      </c>
      <c r="B247" s="40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8" t="b" cm="1">
        <f t="array" ref="AE247">IFERROR(_xlfn.BYROW(TRACK_TYPES[[#This Row],[TRACK_TYPE_STANDARD_GAUGE_RAILTYPE_OHLE]:[TRACK_TYPE_STANDARD_GAUGE_RAILTYPE_NONE]],_xlfn.LAMBDA(_xlpm.r,OR(_xlpm.r))),FALSE)</f>
        <v>0</v>
      </c>
      <c r="AF247" s="38" t="b" cm="1">
        <f t="array" ref="AF247">IFERROR(_xlfn.BYROW(TRACK_TYPES[[#This Row],[TRACK_TYPE_NARROW_GAUGE_RAILTYPE_OHLE]:[TRACK_TYPE_NARROW_GAUGE_RAILTYPE_NONE]],_xlfn.LAMBDA(_xlpm.r,OR(_xlpm.r))),FALSE)</f>
        <v>0</v>
      </c>
      <c r="AG247" s="38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2884</v>
      </c>
      <c r="B248" s="40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8" t="b" cm="1">
        <f t="array" ref="AE248">IFERROR(_xlfn.BYROW(TRACK_TYPES[[#This Row],[TRACK_TYPE_STANDARD_GAUGE_RAILTYPE_OHLE]:[TRACK_TYPE_STANDARD_GAUGE_RAILTYPE_NONE]],_xlfn.LAMBDA(_xlpm.r,OR(_xlpm.r))),FALSE)</f>
        <v>1</v>
      </c>
      <c r="AF248" s="38" t="b" cm="1">
        <f t="array" ref="AF248">IFERROR(_xlfn.BYROW(TRACK_TYPES[[#This Row],[TRACK_TYPE_NARROW_GAUGE_RAILTYPE_OHLE]:[TRACK_TYPE_NARROW_GAUGE_RAILTYPE_NONE]],_xlfn.LAMBDA(_xlpm.r,OR(_xlpm.r))),FALSE)</f>
        <v>1</v>
      </c>
      <c r="AG248" s="38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2885</v>
      </c>
      <c r="B249" s="40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8" t="b" cm="1">
        <f t="array" ref="AE249">IFERROR(_xlfn.BYROW(TRACK_TYPES[[#This Row],[TRACK_TYPE_STANDARD_GAUGE_RAILTYPE_OHLE]:[TRACK_TYPE_STANDARD_GAUGE_RAILTYPE_NONE]],_xlfn.LAMBDA(_xlpm.r,OR(_xlpm.r))),FALSE)</f>
        <v>0</v>
      </c>
      <c r="AF249" s="38" t="b" cm="1">
        <f t="array" ref="AF249">IFERROR(_xlfn.BYROW(TRACK_TYPES[[#This Row],[TRACK_TYPE_NARROW_GAUGE_RAILTYPE_OHLE]:[TRACK_TYPE_NARROW_GAUGE_RAILTYPE_NONE]],_xlfn.LAMBDA(_xlpm.r,OR(_xlpm.r))),FALSE)</f>
        <v>0</v>
      </c>
      <c r="AG249" s="38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2886</v>
      </c>
      <c r="B250" s="40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8" t="b" cm="1">
        <f t="array" ref="AE250">IFERROR(_xlfn.BYROW(TRACK_TYPES[[#This Row],[TRACK_TYPE_STANDARD_GAUGE_RAILTYPE_OHLE]:[TRACK_TYPE_STANDARD_GAUGE_RAILTYPE_NONE]],_xlfn.LAMBDA(_xlpm.r,OR(_xlpm.r))),FALSE)</f>
        <v>1</v>
      </c>
      <c r="AF250" s="38" t="b" cm="1">
        <f t="array" ref="AF250">IFERROR(_xlfn.BYROW(TRACK_TYPES[[#This Row],[TRACK_TYPE_NARROW_GAUGE_RAILTYPE_OHLE]:[TRACK_TYPE_NARROW_GAUGE_RAILTYPE_NONE]],_xlfn.LAMBDA(_xlpm.r,OR(_xlpm.r))),FALSE)</f>
        <v>0</v>
      </c>
      <c r="AG250" s="38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2887</v>
      </c>
      <c r="B251" s="40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8" t="b" cm="1">
        <f t="array" ref="AE251">IFERROR(_xlfn.BYROW(TRACK_TYPES[[#This Row],[TRACK_TYPE_STANDARD_GAUGE_RAILTYPE_OHLE]:[TRACK_TYPE_STANDARD_GAUGE_RAILTYPE_NONE]],_xlfn.LAMBDA(_xlpm.r,OR(_xlpm.r))),FALSE)</f>
        <v>1</v>
      </c>
      <c r="AF251" s="38" t="b" cm="1">
        <f t="array" ref="AF251">IFERROR(_xlfn.BYROW(TRACK_TYPES[[#This Row],[TRACK_TYPE_NARROW_GAUGE_RAILTYPE_OHLE]:[TRACK_TYPE_NARROW_GAUGE_RAILTYPE_NONE]],_xlfn.LAMBDA(_xlpm.r,OR(_xlpm.r))),FALSE)</f>
        <v>0</v>
      </c>
      <c r="AG251" s="38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2888</v>
      </c>
      <c r="B252" s="40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8" t="b" cm="1">
        <f t="array" ref="AE252">IFERROR(_xlfn.BYROW(TRACK_TYPES[[#This Row],[TRACK_TYPE_STANDARD_GAUGE_RAILTYPE_OHLE]:[TRACK_TYPE_STANDARD_GAUGE_RAILTYPE_NONE]],_xlfn.LAMBDA(_xlpm.r,OR(_xlpm.r))),FALSE)</f>
        <v>0</v>
      </c>
      <c r="AF252" s="38" t="b" cm="1">
        <f t="array" ref="AF252">IFERROR(_xlfn.BYROW(TRACK_TYPES[[#This Row],[TRACK_TYPE_NARROW_GAUGE_RAILTYPE_OHLE]:[TRACK_TYPE_NARROW_GAUGE_RAILTYPE_NONE]],_xlfn.LAMBDA(_xlpm.r,OR(_xlpm.r))),FALSE)</f>
        <v>1</v>
      </c>
      <c r="AG252" s="38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2889</v>
      </c>
      <c r="B253" s="40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8" t="b" cm="1">
        <f t="array" ref="AE253">IFERROR(_xlfn.BYROW(TRACK_TYPES[[#This Row],[TRACK_TYPE_STANDARD_GAUGE_RAILTYPE_OHLE]:[TRACK_TYPE_STANDARD_GAUGE_RAILTYPE_NONE]],_xlfn.LAMBDA(_xlpm.r,OR(_xlpm.r))),FALSE)</f>
        <v>1</v>
      </c>
      <c r="AF253" s="38" t="b" cm="1">
        <f t="array" ref="AF253">IFERROR(_xlfn.BYROW(TRACK_TYPES[[#This Row],[TRACK_TYPE_NARROW_GAUGE_RAILTYPE_OHLE]:[TRACK_TYPE_NARROW_GAUGE_RAILTYPE_NONE]],_xlfn.LAMBDA(_xlpm.r,OR(_xlpm.r))),FALSE)</f>
        <v>0</v>
      </c>
      <c r="AG253" s="38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2890</v>
      </c>
      <c r="B254" s="40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8" t="b" cm="1">
        <f t="array" ref="AE254">IFERROR(_xlfn.BYROW(TRACK_TYPES[[#This Row],[TRACK_TYPE_STANDARD_GAUGE_RAILTYPE_OHLE]:[TRACK_TYPE_STANDARD_GAUGE_RAILTYPE_NONE]],_xlfn.LAMBDA(_xlpm.r,OR(_xlpm.r))),FALSE)</f>
        <v>1</v>
      </c>
      <c r="AF254" s="38" t="b" cm="1">
        <f t="array" ref="AF254">IFERROR(_xlfn.BYROW(TRACK_TYPES[[#This Row],[TRACK_TYPE_NARROW_GAUGE_RAILTYPE_OHLE]:[TRACK_TYPE_NARROW_GAUGE_RAILTYPE_NONE]],_xlfn.LAMBDA(_xlpm.r,OR(_xlpm.r))),FALSE)</f>
        <v>0</v>
      </c>
      <c r="AG254" s="38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2891</v>
      </c>
      <c r="B255" s="40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8" t="b" cm="1">
        <f t="array" ref="AE255">IFERROR(_xlfn.BYROW(TRACK_TYPES[[#This Row],[TRACK_TYPE_STANDARD_GAUGE_RAILTYPE_OHLE]:[TRACK_TYPE_STANDARD_GAUGE_RAILTYPE_NONE]],_xlfn.LAMBDA(_xlpm.r,OR(_xlpm.r))),FALSE)</f>
        <v>1</v>
      </c>
      <c r="AF255" s="38" t="b" cm="1">
        <f t="array" ref="AF255">IFERROR(_xlfn.BYROW(TRACK_TYPES[[#This Row],[TRACK_TYPE_NARROW_GAUGE_RAILTYPE_OHLE]:[TRACK_TYPE_NARROW_GAUGE_RAILTYPE_NONE]],_xlfn.LAMBDA(_xlpm.r,OR(_xlpm.r))),FALSE)</f>
        <v>0</v>
      </c>
      <c r="AG255" s="38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2892</v>
      </c>
      <c r="B256" s="40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8" t="b" cm="1">
        <f t="array" ref="AE256">IFERROR(_xlfn.BYROW(TRACK_TYPES[[#This Row],[TRACK_TYPE_STANDARD_GAUGE_RAILTYPE_OHLE]:[TRACK_TYPE_STANDARD_GAUGE_RAILTYPE_NONE]],_xlfn.LAMBDA(_xlpm.r,OR(_xlpm.r))),FALSE)</f>
        <v>1</v>
      </c>
      <c r="AF256" s="38" t="b" cm="1">
        <f t="array" ref="AF256">IFERROR(_xlfn.BYROW(TRACK_TYPES[[#This Row],[TRACK_TYPE_NARROW_GAUGE_RAILTYPE_OHLE]:[TRACK_TYPE_NARROW_GAUGE_RAILTYPE_NONE]],_xlfn.LAMBDA(_xlpm.r,OR(_xlpm.r))),FALSE)</f>
        <v>0</v>
      </c>
      <c r="AG256" s="38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3451</v>
      </c>
      <c r="B257" s="40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8" t="b" cm="1">
        <f t="array" ref="AE257">IFERROR(_xlfn.BYROW(TRACK_TYPES[[#This Row],[TRACK_TYPE_STANDARD_GAUGE_RAILTYPE_OHLE]:[TRACK_TYPE_STANDARD_GAUGE_RAILTYPE_NONE]],_xlfn.LAMBDA(_xlpm.r,OR(_xlpm.r))),FALSE)</f>
        <v>1</v>
      </c>
      <c r="AF257" s="38" t="b" cm="1">
        <f t="array" ref="AF257">IFERROR(_xlfn.BYROW(TRACK_TYPES[[#This Row],[TRACK_TYPE_NARROW_GAUGE_RAILTYPE_OHLE]:[TRACK_TYPE_NARROW_GAUGE_RAILTYPE_NONE]],_xlfn.LAMBDA(_xlpm.r,OR(_xlpm.r))),FALSE)</f>
        <v>0</v>
      </c>
      <c r="AG257" s="38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2893</v>
      </c>
      <c r="B258" s="40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8" t="b" cm="1">
        <f t="array" ref="AE258">IFERROR(_xlfn.BYROW(TRACK_TYPES[[#This Row],[TRACK_TYPE_STANDARD_GAUGE_RAILTYPE_OHLE]:[TRACK_TYPE_STANDARD_GAUGE_RAILTYPE_NONE]],_xlfn.LAMBDA(_xlpm.r,OR(_xlpm.r))),FALSE)</f>
        <v>1</v>
      </c>
      <c r="AF258" s="38" t="b" cm="1">
        <f t="array" ref="AF258">IFERROR(_xlfn.BYROW(TRACK_TYPES[[#This Row],[TRACK_TYPE_NARROW_GAUGE_RAILTYPE_OHLE]:[TRACK_TYPE_NARROW_GAUGE_RAILTYPE_NONE]],_xlfn.LAMBDA(_xlpm.r,OR(_xlpm.r))),FALSE)</f>
        <v>0</v>
      </c>
      <c r="AG258" s="38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2894</v>
      </c>
      <c r="B259" s="40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8" t="b" cm="1">
        <f t="array" ref="AE259">IFERROR(_xlfn.BYROW(TRACK_TYPES[[#This Row],[TRACK_TYPE_STANDARD_GAUGE_RAILTYPE_OHLE]:[TRACK_TYPE_STANDARD_GAUGE_RAILTYPE_NONE]],_xlfn.LAMBDA(_xlpm.r,OR(_xlpm.r))),FALSE)</f>
        <v>0</v>
      </c>
      <c r="AF259" s="38" t="b" cm="1">
        <f t="array" ref="AF259">IFERROR(_xlfn.BYROW(TRACK_TYPES[[#This Row],[TRACK_TYPE_NARROW_GAUGE_RAILTYPE_OHLE]:[TRACK_TYPE_NARROW_GAUGE_RAILTYPE_NONE]],_xlfn.LAMBDA(_xlpm.r,OR(_xlpm.r))),FALSE)</f>
        <v>1</v>
      </c>
      <c r="AG259" s="38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2895</v>
      </c>
      <c r="B260" s="40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8" t="b" cm="1">
        <f t="array" ref="AE260">IFERROR(_xlfn.BYROW(TRACK_TYPES[[#This Row],[TRACK_TYPE_STANDARD_GAUGE_RAILTYPE_OHLE]:[TRACK_TYPE_STANDARD_GAUGE_RAILTYPE_NONE]],_xlfn.LAMBDA(_xlpm.r,OR(_xlpm.r))),FALSE)</f>
        <v>0</v>
      </c>
      <c r="AF260" s="38" t="b" cm="1">
        <f t="array" ref="AF260">IFERROR(_xlfn.BYROW(TRACK_TYPES[[#This Row],[TRACK_TYPE_NARROW_GAUGE_RAILTYPE_OHLE]:[TRACK_TYPE_NARROW_GAUGE_RAILTYPE_NONE]],_xlfn.LAMBDA(_xlpm.r,OR(_xlpm.r))),FALSE)</f>
        <v>0</v>
      </c>
      <c r="AG260" s="38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2896</v>
      </c>
      <c r="B261" s="40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8" t="b" cm="1">
        <f t="array" ref="AE261">IFERROR(_xlfn.BYROW(TRACK_TYPES[[#This Row],[TRACK_TYPE_STANDARD_GAUGE_RAILTYPE_OHLE]:[TRACK_TYPE_STANDARD_GAUGE_RAILTYPE_NONE]],_xlfn.LAMBDA(_xlpm.r,OR(_xlpm.r))),FALSE)</f>
        <v>0</v>
      </c>
      <c r="AF261" s="38" t="b" cm="1">
        <f t="array" ref="AF261">IFERROR(_xlfn.BYROW(TRACK_TYPES[[#This Row],[TRACK_TYPE_NARROW_GAUGE_RAILTYPE_OHLE]:[TRACK_TYPE_NARROW_GAUGE_RAILTYPE_NONE]],_xlfn.LAMBDA(_xlpm.r,OR(_xlpm.r))),FALSE)</f>
        <v>0</v>
      </c>
      <c r="AG261" s="38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2897</v>
      </c>
      <c r="B262" s="40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8" t="b" cm="1">
        <f t="array" ref="AE262">IFERROR(_xlfn.BYROW(TRACK_TYPES[[#This Row],[TRACK_TYPE_STANDARD_GAUGE_RAILTYPE_OHLE]:[TRACK_TYPE_STANDARD_GAUGE_RAILTYPE_NONE]],_xlfn.LAMBDA(_xlpm.r,OR(_xlpm.r))),FALSE)</f>
        <v>1</v>
      </c>
      <c r="AF262" s="38" t="b" cm="1">
        <f t="array" ref="AF262">IFERROR(_xlfn.BYROW(TRACK_TYPES[[#This Row],[TRACK_TYPE_NARROW_GAUGE_RAILTYPE_OHLE]:[TRACK_TYPE_NARROW_GAUGE_RAILTYPE_NONE]],_xlfn.LAMBDA(_xlpm.r,OR(_xlpm.r))),FALSE)</f>
        <v>0</v>
      </c>
      <c r="AG262" s="38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2898</v>
      </c>
      <c r="B263" s="40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8" t="b" cm="1">
        <f t="array" ref="AE263">IFERROR(_xlfn.BYROW(TRACK_TYPES[[#This Row],[TRACK_TYPE_STANDARD_GAUGE_RAILTYPE_OHLE]:[TRACK_TYPE_STANDARD_GAUGE_RAILTYPE_NONE]],_xlfn.LAMBDA(_xlpm.r,OR(_xlpm.r))),FALSE)</f>
        <v>1</v>
      </c>
      <c r="AF263" s="38" t="b" cm="1">
        <f t="array" ref="AF263">IFERROR(_xlfn.BYROW(TRACK_TYPES[[#This Row],[TRACK_TYPE_NARROW_GAUGE_RAILTYPE_OHLE]:[TRACK_TYPE_NARROW_GAUGE_RAILTYPE_NONE]],_xlfn.LAMBDA(_xlpm.r,OR(_xlpm.r))),FALSE)</f>
        <v>0</v>
      </c>
      <c r="AG263" s="38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2899</v>
      </c>
      <c r="B264" s="40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8" t="b" cm="1">
        <f t="array" ref="AE264">IFERROR(_xlfn.BYROW(TRACK_TYPES[[#This Row],[TRACK_TYPE_STANDARD_GAUGE_RAILTYPE_OHLE]:[TRACK_TYPE_STANDARD_GAUGE_RAILTYPE_NONE]],_xlfn.LAMBDA(_xlpm.r,OR(_xlpm.r))),FALSE)</f>
        <v>1</v>
      </c>
      <c r="AF264" s="38" t="b" cm="1">
        <f t="array" ref="AF264">IFERROR(_xlfn.BYROW(TRACK_TYPES[[#This Row],[TRACK_TYPE_NARROW_GAUGE_RAILTYPE_OHLE]:[TRACK_TYPE_NARROW_GAUGE_RAILTYPE_NONE]],_xlfn.LAMBDA(_xlpm.r,OR(_xlpm.r))),FALSE)</f>
        <v>0</v>
      </c>
      <c r="AG264" s="38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2900</v>
      </c>
      <c r="B265" s="40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8" t="b" cm="1">
        <f t="array" ref="AE265">IFERROR(_xlfn.BYROW(TRACK_TYPES[[#This Row],[TRACK_TYPE_STANDARD_GAUGE_RAILTYPE_OHLE]:[TRACK_TYPE_STANDARD_GAUGE_RAILTYPE_NONE]],_xlfn.LAMBDA(_xlpm.r,OR(_xlpm.r))),FALSE)</f>
        <v>1</v>
      </c>
      <c r="AF265" s="38" t="b" cm="1">
        <f t="array" ref="AF265">IFERROR(_xlfn.BYROW(TRACK_TYPES[[#This Row],[TRACK_TYPE_NARROW_GAUGE_RAILTYPE_OHLE]:[TRACK_TYPE_NARROW_GAUGE_RAILTYPE_NONE]],_xlfn.LAMBDA(_xlpm.r,OR(_xlpm.r))),FALSE)</f>
        <v>0</v>
      </c>
      <c r="AG265" s="38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3470</v>
      </c>
      <c r="B266" s="40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8" t="b" cm="1">
        <f t="array" ref="AE266">IFERROR(_xlfn.BYROW(TRACK_TYPES[[#This Row],[TRACK_TYPE_STANDARD_GAUGE_RAILTYPE_OHLE]:[TRACK_TYPE_STANDARD_GAUGE_RAILTYPE_NONE]],_xlfn.LAMBDA(_xlpm.r,OR(_xlpm.r))),FALSE)</f>
        <v>0</v>
      </c>
      <c r="AF266" s="38" t="b" cm="1">
        <f t="array" ref="AF266">IFERROR(_xlfn.BYROW(TRACK_TYPES[[#This Row],[TRACK_TYPE_NARROW_GAUGE_RAILTYPE_OHLE]:[TRACK_TYPE_NARROW_GAUGE_RAILTYPE_NONE]],_xlfn.LAMBDA(_xlpm.r,OR(_xlpm.r))),FALSE)</f>
        <v>0</v>
      </c>
      <c r="AG266" s="38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2901</v>
      </c>
      <c r="B267" s="40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8" t="b" cm="1">
        <f t="array" ref="AE267">IFERROR(_xlfn.BYROW(TRACK_TYPES[[#This Row],[TRACK_TYPE_STANDARD_GAUGE_RAILTYPE_OHLE]:[TRACK_TYPE_STANDARD_GAUGE_RAILTYPE_NONE]],_xlfn.LAMBDA(_xlpm.r,OR(_xlpm.r))),FALSE)</f>
        <v>0</v>
      </c>
      <c r="AF267" s="38" t="b" cm="1">
        <f t="array" ref="AF267">IFERROR(_xlfn.BYROW(TRACK_TYPES[[#This Row],[TRACK_TYPE_NARROW_GAUGE_RAILTYPE_OHLE]:[TRACK_TYPE_NARROW_GAUGE_RAILTYPE_NONE]],_xlfn.LAMBDA(_xlpm.r,OR(_xlpm.r))),FALSE)</f>
        <v>1</v>
      </c>
      <c r="AG267" s="38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2902</v>
      </c>
      <c r="B268" s="40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8" t="b" cm="1">
        <f t="array" ref="AE268">IFERROR(_xlfn.BYROW(TRACK_TYPES[[#This Row],[TRACK_TYPE_STANDARD_GAUGE_RAILTYPE_OHLE]:[TRACK_TYPE_STANDARD_GAUGE_RAILTYPE_NONE]],_xlfn.LAMBDA(_xlpm.r,OR(_xlpm.r))),FALSE)</f>
        <v>0</v>
      </c>
      <c r="AF268" s="38" t="b" cm="1">
        <f t="array" ref="AF268">IFERROR(_xlfn.BYROW(TRACK_TYPES[[#This Row],[TRACK_TYPE_NARROW_GAUGE_RAILTYPE_OHLE]:[TRACK_TYPE_NARROW_GAUGE_RAILTYPE_NONE]],_xlfn.LAMBDA(_xlpm.r,OR(_xlpm.r))),FALSE)</f>
        <v>0</v>
      </c>
      <c r="AG268" s="38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2903</v>
      </c>
      <c r="B269" s="40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8" t="b" cm="1">
        <f t="array" ref="AE269">IFERROR(_xlfn.BYROW(TRACK_TYPES[[#This Row],[TRACK_TYPE_STANDARD_GAUGE_RAILTYPE_OHLE]:[TRACK_TYPE_STANDARD_GAUGE_RAILTYPE_NONE]],_xlfn.LAMBDA(_xlpm.r,OR(_xlpm.r))),FALSE)</f>
        <v>0</v>
      </c>
      <c r="AF269" s="38" t="b" cm="1">
        <f t="array" ref="AF269">IFERROR(_xlfn.BYROW(TRACK_TYPES[[#This Row],[TRACK_TYPE_NARROW_GAUGE_RAILTYPE_OHLE]:[TRACK_TYPE_NARROW_GAUGE_RAILTYPE_NONE]],_xlfn.LAMBDA(_xlpm.r,OR(_xlpm.r))),FALSE)</f>
        <v>1</v>
      </c>
      <c r="AG269" s="38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2904</v>
      </c>
      <c r="B270" s="40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8" t="b" cm="1">
        <f t="array" ref="AE270">IFERROR(_xlfn.BYROW(TRACK_TYPES[[#This Row],[TRACK_TYPE_STANDARD_GAUGE_RAILTYPE_OHLE]:[TRACK_TYPE_STANDARD_GAUGE_RAILTYPE_NONE]],_xlfn.LAMBDA(_xlpm.r,OR(_xlpm.r))),FALSE)</f>
        <v>1</v>
      </c>
      <c r="AF270" s="38" t="b" cm="1">
        <f t="array" ref="AF270">IFERROR(_xlfn.BYROW(TRACK_TYPES[[#This Row],[TRACK_TYPE_NARROW_GAUGE_RAILTYPE_OHLE]:[TRACK_TYPE_NARROW_GAUGE_RAILTYPE_NONE]],_xlfn.LAMBDA(_xlpm.r,OR(_xlpm.r))),FALSE)</f>
        <v>1</v>
      </c>
      <c r="AG270" s="38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2905</v>
      </c>
      <c r="B271" s="40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8" t="b" cm="1">
        <f t="array" ref="AE271">IFERROR(_xlfn.BYROW(TRACK_TYPES[[#This Row],[TRACK_TYPE_STANDARD_GAUGE_RAILTYPE_OHLE]:[TRACK_TYPE_STANDARD_GAUGE_RAILTYPE_NONE]],_xlfn.LAMBDA(_xlpm.r,OR(_xlpm.r))),FALSE)</f>
        <v>1</v>
      </c>
      <c r="AF271" s="38" t="b" cm="1">
        <f t="array" ref="AF271">IFERROR(_xlfn.BYROW(TRACK_TYPES[[#This Row],[TRACK_TYPE_NARROW_GAUGE_RAILTYPE_OHLE]:[TRACK_TYPE_NARROW_GAUGE_RAILTYPE_NONE]],_xlfn.LAMBDA(_xlpm.r,OR(_xlpm.r))),FALSE)</f>
        <v>1</v>
      </c>
      <c r="AG271" s="38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2906</v>
      </c>
      <c r="B272" s="40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8" t="b" cm="1">
        <f t="array" ref="AE272">IFERROR(_xlfn.BYROW(TRACK_TYPES[[#This Row],[TRACK_TYPE_STANDARD_GAUGE_RAILTYPE_OHLE]:[TRACK_TYPE_STANDARD_GAUGE_RAILTYPE_NONE]],_xlfn.LAMBDA(_xlpm.r,OR(_xlpm.r))),FALSE)</f>
        <v>0</v>
      </c>
      <c r="AF272" s="38" t="b" cm="1">
        <f t="array" ref="AF272">IFERROR(_xlfn.BYROW(TRACK_TYPES[[#This Row],[TRACK_TYPE_NARROW_GAUGE_RAILTYPE_OHLE]:[TRACK_TYPE_NARROW_GAUGE_RAILTYPE_NONE]],_xlfn.LAMBDA(_xlpm.r,OR(_xlpm.r))),FALSE)</f>
        <v>1</v>
      </c>
      <c r="AG272" s="38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2907</v>
      </c>
      <c r="B273" s="40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8" t="b" cm="1">
        <f t="array" ref="AE273">IFERROR(_xlfn.BYROW(TRACK_TYPES[[#This Row],[TRACK_TYPE_STANDARD_GAUGE_RAILTYPE_OHLE]:[TRACK_TYPE_STANDARD_GAUGE_RAILTYPE_NONE]],_xlfn.LAMBDA(_xlpm.r,OR(_xlpm.r))),FALSE)</f>
        <v>1</v>
      </c>
      <c r="AF273" s="38" t="b" cm="1">
        <f t="array" ref="AF273">IFERROR(_xlfn.BYROW(TRACK_TYPES[[#This Row],[TRACK_TYPE_NARROW_GAUGE_RAILTYPE_OHLE]:[TRACK_TYPE_NARROW_GAUGE_RAILTYPE_NONE]],_xlfn.LAMBDA(_xlpm.r,OR(_xlpm.r))),FALSE)</f>
        <v>0</v>
      </c>
      <c r="AG273" s="38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2908</v>
      </c>
      <c r="B274" s="40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8" t="b" cm="1">
        <f t="array" ref="AE274">IFERROR(_xlfn.BYROW(TRACK_TYPES[[#This Row],[TRACK_TYPE_STANDARD_GAUGE_RAILTYPE_OHLE]:[TRACK_TYPE_STANDARD_GAUGE_RAILTYPE_NONE]],_xlfn.LAMBDA(_xlpm.r,OR(_xlpm.r))),FALSE)</f>
        <v>0</v>
      </c>
      <c r="AF274" s="38" t="b" cm="1">
        <f t="array" ref="AF274">IFERROR(_xlfn.BYROW(TRACK_TYPES[[#This Row],[TRACK_TYPE_NARROW_GAUGE_RAILTYPE_OHLE]:[TRACK_TYPE_NARROW_GAUGE_RAILTYPE_NONE]],_xlfn.LAMBDA(_xlpm.r,OR(_xlpm.r))),FALSE)</f>
        <v>0</v>
      </c>
      <c r="AG274" s="38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2909</v>
      </c>
      <c r="B275" s="40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8" t="b" cm="1">
        <f t="array" ref="AE275">IFERROR(_xlfn.BYROW(TRACK_TYPES[[#This Row],[TRACK_TYPE_STANDARD_GAUGE_RAILTYPE_OHLE]:[TRACK_TYPE_STANDARD_GAUGE_RAILTYPE_NONE]],_xlfn.LAMBDA(_xlpm.r,OR(_xlpm.r))),FALSE)</f>
        <v>0</v>
      </c>
      <c r="AF275" s="38" t="b" cm="1">
        <f t="array" ref="AF275">IFERROR(_xlfn.BYROW(TRACK_TYPES[[#This Row],[TRACK_TYPE_NARROW_GAUGE_RAILTYPE_OHLE]:[TRACK_TYPE_NARROW_GAUGE_RAILTYPE_NONE]],_xlfn.LAMBDA(_xlpm.r,OR(_xlpm.r))),FALSE)</f>
        <v>0</v>
      </c>
      <c r="AG275" s="38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2910</v>
      </c>
      <c r="B276" s="40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8" t="b" cm="1">
        <f t="array" ref="AE276">IFERROR(_xlfn.BYROW(TRACK_TYPES[[#This Row],[TRACK_TYPE_STANDARD_GAUGE_RAILTYPE_OHLE]:[TRACK_TYPE_STANDARD_GAUGE_RAILTYPE_NONE]],_xlfn.LAMBDA(_xlpm.r,OR(_xlpm.r))),FALSE)</f>
        <v>0</v>
      </c>
      <c r="AF276" s="38" t="b" cm="1">
        <f t="array" ref="AF276">IFERROR(_xlfn.BYROW(TRACK_TYPES[[#This Row],[TRACK_TYPE_NARROW_GAUGE_RAILTYPE_OHLE]:[TRACK_TYPE_NARROW_GAUGE_RAILTYPE_NONE]],_xlfn.LAMBDA(_xlpm.r,OR(_xlpm.r))),FALSE)</f>
        <v>1</v>
      </c>
      <c r="AG276" s="38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2911</v>
      </c>
      <c r="B277" s="40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8" t="b" cm="1">
        <f t="array" ref="AE277">IFERROR(_xlfn.BYROW(TRACK_TYPES[[#This Row],[TRACK_TYPE_STANDARD_GAUGE_RAILTYPE_OHLE]:[TRACK_TYPE_STANDARD_GAUGE_RAILTYPE_NONE]],_xlfn.LAMBDA(_xlpm.r,OR(_xlpm.r))),FALSE)</f>
        <v>1</v>
      </c>
      <c r="AF277" s="38" t="b" cm="1">
        <f t="array" ref="AF277">IFERROR(_xlfn.BYROW(TRACK_TYPES[[#This Row],[TRACK_TYPE_NARROW_GAUGE_RAILTYPE_OHLE]:[TRACK_TYPE_NARROW_GAUGE_RAILTYPE_NONE]],_xlfn.LAMBDA(_xlpm.r,OR(_xlpm.r))),FALSE)</f>
        <v>1</v>
      </c>
      <c r="AG277" s="38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2912</v>
      </c>
      <c r="B278" s="40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8" t="b" cm="1">
        <f t="array" ref="AE278">IFERROR(_xlfn.BYROW(TRACK_TYPES[[#This Row],[TRACK_TYPE_STANDARD_GAUGE_RAILTYPE_OHLE]:[TRACK_TYPE_STANDARD_GAUGE_RAILTYPE_NONE]],_xlfn.LAMBDA(_xlpm.r,OR(_xlpm.r))),FALSE)</f>
        <v>1</v>
      </c>
      <c r="AF278" s="38" t="b" cm="1">
        <f t="array" ref="AF278">IFERROR(_xlfn.BYROW(TRACK_TYPES[[#This Row],[TRACK_TYPE_NARROW_GAUGE_RAILTYPE_OHLE]:[TRACK_TYPE_NARROW_GAUGE_RAILTYPE_NONE]],_xlfn.LAMBDA(_xlpm.r,OR(_xlpm.r))),FALSE)</f>
        <v>0</v>
      </c>
      <c r="AG278" s="38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2913</v>
      </c>
      <c r="B279" s="40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8" t="b" cm="1">
        <f t="array" ref="AE279">IFERROR(_xlfn.BYROW(TRACK_TYPES[[#This Row],[TRACK_TYPE_STANDARD_GAUGE_RAILTYPE_OHLE]:[TRACK_TYPE_STANDARD_GAUGE_RAILTYPE_NONE]],_xlfn.LAMBDA(_xlpm.r,OR(_xlpm.r))),FALSE)</f>
        <v>1</v>
      </c>
      <c r="AF279" s="38" t="b" cm="1">
        <f t="array" ref="AF279">IFERROR(_xlfn.BYROW(TRACK_TYPES[[#This Row],[TRACK_TYPE_NARROW_GAUGE_RAILTYPE_OHLE]:[TRACK_TYPE_NARROW_GAUGE_RAILTYPE_NONE]],_xlfn.LAMBDA(_xlpm.r,OR(_xlpm.r))),FALSE)</f>
        <v>0</v>
      </c>
      <c r="AG279" s="38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2914</v>
      </c>
      <c r="B280" s="40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8" t="b" cm="1">
        <f t="array" ref="AE280">IFERROR(_xlfn.BYROW(TRACK_TYPES[[#This Row],[TRACK_TYPE_STANDARD_GAUGE_RAILTYPE_OHLE]:[TRACK_TYPE_STANDARD_GAUGE_RAILTYPE_NONE]],_xlfn.LAMBDA(_xlpm.r,OR(_xlpm.r))),FALSE)</f>
        <v>1</v>
      </c>
      <c r="AF280" s="38" t="b" cm="1">
        <f t="array" ref="AF280">IFERROR(_xlfn.BYROW(TRACK_TYPES[[#This Row],[TRACK_TYPE_NARROW_GAUGE_RAILTYPE_OHLE]:[TRACK_TYPE_NARROW_GAUGE_RAILTYPE_NONE]],_xlfn.LAMBDA(_xlpm.r,OR(_xlpm.r))),FALSE)</f>
        <v>1</v>
      </c>
      <c r="AG280" s="38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2915</v>
      </c>
      <c r="B281" s="40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8" t="b" cm="1">
        <f t="array" ref="AE281">IFERROR(_xlfn.BYROW(TRACK_TYPES[[#This Row],[TRACK_TYPE_STANDARD_GAUGE_RAILTYPE_OHLE]:[TRACK_TYPE_STANDARD_GAUGE_RAILTYPE_NONE]],_xlfn.LAMBDA(_xlpm.r,OR(_xlpm.r))),FALSE)</f>
        <v>1</v>
      </c>
      <c r="AF281" s="38" t="b" cm="1">
        <f t="array" ref="AF281">IFERROR(_xlfn.BYROW(TRACK_TYPES[[#This Row],[TRACK_TYPE_NARROW_GAUGE_RAILTYPE_OHLE]:[TRACK_TYPE_NARROW_GAUGE_RAILTYPE_NONE]],_xlfn.LAMBDA(_xlpm.r,OR(_xlpm.r))),FALSE)</f>
        <v>0</v>
      </c>
      <c r="AG281" s="38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2916</v>
      </c>
      <c r="B282" s="40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8" t="b" cm="1">
        <f t="array" ref="AE282">IFERROR(_xlfn.BYROW(TRACK_TYPES[[#This Row],[TRACK_TYPE_STANDARD_GAUGE_RAILTYPE_OHLE]:[TRACK_TYPE_STANDARD_GAUGE_RAILTYPE_NONE]],_xlfn.LAMBDA(_xlpm.r,OR(_xlpm.r))),FALSE)</f>
        <v>0</v>
      </c>
      <c r="AF282" s="38" t="b" cm="1">
        <f t="array" ref="AF282">IFERROR(_xlfn.BYROW(TRACK_TYPES[[#This Row],[TRACK_TYPE_NARROW_GAUGE_RAILTYPE_OHLE]:[TRACK_TYPE_NARROW_GAUGE_RAILTYPE_NONE]],_xlfn.LAMBDA(_xlpm.r,OR(_xlpm.r))),FALSE)</f>
        <v>0</v>
      </c>
      <c r="AG282" s="38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2917</v>
      </c>
      <c r="B283" s="40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8" t="b" cm="1">
        <f t="array" ref="AE283">IFERROR(_xlfn.BYROW(TRACK_TYPES[[#This Row],[TRACK_TYPE_STANDARD_GAUGE_RAILTYPE_OHLE]:[TRACK_TYPE_STANDARD_GAUGE_RAILTYPE_NONE]],_xlfn.LAMBDA(_xlpm.r,OR(_xlpm.r))),FALSE)</f>
        <v>0</v>
      </c>
      <c r="AF283" s="38" t="b" cm="1">
        <f t="array" ref="AF283">IFERROR(_xlfn.BYROW(TRACK_TYPES[[#This Row],[TRACK_TYPE_NARROW_GAUGE_RAILTYPE_OHLE]:[TRACK_TYPE_NARROW_GAUGE_RAILTYPE_NONE]],_xlfn.LAMBDA(_xlpm.r,OR(_xlpm.r))),FALSE)</f>
        <v>0</v>
      </c>
      <c r="AG283" s="38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2918</v>
      </c>
      <c r="B284" s="40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8" t="b" cm="1">
        <f t="array" ref="AE284">IFERROR(_xlfn.BYROW(TRACK_TYPES[[#This Row],[TRACK_TYPE_STANDARD_GAUGE_RAILTYPE_OHLE]:[TRACK_TYPE_STANDARD_GAUGE_RAILTYPE_NONE]],_xlfn.LAMBDA(_xlpm.r,OR(_xlpm.r))),FALSE)</f>
        <v>1</v>
      </c>
      <c r="AF284" s="38" t="b" cm="1">
        <f t="array" ref="AF284">IFERROR(_xlfn.BYROW(TRACK_TYPES[[#This Row],[TRACK_TYPE_NARROW_GAUGE_RAILTYPE_OHLE]:[TRACK_TYPE_NARROW_GAUGE_RAILTYPE_NONE]],_xlfn.LAMBDA(_xlpm.r,OR(_xlpm.r))),FALSE)</f>
        <v>0</v>
      </c>
      <c r="AG284" s="38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2919</v>
      </c>
      <c r="B285" s="40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8" t="b" cm="1">
        <f t="array" ref="AE285">IFERROR(_xlfn.BYROW(TRACK_TYPES[[#This Row],[TRACK_TYPE_STANDARD_GAUGE_RAILTYPE_OHLE]:[TRACK_TYPE_STANDARD_GAUGE_RAILTYPE_NONE]],_xlfn.LAMBDA(_xlpm.r,OR(_xlpm.r))),FALSE)</f>
        <v>0</v>
      </c>
      <c r="AF285" s="38" t="b" cm="1">
        <f t="array" ref="AF285">IFERROR(_xlfn.BYROW(TRACK_TYPES[[#This Row],[TRACK_TYPE_NARROW_GAUGE_RAILTYPE_OHLE]:[TRACK_TYPE_NARROW_GAUGE_RAILTYPE_NONE]],_xlfn.LAMBDA(_xlpm.r,OR(_xlpm.r))),FALSE)</f>
        <v>0</v>
      </c>
      <c r="AG285" s="38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2920</v>
      </c>
      <c r="B286" s="40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8" t="b" cm="1">
        <f t="array" ref="AE286">IFERROR(_xlfn.BYROW(TRACK_TYPES[[#This Row],[TRACK_TYPE_STANDARD_GAUGE_RAILTYPE_OHLE]:[TRACK_TYPE_STANDARD_GAUGE_RAILTYPE_NONE]],_xlfn.LAMBDA(_xlpm.r,OR(_xlpm.r))),FALSE)</f>
        <v>0</v>
      </c>
      <c r="AF286" s="38" t="b" cm="1">
        <f t="array" ref="AF286">IFERROR(_xlfn.BYROW(TRACK_TYPES[[#This Row],[TRACK_TYPE_NARROW_GAUGE_RAILTYPE_OHLE]:[TRACK_TYPE_NARROW_GAUGE_RAILTYPE_NONE]],_xlfn.LAMBDA(_xlpm.r,OR(_xlpm.r))),FALSE)</f>
        <v>0</v>
      </c>
      <c r="AG286" s="38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2921</v>
      </c>
      <c r="B287" s="40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8" t="b" cm="1">
        <f t="array" ref="AE287">IFERROR(_xlfn.BYROW(TRACK_TYPES[[#This Row],[TRACK_TYPE_STANDARD_GAUGE_RAILTYPE_OHLE]:[TRACK_TYPE_STANDARD_GAUGE_RAILTYPE_NONE]],_xlfn.LAMBDA(_xlpm.r,OR(_xlpm.r))),FALSE)</f>
        <v>1</v>
      </c>
      <c r="AF287" s="38" t="b" cm="1">
        <f t="array" ref="AF287">IFERROR(_xlfn.BYROW(TRACK_TYPES[[#This Row],[TRACK_TYPE_NARROW_GAUGE_RAILTYPE_OHLE]:[TRACK_TYPE_NARROW_GAUGE_RAILTYPE_NONE]],_xlfn.LAMBDA(_xlpm.r,OR(_xlpm.r))),FALSE)</f>
        <v>0</v>
      </c>
      <c r="AG287" s="38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2922</v>
      </c>
      <c r="B288" s="40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8" t="b" cm="1">
        <f t="array" ref="AE288">IFERROR(_xlfn.BYROW(TRACK_TYPES[[#This Row],[TRACK_TYPE_STANDARD_GAUGE_RAILTYPE_OHLE]:[TRACK_TYPE_STANDARD_GAUGE_RAILTYPE_NONE]],_xlfn.LAMBDA(_xlpm.r,OR(_xlpm.r))),FALSE)</f>
        <v>1</v>
      </c>
      <c r="AF288" s="38" t="b" cm="1">
        <f t="array" ref="AF288">IFERROR(_xlfn.BYROW(TRACK_TYPES[[#This Row],[TRACK_TYPE_NARROW_GAUGE_RAILTYPE_OHLE]:[TRACK_TYPE_NARROW_GAUGE_RAILTYPE_NONE]],_xlfn.LAMBDA(_xlpm.r,OR(_xlpm.r))),FALSE)</f>
        <v>0</v>
      </c>
      <c r="AG288" s="38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2923</v>
      </c>
      <c r="B289" s="40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8" t="b" cm="1">
        <f t="array" ref="AE289">IFERROR(_xlfn.BYROW(TRACK_TYPES[[#This Row],[TRACK_TYPE_STANDARD_GAUGE_RAILTYPE_OHLE]:[TRACK_TYPE_STANDARD_GAUGE_RAILTYPE_NONE]],_xlfn.LAMBDA(_xlpm.r,OR(_xlpm.r))),FALSE)</f>
        <v>0</v>
      </c>
      <c r="AF289" s="38" t="b" cm="1">
        <f t="array" ref="AF289">IFERROR(_xlfn.BYROW(TRACK_TYPES[[#This Row],[TRACK_TYPE_NARROW_GAUGE_RAILTYPE_OHLE]:[TRACK_TYPE_NARROW_GAUGE_RAILTYPE_NONE]],_xlfn.LAMBDA(_xlpm.r,OR(_xlpm.r))),FALSE)</f>
        <v>0</v>
      </c>
      <c r="AG289" s="38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2924</v>
      </c>
      <c r="B290" s="40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8" t="b" cm="1">
        <f t="array" ref="AE290">IFERROR(_xlfn.BYROW(TRACK_TYPES[[#This Row],[TRACK_TYPE_STANDARD_GAUGE_RAILTYPE_OHLE]:[TRACK_TYPE_STANDARD_GAUGE_RAILTYPE_NONE]],_xlfn.LAMBDA(_xlpm.r,OR(_xlpm.r))),FALSE)</f>
        <v>1</v>
      </c>
      <c r="AF290" s="38" t="b" cm="1">
        <f t="array" ref="AF290">IFERROR(_xlfn.BYROW(TRACK_TYPES[[#This Row],[TRACK_TYPE_NARROW_GAUGE_RAILTYPE_OHLE]:[TRACK_TYPE_NARROW_GAUGE_RAILTYPE_NONE]],_xlfn.LAMBDA(_xlpm.r,OR(_xlpm.r))),FALSE)</f>
        <v>0</v>
      </c>
      <c r="AG290" s="38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2925</v>
      </c>
      <c r="B291" s="40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8" t="b" cm="1">
        <f t="array" ref="AE291">IFERROR(_xlfn.BYROW(TRACK_TYPES[[#This Row],[TRACK_TYPE_STANDARD_GAUGE_RAILTYPE_OHLE]:[TRACK_TYPE_STANDARD_GAUGE_RAILTYPE_NONE]],_xlfn.LAMBDA(_xlpm.r,OR(_xlpm.r))),FALSE)</f>
        <v>1</v>
      </c>
      <c r="AF291" s="38" t="b" cm="1">
        <f t="array" ref="AF291">IFERROR(_xlfn.BYROW(TRACK_TYPES[[#This Row],[TRACK_TYPE_NARROW_GAUGE_RAILTYPE_OHLE]:[TRACK_TYPE_NARROW_GAUGE_RAILTYPE_NONE]],_xlfn.LAMBDA(_xlpm.r,OR(_xlpm.r))),FALSE)</f>
        <v>0</v>
      </c>
      <c r="AG291" s="38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2926</v>
      </c>
      <c r="B292" s="40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8" t="b" cm="1">
        <f t="array" ref="AE292">IFERROR(_xlfn.BYROW(TRACK_TYPES[[#This Row],[TRACK_TYPE_STANDARD_GAUGE_RAILTYPE_OHLE]:[TRACK_TYPE_STANDARD_GAUGE_RAILTYPE_NONE]],_xlfn.LAMBDA(_xlpm.r,OR(_xlpm.r))),FALSE)</f>
        <v>1</v>
      </c>
      <c r="AF292" s="38" t="b" cm="1">
        <f t="array" ref="AF292">IFERROR(_xlfn.BYROW(TRACK_TYPES[[#This Row],[TRACK_TYPE_NARROW_GAUGE_RAILTYPE_OHLE]:[TRACK_TYPE_NARROW_GAUGE_RAILTYPE_NONE]],_xlfn.LAMBDA(_xlpm.r,OR(_xlpm.r))),FALSE)</f>
        <v>0</v>
      </c>
      <c r="AG292" s="38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2927</v>
      </c>
      <c r="B293" s="40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8" t="b" cm="1">
        <f t="array" ref="AE293">IFERROR(_xlfn.BYROW(TRACK_TYPES[[#This Row],[TRACK_TYPE_STANDARD_GAUGE_RAILTYPE_OHLE]:[TRACK_TYPE_STANDARD_GAUGE_RAILTYPE_NONE]],_xlfn.LAMBDA(_xlpm.r,OR(_xlpm.r))),FALSE)</f>
        <v>1</v>
      </c>
      <c r="AF293" s="38" t="b" cm="1">
        <f t="array" ref="AF293">IFERROR(_xlfn.BYROW(TRACK_TYPES[[#This Row],[TRACK_TYPE_NARROW_GAUGE_RAILTYPE_OHLE]:[TRACK_TYPE_NARROW_GAUGE_RAILTYPE_NONE]],_xlfn.LAMBDA(_xlpm.r,OR(_xlpm.r))),FALSE)</f>
        <v>0</v>
      </c>
      <c r="AG293" s="38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2928</v>
      </c>
      <c r="B294" s="40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8" t="b" cm="1">
        <f t="array" ref="AE294">IFERROR(_xlfn.BYROW(TRACK_TYPES[[#This Row],[TRACK_TYPE_STANDARD_GAUGE_RAILTYPE_OHLE]:[TRACK_TYPE_STANDARD_GAUGE_RAILTYPE_NONE]],_xlfn.LAMBDA(_xlpm.r,OR(_xlpm.r))),FALSE)</f>
        <v>0</v>
      </c>
      <c r="AF294" s="38" t="b" cm="1">
        <f t="array" ref="AF294">IFERROR(_xlfn.BYROW(TRACK_TYPES[[#This Row],[TRACK_TYPE_NARROW_GAUGE_RAILTYPE_OHLE]:[TRACK_TYPE_NARROW_GAUGE_RAILTYPE_NONE]],_xlfn.LAMBDA(_xlpm.r,OR(_xlpm.r))),FALSE)</f>
        <v>1</v>
      </c>
      <c r="AG294" s="38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2929</v>
      </c>
      <c r="B295" s="40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8" t="b" cm="1">
        <f t="array" ref="AE295">IFERROR(_xlfn.BYROW(TRACK_TYPES[[#This Row],[TRACK_TYPE_STANDARD_GAUGE_RAILTYPE_OHLE]:[TRACK_TYPE_STANDARD_GAUGE_RAILTYPE_NONE]],_xlfn.LAMBDA(_xlpm.r,OR(_xlpm.r))),FALSE)</f>
        <v>0</v>
      </c>
      <c r="AF295" s="38" t="b" cm="1">
        <f t="array" ref="AF295">IFERROR(_xlfn.BYROW(TRACK_TYPES[[#This Row],[TRACK_TYPE_NARROW_GAUGE_RAILTYPE_OHLE]:[TRACK_TYPE_NARROW_GAUGE_RAILTYPE_NONE]],_xlfn.LAMBDA(_xlpm.r,OR(_xlpm.r))),FALSE)</f>
        <v>0</v>
      </c>
      <c r="AG295" s="38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2930</v>
      </c>
      <c r="B296" s="40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8" t="b" cm="1">
        <f t="array" ref="AE296">IFERROR(_xlfn.BYROW(TRACK_TYPES[[#This Row],[TRACK_TYPE_STANDARD_GAUGE_RAILTYPE_OHLE]:[TRACK_TYPE_STANDARD_GAUGE_RAILTYPE_NONE]],_xlfn.LAMBDA(_xlpm.r,OR(_xlpm.r))),FALSE)</f>
        <v>1</v>
      </c>
      <c r="AF296" s="38" t="b" cm="1">
        <f t="array" ref="AF296">IFERROR(_xlfn.BYROW(TRACK_TYPES[[#This Row],[TRACK_TYPE_NARROW_GAUGE_RAILTYPE_OHLE]:[TRACK_TYPE_NARROW_GAUGE_RAILTYPE_NONE]],_xlfn.LAMBDA(_xlpm.r,OR(_xlpm.r))),FALSE)</f>
        <v>0</v>
      </c>
      <c r="AG296" s="38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2931</v>
      </c>
      <c r="B297" s="40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8" t="b" cm="1">
        <f t="array" ref="AE297">IFERROR(_xlfn.BYROW(TRACK_TYPES[[#This Row],[TRACK_TYPE_STANDARD_GAUGE_RAILTYPE_OHLE]:[TRACK_TYPE_STANDARD_GAUGE_RAILTYPE_NONE]],_xlfn.LAMBDA(_xlpm.r,OR(_xlpm.r))),FALSE)</f>
        <v>1</v>
      </c>
      <c r="AF297" s="38" t="b" cm="1">
        <f t="array" ref="AF297">IFERROR(_xlfn.BYROW(TRACK_TYPES[[#This Row],[TRACK_TYPE_NARROW_GAUGE_RAILTYPE_OHLE]:[TRACK_TYPE_NARROW_GAUGE_RAILTYPE_NONE]],_xlfn.LAMBDA(_xlpm.r,OR(_xlpm.r))),FALSE)</f>
        <v>0</v>
      </c>
      <c r="AG297" s="38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2932</v>
      </c>
      <c r="B298" s="40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8" t="b" cm="1">
        <f t="array" ref="AE298">IFERROR(_xlfn.BYROW(TRACK_TYPES[[#This Row],[TRACK_TYPE_STANDARD_GAUGE_RAILTYPE_OHLE]:[TRACK_TYPE_STANDARD_GAUGE_RAILTYPE_NONE]],_xlfn.LAMBDA(_xlpm.r,OR(_xlpm.r))),FALSE)</f>
        <v>1</v>
      </c>
      <c r="AF298" s="38" t="b" cm="1">
        <f t="array" ref="AF298">IFERROR(_xlfn.BYROW(TRACK_TYPES[[#This Row],[TRACK_TYPE_NARROW_GAUGE_RAILTYPE_OHLE]:[TRACK_TYPE_NARROW_GAUGE_RAILTYPE_NONE]],_xlfn.LAMBDA(_xlpm.r,OR(_xlpm.r))),FALSE)</f>
        <v>0</v>
      </c>
      <c r="AG298" s="38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2933</v>
      </c>
      <c r="B299" s="40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8" t="b" cm="1">
        <f t="array" ref="AE299">IFERROR(_xlfn.BYROW(TRACK_TYPES[[#This Row],[TRACK_TYPE_STANDARD_GAUGE_RAILTYPE_OHLE]:[TRACK_TYPE_STANDARD_GAUGE_RAILTYPE_NONE]],_xlfn.LAMBDA(_xlpm.r,OR(_xlpm.r))),FALSE)</f>
        <v>1</v>
      </c>
      <c r="AF299" s="38" t="b" cm="1">
        <f t="array" ref="AF299">IFERROR(_xlfn.BYROW(TRACK_TYPES[[#This Row],[TRACK_TYPE_NARROW_GAUGE_RAILTYPE_OHLE]:[TRACK_TYPE_NARROW_GAUGE_RAILTYPE_NONE]],_xlfn.LAMBDA(_xlpm.r,OR(_xlpm.r))),FALSE)</f>
        <v>0</v>
      </c>
      <c r="AG299" s="38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2934</v>
      </c>
      <c r="B300" s="40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8" t="b" cm="1">
        <f t="array" ref="AE300">IFERROR(_xlfn.BYROW(TRACK_TYPES[[#This Row],[TRACK_TYPE_STANDARD_GAUGE_RAILTYPE_OHLE]:[TRACK_TYPE_STANDARD_GAUGE_RAILTYPE_NONE]],_xlfn.LAMBDA(_xlpm.r,OR(_xlpm.r))),FALSE)</f>
        <v>1</v>
      </c>
      <c r="AF300" s="38" t="b" cm="1">
        <f t="array" ref="AF300">IFERROR(_xlfn.BYROW(TRACK_TYPES[[#This Row],[TRACK_TYPE_NARROW_GAUGE_RAILTYPE_OHLE]:[TRACK_TYPE_NARROW_GAUGE_RAILTYPE_NONE]],_xlfn.LAMBDA(_xlpm.r,OR(_xlpm.r))),FALSE)</f>
        <v>0</v>
      </c>
      <c r="AG300" s="38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2935</v>
      </c>
      <c r="B301" s="40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8" t="b" cm="1">
        <f t="array" ref="AE301">IFERROR(_xlfn.BYROW(TRACK_TYPES[[#This Row],[TRACK_TYPE_STANDARD_GAUGE_RAILTYPE_OHLE]:[TRACK_TYPE_STANDARD_GAUGE_RAILTYPE_NONE]],_xlfn.LAMBDA(_xlpm.r,OR(_xlpm.r))),FALSE)</f>
        <v>1</v>
      </c>
      <c r="AF301" s="38" t="b" cm="1">
        <f t="array" ref="AF301">IFERROR(_xlfn.BYROW(TRACK_TYPES[[#This Row],[TRACK_TYPE_NARROW_GAUGE_RAILTYPE_OHLE]:[TRACK_TYPE_NARROW_GAUGE_RAILTYPE_NONE]],_xlfn.LAMBDA(_xlpm.r,OR(_xlpm.r))),FALSE)</f>
        <v>0</v>
      </c>
      <c r="AG301" s="38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2936</v>
      </c>
      <c r="B302" s="40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8" t="b" cm="1">
        <f t="array" ref="AE302">IFERROR(_xlfn.BYROW(TRACK_TYPES[[#This Row],[TRACK_TYPE_STANDARD_GAUGE_RAILTYPE_OHLE]:[TRACK_TYPE_STANDARD_GAUGE_RAILTYPE_NONE]],_xlfn.LAMBDA(_xlpm.r,OR(_xlpm.r))),FALSE)</f>
        <v>1</v>
      </c>
      <c r="AF302" s="38" t="b" cm="1">
        <f t="array" ref="AF302">IFERROR(_xlfn.BYROW(TRACK_TYPES[[#This Row],[TRACK_TYPE_NARROW_GAUGE_RAILTYPE_OHLE]:[TRACK_TYPE_NARROW_GAUGE_RAILTYPE_NONE]],_xlfn.LAMBDA(_xlpm.r,OR(_xlpm.r))),FALSE)</f>
        <v>0</v>
      </c>
      <c r="AG302" s="38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2937</v>
      </c>
      <c r="B303" s="40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8" t="b" cm="1">
        <f t="array" ref="AE303">IFERROR(_xlfn.BYROW(TRACK_TYPES[[#This Row],[TRACK_TYPE_STANDARD_GAUGE_RAILTYPE_OHLE]:[TRACK_TYPE_STANDARD_GAUGE_RAILTYPE_NONE]],_xlfn.LAMBDA(_xlpm.r,OR(_xlpm.r))),FALSE)</f>
        <v>1</v>
      </c>
      <c r="AF303" s="38" t="b" cm="1">
        <f t="array" ref="AF303">IFERROR(_xlfn.BYROW(TRACK_TYPES[[#This Row],[TRACK_TYPE_NARROW_GAUGE_RAILTYPE_OHLE]:[TRACK_TYPE_NARROW_GAUGE_RAILTYPE_NONE]],_xlfn.LAMBDA(_xlpm.r,OR(_xlpm.r))),FALSE)</f>
        <v>0</v>
      </c>
      <c r="AG303" s="38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2938</v>
      </c>
      <c r="B304" s="40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8" t="b" cm="1">
        <f t="array" ref="AE304">IFERROR(_xlfn.BYROW(TRACK_TYPES[[#This Row],[TRACK_TYPE_STANDARD_GAUGE_RAILTYPE_OHLE]:[TRACK_TYPE_STANDARD_GAUGE_RAILTYPE_NONE]],_xlfn.LAMBDA(_xlpm.r,OR(_xlpm.r))),FALSE)</f>
        <v>1</v>
      </c>
      <c r="AF304" s="38" t="b" cm="1">
        <f t="array" ref="AF304">IFERROR(_xlfn.BYROW(TRACK_TYPES[[#This Row],[TRACK_TYPE_NARROW_GAUGE_RAILTYPE_OHLE]:[TRACK_TYPE_NARROW_GAUGE_RAILTYPE_NONE]],_xlfn.LAMBDA(_xlpm.r,OR(_xlpm.r))),FALSE)</f>
        <v>0</v>
      </c>
      <c r="AG304" s="38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2939</v>
      </c>
      <c r="B305" s="40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8" t="b" cm="1">
        <f t="array" ref="AE305">IFERROR(_xlfn.BYROW(TRACK_TYPES[[#This Row],[TRACK_TYPE_STANDARD_GAUGE_RAILTYPE_OHLE]:[TRACK_TYPE_STANDARD_GAUGE_RAILTYPE_NONE]],_xlfn.LAMBDA(_xlpm.r,OR(_xlpm.r))),FALSE)</f>
        <v>1</v>
      </c>
      <c r="AF305" s="38" t="b" cm="1">
        <f t="array" ref="AF305">IFERROR(_xlfn.BYROW(TRACK_TYPES[[#This Row],[TRACK_TYPE_NARROW_GAUGE_RAILTYPE_OHLE]:[TRACK_TYPE_NARROW_GAUGE_RAILTYPE_NONE]],_xlfn.LAMBDA(_xlpm.r,OR(_xlpm.r))),FALSE)</f>
        <v>0</v>
      </c>
      <c r="AG305" s="38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2940</v>
      </c>
      <c r="B306" s="40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8" t="b" cm="1">
        <f t="array" ref="AE306">IFERROR(_xlfn.BYROW(TRACK_TYPES[[#This Row],[TRACK_TYPE_STANDARD_GAUGE_RAILTYPE_OHLE]:[TRACK_TYPE_STANDARD_GAUGE_RAILTYPE_NONE]],_xlfn.LAMBDA(_xlpm.r,OR(_xlpm.r))),FALSE)</f>
        <v>1</v>
      </c>
      <c r="AF306" s="38" t="b" cm="1">
        <f t="array" ref="AF306">IFERROR(_xlfn.BYROW(TRACK_TYPES[[#This Row],[TRACK_TYPE_NARROW_GAUGE_RAILTYPE_OHLE]:[TRACK_TYPE_NARROW_GAUGE_RAILTYPE_NONE]],_xlfn.LAMBDA(_xlpm.r,OR(_xlpm.r))),FALSE)</f>
        <v>0</v>
      </c>
      <c r="AG306" s="38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2941</v>
      </c>
      <c r="B307" s="40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8" t="b" cm="1">
        <f t="array" ref="AE307">IFERROR(_xlfn.BYROW(TRACK_TYPES[[#This Row],[TRACK_TYPE_STANDARD_GAUGE_RAILTYPE_OHLE]:[TRACK_TYPE_STANDARD_GAUGE_RAILTYPE_NONE]],_xlfn.LAMBDA(_xlpm.r,OR(_xlpm.r))),FALSE)</f>
        <v>1</v>
      </c>
      <c r="AF307" s="38" t="b" cm="1">
        <f t="array" ref="AF307">IFERROR(_xlfn.BYROW(TRACK_TYPES[[#This Row],[TRACK_TYPE_NARROW_GAUGE_RAILTYPE_OHLE]:[TRACK_TYPE_NARROW_GAUGE_RAILTYPE_NONE]],_xlfn.LAMBDA(_xlpm.r,OR(_xlpm.r))),FALSE)</f>
        <v>0</v>
      </c>
      <c r="AG307" s="38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2942</v>
      </c>
      <c r="B308" s="40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8" t="b" cm="1">
        <f t="array" ref="AE308">IFERROR(_xlfn.BYROW(TRACK_TYPES[[#This Row],[TRACK_TYPE_STANDARD_GAUGE_RAILTYPE_OHLE]:[TRACK_TYPE_STANDARD_GAUGE_RAILTYPE_NONE]],_xlfn.LAMBDA(_xlpm.r,OR(_xlpm.r))),FALSE)</f>
        <v>1</v>
      </c>
      <c r="AF308" s="38" t="b" cm="1">
        <f t="array" ref="AF308">IFERROR(_xlfn.BYROW(TRACK_TYPES[[#This Row],[TRACK_TYPE_NARROW_GAUGE_RAILTYPE_OHLE]:[TRACK_TYPE_NARROW_GAUGE_RAILTYPE_NONE]],_xlfn.LAMBDA(_xlpm.r,OR(_xlpm.r))),FALSE)</f>
        <v>0</v>
      </c>
      <c r="AG308" s="38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2943</v>
      </c>
      <c r="B309" s="40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8" t="b" cm="1">
        <f t="array" ref="AE309">IFERROR(_xlfn.BYROW(TRACK_TYPES[[#This Row],[TRACK_TYPE_STANDARD_GAUGE_RAILTYPE_OHLE]:[TRACK_TYPE_STANDARD_GAUGE_RAILTYPE_NONE]],_xlfn.LAMBDA(_xlpm.r,OR(_xlpm.r))),FALSE)</f>
        <v>1</v>
      </c>
      <c r="AF309" s="38" t="b" cm="1">
        <f t="array" ref="AF309">IFERROR(_xlfn.BYROW(TRACK_TYPES[[#This Row],[TRACK_TYPE_NARROW_GAUGE_RAILTYPE_OHLE]:[TRACK_TYPE_NARROW_GAUGE_RAILTYPE_NONE]],_xlfn.LAMBDA(_xlpm.r,OR(_xlpm.r))),FALSE)</f>
        <v>0</v>
      </c>
      <c r="AG309" s="38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2944</v>
      </c>
      <c r="B310" s="40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8" t="b" cm="1">
        <f t="array" ref="AE310">IFERROR(_xlfn.BYROW(TRACK_TYPES[[#This Row],[TRACK_TYPE_STANDARD_GAUGE_RAILTYPE_OHLE]:[TRACK_TYPE_STANDARD_GAUGE_RAILTYPE_NONE]],_xlfn.LAMBDA(_xlpm.r,OR(_xlpm.r))),FALSE)</f>
        <v>1</v>
      </c>
      <c r="AF310" s="38" t="b" cm="1">
        <f t="array" ref="AF310">IFERROR(_xlfn.BYROW(TRACK_TYPES[[#This Row],[TRACK_TYPE_NARROW_GAUGE_RAILTYPE_OHLE]:[TRACK_TYPE_NARROW_GAUGE_RAILTYPE_NONE]],_xlfn.LAMBDA(_xlpm.r,OR(_xlpm.r))),FALSE)</f>
        <v>0</v>
      </c>
      <c r="AG310" s="38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2945</v>
      </c>
      <c r="B311" s="40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8" t="b" cm="1">
        <f t="array" ref="AE311">IFERROR(_xlfn.BYROW(TRACK_TYPES[[#This Row],[TRACK_TYPE_STANDARD_GAUGE_RAILTYPE_OHLE]:[TRACK_TYPE_STANDARD_GAUGE_RAILTYPE_NONE]],_xlfn.LAMBDA(_xlpm.r,OR(_xlpm.r))),FALSE)</f>
        <v>1</v>
      </c>
      <c r="AF311" s="38" t="b" cm="1">
        <f t="array" ref="AF311">IFERROR(_xlfn.BYROW(TRACK_TYPES[[#This Row],[TRACK_TYPE_NARROW_GAUGE_RAILTYPE_OHLE]:[TRACK_TYPE_NARROW_GAUGE_RAILTYPE_NONE]],_xlfn.LAMBDA(_xlpm.r,OR(_xlpm.r))),FALSE)</f>
        <v>0</v>
      </c>
      <c r="AG311" s="38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2946</v>
      </c>
      <c r="B312" s="40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8" t="b" cm="1">
        <f t="array" ref="AE312">IFERROR(_xlfn.BYROW(TRACK_TYPES[[#This Row],[TRACK_TYPE_STANDARD_GAUGE_RAILTYPE_OHLE]:[TRACK_TYPE_STANDARD_GAUGE_RAILTYPE_NONE]],_xlfn.LAMBDA(_xlpm.r,OR(_xlpm.r))),FALSE)</f>
        <v>1</v>
      </c>
      <c r="AF312" s="38" t="b" cm="1">
        <f t="array" ref="AF312">IFERROR(_xlfn.BYROW(TRACK_TYPES[[#This Row],[TRACK_TYPE_NARROW_GAUGE_RAILTYPE_OHLE]:[TRACK_TYPE_NARROW_GAUGE_RAILTYPE_NONE]],_xlfn.LAMBDA(_xlpm.r,OR(_xlpm.r))),FALSE)</f>
        <v>0</v>
      </c>
      <c r="AG312" s="38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2947</v>
      </c>
      <c r="B313" s="40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8" t="b" cm="1">
        <f t="array" ref="AE313">IFERROR(_xlfn.BYROW(TRACK_TYPES[[#This Row],[TRACK_TYPE_STANDARD_GAUGE_RAILTYPE_OHLE]:[TRACK_TYPE_STANDARD_GAUGE_RAILTYPE_NONE]],_xlfn.LAMBDA(_xlpm.r,OR(_xlpm.r))),FALSE)</f>
        <v>1</v>
      </c>
      <c r="AF313" s="38" t="b" cm="1">
        <f t="array" ref="AF313">IFERROR(_xlfn.BYROW(TRACK_TYPES[[#This Row],[TRACK_TYPE_NARROW_GAUGE_RAILTYPE_OHLE]:[TRACK_TYPE_NARROW_GAUGE_RAILTYPE_NONE]],_xlfn.LAMBDA(_xlpm.r,OR(_xlpm.r))),FALSE)</f>
        <v>0</v>
      </c>
      <c r="AG313" s="38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2948</v>
      </c>
      <c r="B314" s="40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8" t="b" cm="1">
        <f t="array" ref="AE314">IFERROR(_xlfn.BYROW(TRACK_TYPES[[#This Row],[TRACK_TYPE_STANDARD_GAUGE_RAILTYPE_OHLE]:[TRACK_TYPE_STANDARD_GAUGE_RAILTYPE_NONE]],_xlfn.LAMBDA(_xlpm.r,OR(_xlpm.r))),FALSE)</f>
        <v>0</v>
      </c>
      <c r="AF314" s="38" t="b" cm="1">
        <f t="array" ref="AF314">IFERROR(_xlfn.BYROW(TRACK_TYPES[[#This Row],[TRACK_TYPE_NARROW_GAUGE_RAILTYPE_OHLE]:[TRACK_TYPE_NARROW_GAUGE_RAILTYPE_NONE]],_xlfn.LAMBDA(_xlpm.r,OR(_xlpm.r))),FALSE)</f>
        <v>0</v>
      </c>
      <c r="AG314" s="38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2949</v>
      </c>
      <c r="B315" s="40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8" t="b" cm="1">
        <f t="array" ref="AE315">IFERROR(_xlfn.BYROW(TRACK_TYPES[[#This Row],[TRACK_TYPE_STANDARD_GAUGE_RAILTYPE_OHLE]:[TRACK_TYPE_STANDARD_GAUGE_RAILTYPE_NONE]],_xlfn.LAMBDA(_xlpm.r,OR(_xlpm.r))),FALSE)</f>
        <v>0</v>
      </c>
      <c r="AF315" s="38" t="b" cm="1">
        <f t="array" ref="AF315">IFERROR(_xlfn.BYROW(TRACK_TYPES[[#This Row],[TRACK_TYPE_NARROW_GAUGE_RAILTYPE_OHLE]:[TRACK_TYPE_NARROW_GAUGE_RAILTYPE_NONE]],_xlfn.LAMBDA(_xlpm.r,OR(_xlpm.r))),FALSE)</f>
        <v>0</v>
      </c>
      <c r="AG315" s="38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2950</v>
      </c>
      <c r="B316" s="40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8" t="b" cm="1">
        <f t="array" ref="AE316">IFERROR(_xlfn.BYROW(TRACK_TYPES[[#This Row],[TRACK_TYPE_STANDARD_GAUGE_RAILTYPE_OHLE]:[TRACK_TYPE_STANDARD_GAUGE_RAILTYPE_NONE]],_xlfn.LAMBDA(_xlpm.r,OR(_xlpm.r))),FALSE)</f>
        <v>0</v>
      </c>
      <c r="AF316" s="38" t="b" cm="1">
        <f t="array" ref="AF316">IFERROR(_xlfn.BYROW(TRACK_TYPES[[#This Row],[TRACK_TYPE_NARROW_GAUGE_RAILTYPE_OHLE]:[TRACK_TYPE_NARROW_GAUGE_RAILTYPE_NONE]],_xlfn.LAMBDA(_xlpm.r,OR(_xlpm.r))),FALSE)</f>
        <v>0</v>
      </c>
      <c r="AG316" s="38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2951</v>
      </c>
      <c r="B317" s="40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8" t="b" cm="1">
        <f t="array" ref="AE317">IFERROR(_xlfn.BYROW(TRACK_TYPES[[#This Row],[TRACK_TYPE_STANDARD_GAUGE_RAILTYPE_OHLE]:[TRACK_TYPE_STANDARD_GAUGE_RAILTYPE_NONE]],_xlfn.LAMBDA(_xlpm.r,OR(_xlpm.r))),FALSE)</f>
        <v>1</v>
      </c>
      <c r="AF317" s="38" t="b" cm="1">
        <f t="array" ref="AF317">IFERROR(_xlfn.BYROW(TRACK_TYPES[[#This Row],[TRACK_TYPE_NARROW_GAUGE_RAILTYPE_OHLE]:[TRACK_TYPE_NARROW_GAUGE_RAILTYPE_NONE]],_xlfn.LAMBDA(_xlpm.r,OR(_xlpm.r))),FALSE)</f>
        <v>0</v>
      </c>
      <c r="AG317" s="38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2952</v>
      </c>
      <c r="B318" s="40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8" t="b" cm="1">
        <f t="array" ref="AE318">IFERROR(_xlfn.BYROW(TRACK_TYPES[[#This Row],[TRACK_TYPE_STANDARD_GAUGE_RAILTYPE_OHLE]:[TRACK_TYPE_STANDARD_GAUGE_RAILTYPE_NONE]],_xlfn.LAMBDA(_xlpm.r,OR(_xlpm.r))),FALSE)</f>
        <v>1</v>
      </c>
      <c r="AF318" s="38" t="b" cm="1">
        <f t="array" ref="AF318">IFERROR(_xlfn.BYROW(TRACK_TYPES[[#This Row],[TRACK_TYPE_NARROW_GAUGE_RAILTYPE_OHLE]:[TRACK_TYPE_NARROW_GAUGE_RAILTYPE_NONE]],_xlfn.LAMBDA(_xlpm.r,OR(_xlpm.r))),FALSE)</f>
        <v>0</v>
      </c>
      <c r="AG318" s="38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2953</v>
      </c>
      <c r="B319" s="40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8" t="b" cm="1">
        <f t="array" ref="AE319">IFERROR(_xlfn.BYROW(TRACK_TYPES[[#This Row],[TRACK_TYPE_STANDARD_GAUGE_RAILTYPE_OHLE]:[TRACK_TYPE_STANDARD_GAUGE_RAILTYPE_NONE]],_xlfn.LAMBDA(_xlpm.r,OR(_xlpm.r))),FALSE)</f>
        <v>1</v>
      </c>
      <c r="AF319" s="38" t="b" cm="1">
        <f t="array" ref="AF319">IFERROR(_xlfn.BYROW(TRACK_TYPES[[#This Row],[TRACK_TYPE_NARROW_GAUGE_RAILTYPE_OHLE]:[TRACK_TYPE_NARROW_GAUGE_RAILTYPE_NONE]],_xlfn.LAMBDA(_xlpm.r,OR(_xlpm.r))),FALSE)</f>
        <v>0</v>
      </c>
      <c r="AG319" s="38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2954</v>
      </c>
      <c r="B320" s="40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8" t="b" cm="1">
        <f t="array" ref="AE320">IFERROR(_xlfn.BYROW(TRACK_TYPES[[#This Row],[TRACK_TYPE_STANDARD_GAUGE_RAILTYPE_OHLE]:[TRACK_TYPE_STANDARD_GAUGE_RAILTYPE_NONE]],_xlfn.LAMBDA(_xlpm.r,OR(_xlpm.r))),FALSE)</f>
        <v>1</v>
      </c>
      <c r="AF320" s="38" t="b" cm="1">
        <f t="array" ref="AF320">IFERROR(_xlfn.BYROW(TRACK_TYPES[[#This Row],[TRACK_TYPE_NARROW_GAUGE_RAILTYPE_OHLE]:[TRACK_TYPE_NARROW_GAUGE_RAILTYPE_NONE]],_xlfn.LAMBDA(_xlpm.r,OR(_xlpm.r))),FALSE)</f>
        <v>0</v>
      </c>
      <c r="AG320" s="38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2955</v>
      </c>
      <c r="B321" s="40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8" t="b" cm="1">
        <f t="array" ref="AE321">IFERROR(_xlfn.BYROW(TRACK_TYPES[[#This Row],[TRACK_TYPE_STANDARD_GAUGE_RAILTYPE_OHLE]:[TRACK_TYPE_STANDARD_GAUGE_RAILTYPE_NONE]],_xlfn.LAMBDA(_xlpm.r,OR(_xlpm.r))),FALSE)</f>
        <v>1</v>
      </c>
      <c r="AF321" s="38" t="b" cm="1">
        <f t="array" ref="AF321">IFERROR(_xlfn.BYROW(TRACK_TYPES[[#This Row],[TRACK_TYPE_NARROW_GAUGE_RAILTYPE_OHLE]:[TRACK_TYPE_NARROW_GAUGE_RAILTYPE_NONE]],_xlfn.LAMBDA(_xlpm.r,OR(_xlpm.r))),FALSE)</f>
        <v>0</v>
      </c>
      <c r="AG321" s="38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2956</v>
      </c>
      <c r="B322" s="40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8" t="b" cm="1">
        <f t="array" ref="AE322">IFERROR(_xlfn.BYROW(TRACK_TYPES[[#This Row],[TRACK_TYPE_STANDARD_GAUGE_RAILTYPE_OHLE]:[TRACK_TYPE_STANDARD_GAUGE_RAILTYPE_NONE]],_xlfn.LAMBDA(_xlpm.r,OR(_xlpm.r))),FALSE)</f>
        <v>1</v>
      </c>
      <c r="AF322" s="38" t="b" cm="1">
        <f t="array" ref="AF322">IFERROR(_xlfn.BYROW(TRACK_TYPES[[#This Row],[TRACK_TYPE_NARROW_GAUGE_RAILTYPE_OHLE]:[TRACK_TYPE_NARROW_GAUGE_RAILTYPE_NONE]],_xlfn.LAMBDA(_xlpm.r,OR(_xlpm.r))),FALSE)</f>
        <v>0</v>
      </c>
      <c r="AG322" s="38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2957</v>
      </c>
      <c r="B323" s="40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8" t="b" cm="1">
        <f t="array" ref="AE323">IFERROR(_xlfn.BYROW(TRACK_TYPES[[#This Row],[TRACK_TYPE_STANDARD_GAUGE_RAILTYPE_OHLE]:[TRACK_TYPE_STANDARD_GAUGE_RAILTYPE_NONE]],_xlfn.LAMBDA(_xlpm.r,OR(_xlpm.r))),FALSE)</f>
        <v>1</v>
      </c>
      <c r="AF323" s="38" t="b" cm="1">
        <f t="array" ref="AF323">IFERROR(_xlfn.BYROW(TRACK_TYPES[[#This Row],[TRACK_TYPE_NARROW_GAUGE_RAILTYPE_OHLE]:[TRACK_TYPE_NARROW_GAUGE_RAILTYPE_NONE]],_xlfn.LAMBDA(_xlpm.r,OR(_xlpm.r))),FALSE)</f>
        <v>0</v>
      </c>
      <c r="AG323" s="38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2958</v>
      </c>
      <c r="B324" s="40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8" t="b" cm="1">
        <f t="array" ref="AE324">IFERROR(_xlfn.BYROW(TRACK_TYPES[[#This Row],[TRACK_TYPE_STANDARD_GAUGE_RAILTYPE_OHLE]:[TRACK_TYPE_STANDARD_GAUGE_RAILTYPE_NONE]],_xlfn.LAMBDA(_xlpm.r,OR(_xlpm.r))),FALSE)</f>
        <v>1</v>
      </c>
      <c r="AF324" s="38" t="b" cm="1">
        <f t="array" ref="AF324">IFERROR(_xlfn.BYROW(TRACK_TYPES[[#This Row],[TRACK_TYPE_NARROW_GAUGE_RAILTYPE_OHLE]:[TRACK_TYPE_NARROW_GAUGE_RAILTYPE_NONE]],_xlfn.LAMBDA(_xlpm.r,OR(_xlpm.r))),FALSE)</f>
        <v>0</v>
      </c>
      <c r="AG324" s="38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2959</v>
      </c>
      <c r="B325" s="40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8" t="b" cm="1">
        <f t="array" ref="AE325">IFERROR(_xlfn.BYROW(TRACK_TYPES[[#This Row],[TRACK_TYPE_STANDARD_GAUGE_RAILTYPE_OHLE]:[TRACK_TYPE_STANDARD_GAUGE_RAILTYPE_NONE]],_xlfn.LAMBDA(_xlpm.r,OR(_xlpm.r))),FALSE)</f>
        <v>1</v>
      </c>
      <c r="AF325" s="38" t="b" cm="1">
        <f t="array" ref="AF325">IFERROR(_xlfn.BYROW(TRACK_TYPES[[#This Row],[TRACK_TYPE_NARROW_GAUGE_RAILTYPE_OHLE]:[TRACK_TYPE_NARROW_GAUGE_RAILTYPE_NONE]],_xlfn.LAMBDA(_xlpm.r,OR(_xlpm.r))),FALSE)</f>
        <v>0</v>
      </c>
      <c r="AG325" s="38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2960</v>
      </c>
      <c r="B326" s="40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8" t="b" cm="1">
        <f t="array" ref="AE326">IFERROR(_xlfn.BYROW(TRACK_TYPES[[#This Row],[TRACK_TYPE_STANDARD_GAUGE_RAILTYPE_OHLE]:[TRACK_TYPE_STANDARD_GAUGE_RAILTYPE_NONE]],_xlfn.LAMBDA(_xlpm.r,OR(_xlpm.r))),FALSE)</f>
        <v>1</v>
      </c>
      <c r="AF326" s="38" t="b" cm="1">
        <f t="array" ref="AF326">IFERROR(_xlfn.BYROW(TRACK_TYPES[[#This Row],[TRACK_TYPE_NARROW_GAUGE_RAILTYPE_OHLE]:[TRACK_TYPE_NARROW_GAUGE_RAILTYPE_NONE]],_xlfn.LAMBDA(_xlpm.r,OR(_xlpm.r))),FALSE)</f>
        <v>0</v>
      </c>
      <c r="AG326" s="38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2961</v>
      </c>
      <c r="B327" s="40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8" t="b" cm="1">
        <f t="array" ref="AE327">IFERROR(_xlfn.BYROW(TRACK_TYPES[[#This Row],[TRACK_TYPE_STANDARD_GAUGE_RAILTYPE_OHLE]:[TRACK_TYPE_STANDARD_GAUGE_RAILTYPE_NONE]],_xlfn.LAMBDA(_xlpm.r,OR(_xlpm.r))),FALSE)</f>
        <v>1</v>
      </c>
      <c r="AF327" s="38" t="b" cm="1">
        <f t="array" ref="AF327">IFERROR(_xlfn.BYROW(TRACK_TYPES[[#This Row],[TRACK_TYPE_NARROW_GAUGE_RAILTYPE_OHLE]:[TRACK_TYPE_NARROW_GAUGE_RAILTYPE_NONE]],_xlfn.LAMBDA(_xlpm.r,OR(_xlpm.r))),FALSE)</f>
        <v>0</v>
      </c>
      <c r="AG327" s="38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2962</v>
      </c>
      <c r="B328" s="40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8" t="b" cm="1">
        <f t="array" ref="AE328">IFERROR(_xlfn.BYROW(TRACK_TYPES[[#This Row],[TRACK_TYPE_STANDARD_GAUGE_RAILTYPE_OHLE]:[TRACK_TYPE_STANDARD_GAUGE_RAILTYPE_NONE]],_xlfn.LAMBDA(_xlpm.r,OR(_xlpm.r))),FALSE)</f>
        <v>1</v>
      </c>
      <c r="AF328" s="38" t="b" cm="1">
        <f t="array" ref="AF328">IFERROR(_xlfn.BYROW(TRACK_TYPES[[#This Row],[TRACK_TYPE_NARROW_GAUGE_RAILTYPE_OHLE]:[TRACK_TYPE_NARROW_GAUGE_RAILTYPE_NONE]],_xlfn.LAMBDA(_xlpm.r,OR(_xlpm.r))),FALSE)</f>
        <v>0</v>
      </c>
      <c r="AG328" s="38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2963</v>
      </c>
      <c r="B329" s="40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8" t="b" cm="1">
        <f t="array" ref="AE329">IFERROR(_xlfn.BYROW(TRACK_TYPES[[#This Row],[TRACK_TYPE_STANDARD_GAUGE_RAILTYPE_OHLE]:[TRACK_TYPE_STANDARD_GAUGE_RAILTYPE_NONE]],_xlfn.LAMBDA(_xlpm.r,OR(_xlpm.r))),FALSE)</f>
        <v>1</v>
      </c>
      <c r="AF329" s="38" t="b" cm="1">
        <f t="array" ref="AF329">IFERROR(_xlfn.BYROW(TRACK_TYPES[[#This Row],[TRACK_TYPE_NARROW_GAUGE_RAILTYPE_OHLE]:[TRACK_TYPE_NARROW_GAUGE_RAILTYPE_NONE]],_xlfn.LAMBDA(_xlpm.r,OR(_xlpm.r))),FALSE)</f>
        <v>0</v>
      </c>
      <c r="AG329" s="38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2964</v>
      </c>
      <c r="B330" s="40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8" t="b" cm="1">
        <f t="array" ref="AE330">IFERROR(_xlfn.BYROW(TRACK_TYPES[[#This Row],[TRACK_TYPE_STANDARD_GAUGE_RAILTYPE_OHLE]:[TRACK_TYPE_STANDARD_GAUGE_RAILTYPE_NONE]],_xlfn.LAMBDA(_xlpm.r,OR(_xlpm.r))),FALSE)</f>
        <v>1</v>
      </c>
      <c r="AF330" s="38" t="b" cm="1">
        <f t="array" ref="AF330">IFERROR(_xlfn.BYROW(TRACK_TYPES[[#This Row],[TRACK_TYPE_NARROW_GAUGE_RAILTYPE_OHLE]:[TRACK_TYPE_NARROW_GAUGE_RAILTYPE_NONE]],_xlfn.LAMBDA(_xlpm.r,OR(_xlpm.r))),FALSE)</f>
        <v>0</v>
      </c>
      <c r="AG330" s="38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2965</v>
      </c>
      <c r="B331" s="40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8" t="b" cm="1">
        <f t="array" ref="AE331">IFERROR(_xlfn.BYROW(TRACK_TYPES[[#This Row],[TRACK_TYPE_STANDARD_GAUGE_RAILTYPE_OHLE]:[TRACK_TYPE_STANDARD_GAUGE_RAILTYPE_NONE]],_xlfn.LAMBDA(_xlpm.r,OR(_xlpm.r))),FALSE)</f>
        <v>1</v>
      </c>
      <c r="AF331" s="38" t="b" cm="1">
        <f t="array" ref="AF331">IFERROR(_xlfn.BYROW(TRACK_TYPES[[#This Row],[TRACK_TYPE_NARROW_GAUGE_RAILTYPE_OHLE]:[TRACK_TYPE_NARROW_GAUGE_RAILTYPE_NONE]],_xlfn.LAMBDA(_xlpm.r,OR(_xlpm.r))),FALSE)</f>
        <v>0</v>
      </c>
      <c r="AG331" s="38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2966</v>
      </c>
      <c r="B332" s="40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8" t="b" cm="1">
        <f t="array" ref="AE332">IFERROR(_xlfn.BYROW(TRACK_TYPES[[#This Row],[TRACK_TYPE_STANDARD_GAUGE_RAILTYPE_OHLE]:[TRACK_TYPE_STANDARD_GAUGE_RAILTYPE_NONE]],_xlfn.LAMBDA(_xlpm.r,OR(_xlpm.r))),FALSE)</f>
        <v>1</v>
      </c>
      <c r="AF332" s="38" t="b" cm="1">
        <f t="array" ref="AF332">IFERROR(_xlfn.BYROW(TRACK_TYPES[[#This Row],[TRACK_TYPE_NARROW_GAUGE_RAILTYPE_OHLE]:[TRACK_TYPE_NARROW_GAUGE_RAILTYPE_NONE]],_xlfn.LAMBDA(_xlpm.r,OR(_xlpm.r))),FALSE)</f>
        <v>0</v>
      </c>
      <c r="AG332" s="38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2967</v>
      </c>
      <c r="B333" s="40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8" t="b" cm="1">
        <f t="array" ref="AE333">IFERROR(_xlfn.BYROW(TRACK_TYPES[[#This Row],[TRACK_TYPE_STANDARD_GAUGE_RAILTYPE_OHLE]:[TRACK_TYPE_STANDARD_GAUGE_RAILTYPE_NONE]],_xlfn.LAMBDA(_xlpm.r,OR(_xlpm.r))),FALSE)</f>
        <v>1</v>
      </c>
      <c r="AF333" s="38" t="b" cm="1">
        <f t="array" ref="AF333">IFERROR(_xlfn.BYROW(TRACK_TYPES[[#This Row],[TRACK_TYPE_NARROW_GAUGE_RAILTYPE_OHLE]:[TRACK_TYPE_NARROW_GAUGE_RAILTYPE_NONE]],_xlfn.LAMBDA(_xlpm.r,OR(_xlpm.r))),FALSE)</f>
        <v>0</v>
      </c>
      <c r="AG333" s="38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2968</v>
      </c>
      <c r="B334" s="40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8" t="b" cm="1">
        <f t="array" ref="AE334">IFERROR(_xlfn.BYROW(TRACK_TYPES[[#This Row],[TRACK_TYPE_STANDARD_GAUGE_RAILTYPE_OHLE]:[TRACK_TYPE_STANDARD_GAUGE_RAILTYPE_NONE]],_xlfn.LAMBDA(_xlpm.r,OR(_xlpm.r))),FALSE)</f>
        <v>1</v>
      </c>
      <c r="AF334" s="38" t="b" cm="1">
        <f t="array" ref="AF334">IFERROR(_xlfn.BYROW(TRACK_TYPES[[#This Row],[TRACK_TYPE_NARROW_GAUGE_RAILTYPE_OHLE]:[TRACK_TYPE_NARROW_GAUGE_RAILTYPE_NONE]],_xlfn.LAMBDA(_xlpm.r,OR(_xlpm.r))),FALSE)</f>
        <v>0</v>
      </c>
      <c r="AG334" s="38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2969</v>
      </c>
      <c r="B335" s="40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8" t="b" cm="1">
        <f t="array" ref="AE335">IFERROR(_xlfn.BYROW(TRACK_TYPES[[#This Row],[TRACK_TYPE_STANDARD_GAUGE_RAILTYPE_OHLE]:[TRACK_TYPE_STANDARD_GAUGE_RAILTYPE_NONE]],_xlfn.LAMBDA(_xlpm.r,OR(_xlpm.r))),FALSE)</f>
        <v>1</v>
      </c>
      <c r="AF335" s="38" t="b" cm="1">
        <f t="array" ref="AF335">IFERROR(_xlfn.BYROW(TRACK_TYPES[[#This Row],[TRACK_TYPE_NARROW_GAUGE_RAILTYPE_OHLE]:[TRACK_TYPE_NARROW_GAUGE_RAILTYPE_NONE]],_xlfn.LAMBDA(_xlpm.r,OR(_xlpm.r))),FALSE)</f>
        <v>0</v>
      </c>
      <c r="AG335" s="38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2970</v>
      </c>
      <c r="B336" s="40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8" t="b" cm="1">
        <f t="array" ref="AE336">IFERROR(_xlfn.BYROW(TRACK_TYPES[[#This Row],[TRACK_TYPE_STANDARD_GAUGE_RAILTYPE_OHLE]:[TRACK_TYPE_STANDARD_GAUGE_RAILTYPE_NONE]],_xlfn.LAMBDA(_xlpm.r,OR(_xlpm.r))),FALSE)</f>
        <v>0</v>
      </c>
      <c r="AF336" s="38" t="b" cm="1">
        <f t="array" ref="AF336">IFERROR(_xlfn.BYROW(TRACK_TYPES[[#This Row],[TRACK_TYPE_NARROW_GAUGE_RAILTYPE_OHLE]:[TRACK_TYPE_NARROW_GAUGE_RAILTYPE_NONE]],_xlfn.LAMBDA(_xlpm.r,OR(_xlpm.r))),FALSE)</f>
        <v>0</v>
      </c>
      <c r="AG336" s="38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2971</v>
      </c>
      <c r="B337" s="40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8" t="b" cm="1">
        <f t="array" ref="AE337">IFERROR(_xlfn.BYROW(TRACK_TYPES[[#This Row],[TRACK_TYPE_STANDARD_GAUGE_RAILTYPE_OHLE]:[TRACK_TYPE_STANDARD_GAUGE_RAILTYPE_NONE]],_xlfn.LAMBDA(_xlpm.r,OR(_xlpm.r))),FALSE)</f>
        <v>1</v>
      </c>
      <c r="AF337" s="38" t="b" cm="1">
        <f t="array" ref="AF337">IFERROR(_xlfn.BYROW(TRACK_TYPES[[#This Row],[TRACK_TYPE_NARROW_GAUGE_RAILTYPE_OHLE]:[TRACK_TYPE_NARROW_GAUGE_RAILTYPE_NONE]],_xlfn.LAMBDA(_xlpm.r,OR(_xlpm.r))),FALSE)</f>
        <v>0</v>
      </c>
      <c r="AG337" s="38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2972</v>
      </c>
      <c r="B338" s="40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8" t="b" cm="1">
        <f t="array" ref="AE338">IFERROR(_xlfn.BYROW(TRACK_TYPES[[#This Row],[TRACK_TYPE_STANDARD_GAUGE_RAILTYPE_OHLE]:[TRACK_TYPE_STANDARD_GAUGE_RAILTYPE_NONE]],_xlfn.LAMBDA(_xlpm.r,OR(_xlpm.r))),FALSE)</f>
        <v>1</v>
      </c>
      <c r="AF338" s="38" t="b" cm="1">
        <f t="array" ref="AF338">IFERROR(_xlfn.BYROW(TRACK_TYPES[[#This Row],[TRACK_TYPE_NARROW_GAUGE_RAILTYPE_OHLE]:[TRACK_TYPE_NARROW_GAUGE_RAILTYPE_NONE]],_xlfn.LAMBDA(_xlpm.r,OR(_xlpm.r))),FALSE)</f>
        <v>0</v>
      </c>
      <c r="AG338" s="38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2973</v>
      </c>
      <c r="B339" s="40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8" t="b" cm="1">
        <f t="array" ref="AE339">IFERROR(_xlfn.BYROW(TRACK_TYPES[[#This Row],[TRACK_TYPE_STANDARD_GAUGE_RAILTYPE_OHLE]:[TRACK_TYPE_STANDARD_GAUGE_RAILTYPE_NONE]],_xlfn.LAMBDA(_xlpm.r,OR(_xlpm.r))),FALSE)</f>
        <v>0</v>
      </c>
      <c r="AF339" s="38" t="b" cm="1">
        <f t="array" ref="AF339">IFERROR(_xlfn.BYROW(TRACK_TYPES[[#This Row],[TRACK_TYPE_NARROW_GAUGE_RAILTYPE_OHLE]:[TRACK_TYPE_NARROW_GAUGE_RAILTYPE_NONE]],_xlfn.LAMBDA(_xlpm.r,OR(_xlpm.r))),FALSE)</f>
        <v>0</v>
      </c>
      <c r="AG339" s="38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2974</v>
      </c>
      <c r="B340" s="40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8" t="b" cm="1">
        <f t="array" ref="AE340">IFERROR(_xlfn.BYROW(TRACK_TYPES[[#This Row],[TRACK_TYPE_STANDARD_GAUGE_RAILTYPE_OHLE]:[TRACK_TYPE_STANDARD_GAUGE_RAILTYPE_NONE]],_xlfn.LAMBDA(_xlpm.r,OR(_xlpm.r))),FALSE)</f>
        <v>1</v>
      </c>
      <c r="AF340" s="38" t="b" cm="1">
        <f t="array" ref="AF340">IFERROR(_xlfn.BYROW(TRACK_TYPES[[#This Row],[TRACK_TYPE_NARROW_GAUGE_RAILTYPE_OHLE]:[TRACK_TYPE_NARROW_GAUGE_RAILTYPE_NONE]],_xlfn.LAMBDA(_xlpm.r,OR(_xlpm.r))),FALSE)</f>
        <v>0</v>
      </c>
      <c r="AG340" s="38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2975</v>
      </c>
      <c r="B341" s="40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8" t="b" cm="1">
        <f t="array" ref="AE341">IFERROR(_xlfn.BYROW(TRACK_TYPES[[#This Row],[TRACK_TYPE_STANDARD_GAUGE_RAILTYPE_OHLE]:[TRACK_TYPE_STANDARD_GAUGE_RAILTYPE_NONE]],_xlfn.LAMBDA(_xlpm.r,OR(_xlpm.r))),FALSE)</f>
        <v>1</v>
      </c>
      <c r="AF341" s="38" t="b" cm="1">
        <f t="array" ref="AF341">IFERROR(_xlfn.BYROW(TRACK_TYPES[[#This Row],[TRACK_TYPE_NARROW_GAUGE_RAILTYPE_OHLE]:[TRACK_TYPE_NARROW_GAUGE_RAILTYPE_NONE]],_xlfn.LAMBDA(_xlpm.r,OR(_xlpm.r))),FALSE)</f>
        <v>0</v>
      </c>
      <c r="AG341" s="38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2976</v>
      </c>
      <c r="B342" s="40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8" t="b" cm="1">
        <f t="array" ref="AE342">IFERROR(_xlfn.BYROW(TRACK_TYPES[[#This Row],[TRACK_TYPE_STANDARD_GAUGE_RAILTYPE_OHLE]:[TRACK_TYPE_STANDARD_GAUGE_RAILTYPE_NONE]],_xlfn.LAMBDA(_xlpm.r,OR(_xlpm.r))),FALSE)</f>
        <v>1</v>
      </c>
      <c r="AF342" s="38" t="b" cm="1">
        <f t="array" ref="AF342">IFERROR(_xlfn.BYROW(TRACK_TYPES[[#This Row],[TRACK_TYPE_NARROW_GAUGE_RAILTYPE_OHLE]:[TRACK_TYPE_NARROW_GAUGE_RAILTYPE_NONE]],_xlfn.LAMBDA(_xlpm.r,OR(_xlpm.r))),FALSE)</f>
        <v>0</v>
      </c>
      <c r="AG342" s="38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2977</v>
      </c>
      <c r="B343" s="40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8" t="b" cm="1">
        <f t="array" ref="AE343">IFERROR(_xlfn.BYROW(TRACK_TYPES[[#This Row],[TRACK_TYPE_STANDARD_GAUGE_RAILTYPE_OHLE]:[TRACK_TYPE_STANDARD_GAUGE_RAILTYPE_NONE]],_xlfn.LAMBDA(_xlpm.r,OR(_xlpm.r))),FALSE)</f>
        <v>1</v>
      </c>
      <c r="AF343" s="38" t="b" cm="1">
        <f t="array" ref="AF343">IFERROR(_xlfn.BYROW(TRACK_TYPES[[#This Row],[TRACK_TYPE_NARROW_GAUGE_RAILTYPE_OHLE]:[TRACK_TYPE_NARROW_GAUGE_RAILTYPE_NONE]],_xlfn.LAMBDA(_xlpm.r,OR(_xlpm.r))),FALSE)</f>
        <v>0</v>
      </c>
      <c r="AG343" s="38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2978</v>
      </c>
      <c r="B344" s="40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8" t="b" cm="1">
        <f t="array" ref="AE344">IFERROR(_xlfn.BYROW(TRACK_TYPES[[#This Row],[TRACK_TYPE_STANDARD_GAUGE_RAILTYPE_OHLE]:[TRACK_TYPE_STANDARD_GAUGE_RAILTYPE_NONE]],_xlfn.LAMBDA(_xlpm.r,OR(_xlpm.r))),FALSE)</f>
        <v>1</v>
      </c>
      <c r="AF344" s="38" t="b" cm="1">
        <f t="array" ref="AF344">IFERROR(_xlfn.BYROW(TRACK_TYPES[[#This Row],[TRACK_TYPE_NARROW_GAUGE_RAILTYPE_OHLE]:[TRACK_TYPE_NARROW_GAUGE_RAILTYPE_NONE]],_xlfn.LAMBDA(_xlpm.r,OR(_xlpm.r))),FALSE)</f>
        <v>0</v>
      </c>
      <c r="AG344" s="38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2979</v>
      </c>
      <c r="B345" s="40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8" t="b" cm="1">
        <f t="array" ref="AE345">IFERROR(_xlfn.BYROW(TRACK_TYPES[[#This Row],[TRACK_TYPE_STANDARD_GAUGE_RAILTYPE_OHLE]:[TRACK_TYPE_STANDARD_GAUGE_RAILTYPE_NONE]],_xlfn.LAMBDA(_xlpm.r,OR(_xlpm.r))),FALSE)</f>
        <v>1</v>
      </c>
      <c r="AF345" s="38" t="b" cm="1">
        <f t="array" ref="AF345">IFERROR(_xlfn.BYROW(TRACK_TYPES[[#This Row],[TRACK_TYPE_NARROW_GAUGE_RAILTYPE_OHLE]:[TRACK_TYPE_NARROW_GAUGE_RAILTYPE_NONE]],_xlfn.LAMBDA(_xlpm.r,OR(_xlpm.r))),FALSE)</f>
        <v>0</v>
      </c>
      <c r="AG345" s="38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2980</v>
      </c>
      <c r="B346" s="40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8" t="b" cm="1">
        <f t="array" ref="AE346">IFERROR(_xlfn.BYROW(TRACK_TYPES[[#This Row],[TRACK_TYPE_STANDARD_GAUGE_RAILTYPE_OHLE]:[TRACK_TYPE_STANDARD_GAUGE_RAILTYPE_NONE]],_xlfn.LAMBDA(_xlpm.r,OR(_xlpm.r))),FALSE)</f>
        <v>1</v>
      </c>
      <c r="AF346" s="38" t="b" cm="1">
        <f t="array" ref="AF346">IFERROR(_xlfn.BYROW(TRACK_TYPES[[#This Row],[TRACK_TYPE_NARROW_GAUGE_RAILTYPE_OHLE]:[TRACK_TYPE_NARROW_GAUGE_RAILTYPE_NONE]],_xlfn.LAMBDA(_xlpm.r,OR(_xlpm.r))),FALSE)</f>
        <v>0</v>
      </c>
      <c r="AG346" s="38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2981</v>
      </c>
      <c r="B347" s="40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8" t="b" cm="1">
        <f t="array" ref="AE347">IFERROR(_xlfn.BYROW(TRACK_TYPES[[#This Row],[TRACK_TYPE_STANDARD_GAUGE_RAILTYPE_OHLE]:[TRACK_TYPE_STANDARD_GAUGE_RAILTYPE_NONE]],_xlfn.LAMBDA(_xlpm.r,OR(_xlpm.r))),FALSE)</f>
        <v>1</v>
      </c>
      <c r="AF347" s="38" t="b" cm="1">
        <f t="array" ref="AF347">IFERROR(_xlfn.BYROW(TRACK_TYPES[[#This Row],[TRACK_TYPE_NARROW_GAUGE_RAILTYPE_OHLE]:[TRACK_TYPE_NARROW_GAUGE_RAILTYPE_NONE]],_xlfn.LAMBDA(_xlpm.r,OR(_xlpm.r))),FALSE)</f>
        <v>0</v>
      </c>
      <c r="AG347" s="38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2982</v>
      </c>
      <c r="B348" s="40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8" t="b" cm="1">
        <f t="array" ref="AE348">IFERROR(_xlfn.BYROW(TRACK_TYPES[[#This Row],[TRACK_TYPE_STANDARD_GAUGE_RAILTYPE_OHLE]:[TRACK_TYPE_STANDARD_GAUGE_RAILTYPE_NONE]],_xlfn.LAMBDA(_xlpm.r,OR(_xlpm.r))),FALSE)</f>
        <v>1</v>
      </c>
      <c r="AF348" s="38" t="b" cm="1">
        <f t="array" ref="AF348">IFERROR(_xlfn.BYROW(TRACK_TYPES[[#This Row],[TRACK_TYPE_NARROW_GAUGE_RAILTYPE_OHLE]:[TRACK_TYPE_NARROW_GAUGE_RAILTYPE_NONE]],_xlfn.LAMBDA(_xlpm.r,OR(_xlpm.r))),FALSE)</f>
        <v>0</v>
      </c>
      <c r="AG348" s="38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2983</v>
      </c>
      <c r="B349" s="40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8" t="b" cm="1">
        <f t="array" ref="AE349">IFERROR(_xlfn.BYROW(TRACK_TYPES[[#This Row],[TRACK_TYPE_STANDARD_GAUGE_RAILTYPE_OHLE]:[TRACK_TYPE_STANDARD_GAUGE_RAILTYPE_NONE]],_xlfn.LAMBDA(_xlpm.r,OR(_xlpm.r))),FALSE)</f>
        <v>1</v>
      </c>
      <c r="AF349" s="38" t="b" cm="1">
        <f t="array" ref="AF349">IFERROR(_xlfn.BYROW(TRACK_TYPES[[#This Row],[TRACK_TYPE_NARROW_GAUGE_RAILTYPE_OHLE]:[TRACK_TYPE_NARROW_GAUGE_RAILTYPE_NONE]],_xlfn.LAMBDA(_xlpm.r,OR(_xlpm.r))),FALSE)</f>
        <v>0</v>
      </c>
      <c r="AG349" s="38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2984</v>
      </c>
      <c r="B350" s="40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8" t="b" cm="1">
        <f t="array" ref="AE350">IFERROR(_xlfn.BYROW(TRACK_TYPES[[#This Row],[TRACK_TYPE_STANDARD_GAUGE_RAILTYPE_OHLE]:[TRACK_TYPE_STANDARD_GAUGE_RAILTYPE_NONE]],_xlfn.LAMBDA(_xlpm.r,OR(_xlpm.r))),FALSE)</f>
        <v>1</v>
      </c>
      <c r="AF350" s="38" t="b" cm="1">
        <f t="array" ref="AF350">IFERROR(_xlfn.BYROW(TRACK_TYPES[[#This Row],[TRACK_TYPE_NARROW_GAUGE_RAILTYPE_OHLE]:[TRACK_TYPE_NARROW_GAUGE_RAILTYPE_NONE]],_xlfn.LAMBDA(_xlpm.r,OR(_xlpm.r))),FALSE)</f>
        <v>0</v>
      </c>
      <c r="AG350" s="38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2985</v>
      </c>
      <c r="B351" s="40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8" t="b" cm="1">
        <f t="array" ref="AE351">IFERROR(_xlfn.BYROW(TRACK_TYPES[[#This Row],[TRACK_TYPE_STANDARD_GAUGE_RAILTYPE_OHLE]:[TRACK_TYPE_STANDARD_GAUGE_RAILTYPE_NONE]],_xlfn.LAMBDA(_xlpm.r,OR(_xlpm.r))),FALSE)</f>
        <v>1</v>
      </c>
      <c r="AF351" s="38" t="b" cm="1">
        <f t="array" ref="AF351">IFERROR(_xlfn.BYROW(TRACK_TYPES[[#This Row],[TRACK_TYPE_NARROW_GAUGE_RAILTYPE_OHLE]:[TRACK_TYPE_NARROW_GAUGE_RAILTYPE_NONE]],_xlfn.LAMBDA(_xlpm.r,OR(_xlpm.r))),FALSE)</f>
        <v>0</v>
      </c>
      <c r="AG351" s="38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2986</v>
      </c>
      <c r="B352" s="40" t="str">
        <f>_xlfn.XLOOKUP(PROPERTIES[[#This Row],[VEHIDCODE]],CONTROL[VEHIDCODE],CONTROL[ENGLISH])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8" t="b" cm="1">
        <f t="array" ref="AE352">IFERROR(_xlfn.BYROW(TRACK_TYPES[[#This Row],[TRACK_TYPE_STANDARD_GAUGE_RAILTYPE_OHLE]:[TRACK_TYPE_STANDARD_GAUGE_RAILTYPE_NONE]],_xlfn.LAMBDA(_xlpm.r,OR(_xlpm.r))),FALSE)</f>
        <v>1</v>
      </c>
      <c r="AF352" s="38" t="b" cm="1">
        <f t="array" ref="AF352">IFERROR(_xlfn.BYROW(TRACK_TYPES[[#This Row],[TRACK_TYPE_NARROW_GAUGE_RAILTYPE_OHLE]:[TRACK_TYPE_NARROW_GAUGE_RAILTYPE_NONE]],_xlfn.LAMBDA(_xlpm.r,OR(_xlpm.r))),FALSE)</f>
        <v>0</v>
      </c>
      <c r="AG352" s="38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2987</v>
      </c>
      <c r="B353" s="40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8" t="b" cm="1">
        <f t="array" ref="AE353">IFERROR(_xlfn.BYROW(TRACK_TYPES[[#This Row],[TRACK_TYPE_STANDARD_GAUGE_RAILTYPE_OHLE]:[TRACK_TYPE_STANDARD_GAUGE_RAILTYPE_NONE]],_xlfn.LAMBDA(_xlpm.r,OR(_xlpm.r))),FALSE)</f>
        <v>1</v>
      </c>
      <c r="AF353" s="38" t="b" cm="1">
        <f t="array" ref="AF353">IFERROR(_xlfn.BYROW(TRACK_TYPES[[#This Row],[TRACK_TYPE_NARROW_GAUGE_RAILTYPE_OHLE]:[TRACK_TYPE_NARROW_GAUGE_RAILTYPE_NONE]],_xlfn.LAMBDA(_xlpm.r,OR(_xlpm.r))),FALSE)</f>
        <v>0</v>
      </c>
      <c r="AG353" s="38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2988</v>
      </c>
      <c r="B354" s="40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8" t="b" cm="1">
        <f t="array" ref="AE354">IFERROR(_xlfn.BYROW(TRACK_TYPES[[#This Row],[TRACK_TYPE_STANDARD_GAUGE_RAILTYPE_OHLE]:[TRACK_TYPE_STANDARD_GAUGE_RAILTYPE_NONE]],_xlfn.LAMBDA(_xlpm.r,OR(_xlpm.r))),FALSE)</f>
        <v>0</v>
      </c>
      <c r="AF354" s="38" t="b" cm="1">
        <f t="array" ref="AF354">IFERROR(_xlfn.BYROW(TRACK_TYPES[[#This Row],[TRACK_TYPE_NARROW_GAUGE_RAILTYPE_OHLE]:[TRACK_TYPE_NARROW_GAUGE_RAILTYPE_NONE]],_xlfn.LAMBDA(_xlpm.r,OR(_xlpm.r))),FALSE)</f>
        <v>1</v>
      </c>
      <c r="AG354" s="38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2989</v>
      </c>
      <c r="B355" s="40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8" t="b" cm="1">
        <f t="array" ref="AE355">IFERROR(_xlfn.BYROW(TRACK_TYPES[[#This Row],[TRACK_TYPE_STANDARD_GAUGE_RAILTYPE_OHLE]:[TRACK_TYPE_STANDARD_GAUGE_RAILTYPE_NONE]],_xlfn.LAMBDA(_xlpm.r,OR(_xlpm.r))),FALSE)</f>
        <v>0</v>
      </c>
      <c r="AF355" s="38" t="b" cm="1">
        <f t="array" ref="AF355">IFERROR(_xlfn.BYROW(TRACK_TYPES[[#This Row],[TRACK_TYPE_NARROW_GAUGE_RAILTYPE_OHLE]:[TRACK_TYPE_NARROW_GAUGE_RAILTYPE_NONE]],_xlfn.LAMBDA(_xlpm.r,OR(_xlpm.r))),FALSE)</f>
        <v>1</v>
      </c>
      <c r="AG355" s="38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2990</v>
      </c>
      <c r="B356" s="40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8" t="b" cm="1">
        <f t="array" ref="AE356">IFERROR(_xlfn.BYROW(TRACK_TYPES[[#This Row],[TRACK_TYPE_STANDARD_GAUGE_RAILTYPE_OHLE]:[TRACK_TYPE_STANDARD_GAUGE_RAILTYPE_NONE]],_xlfn.LAMBDA(_xlpm.r,OR(_xlpm.r))),FALSE)</f>
        <v>1</v>
      </c>
      <c r="AF356" s="38" t="b" cm="1">
        <f t="array" ref="AF356">IFERROR(_xlfn.BYROW(TRACK_TYPES[[#This Row],[TRACK_TYPE_NARROW_GAUGE_RAILTYPE_OHLE]:[TRACK_TYPE_NARROW_GAUGE_RAILTYPE_NONE]],_xlfn.LAMBDA(_xlpm.r,OR(_xlpm.r))),FALSE)</f>
        <v>0</v>
      </c>
      <c r="AG356" s="38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2991</v>
      </c>
      <c r="B357" s="40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8" t="b" cm="1">
        <f t="array" ref="AE357">IFERROR(_xlfn.BYROW(TRACK_TYPES[[#This Row],[TRACK_TYPE_STANDARD_GAUGE_RAILTYPE_OHLE]:[TRACK_TYPE_STANDARD_GAUGE_RAILTYPE_NONE]],_xlfn.LAMBDA(_xlpm.r,OR(_xlpm.r))),FALSE)</f>
        <v>1</v>
      </c>
      <c r="AF357" s="38" t="b" cm="1">
        <f t="array" ref="AF357">IFERROR(_xlfn.BYROW(TRACK_TYPES[[#This Row],[TRACK_TYPE_NARROW_GAUGE_RAILTYPE_OHLE]:[TRACK_TYPE_NARROW_GAUGE_RAILTYPE_NONE]],_xlfn.LAMBDA(_xlpm.r,OR(_xlpm.r))),FALSE)</f>
        <v>0</v>
      </c>
      <c r="AG357" s="38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2992</v>
      </c>
      <c r="B358" s="40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8" t="b" cm="1">
        <f t="array" ref="AE358">IFERROR(_xlfn.BYROW(TRACK_TYPES[[#This Row],[TRACK_TYPE_STANDARD_GAUGE_RAILTYPE_OHLE]:[TRACK_TYPE_STANDARD_GAUGE_RAILTYPE_NONE]],_xlfn.LAMBDA(_xlpm.r,OR(_xlpm.r))),FALSE)</f>
        <v>0</v>
      </c>
      <c r="AF358" s="38" t="b" cm="1">
        <f t="array" ref="AF358">IFERROR(_xlfn.BYROW(TRACK_TYPES[[#This Row],[TRACK_TYPE_NARROW_GAUGE_RAILTYPE_OHLE]:[TRACK_TYPE_NARROW_GAUGE_RAILTYPE_NONE]],_xlfn.LAMBDA(_xlpm.r,OR(_xlpm.r))),FALSE)</f>
        <v>0</v>
      </c>
      <c r="AG358" s="38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2993</v>
      </c>
      <c r="B359" s="40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8" t="b" cm="1">
        <f t="array" ref="AE359">IFERROR(_xlfn.BYROW(TRACK_TYPES[[#This Row],[TRACK_TYPE_STANDARD_GAUGE_RAILTYPE_OHLE]:[TRACK_TYPE_STANDARD_GAUGE_RAILTYPE_NONE]],_xlfn.LAMBDA(_xlpm.r,OR(_xlpm.r))),FALSE)</f>
        <v>1</v>
      </c>
      <c r="AF359" s="38" t="b" cm="1">
        <f t="array" ref="AF359">IFERROR(_xlfn.BYROW(TRACK_TYPES[[#This Row],[TRACK_TYPE_NARROW_GAUGE_RAILTYPE_OHLE]:[TRACK_TYPE_NARROW_GAUGE_RAILTYPE_NONE]],_xlfn.LAMBDA(_xlpm.r,OR(_xlpm.r))),FALSE)</f>
        <v>0</v>
      </c>
      <c r="AG359" s="38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2994</v>
      </c>
      <c r="B360" s="40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8" t="b" cm="1">
        <f t="array" ref="AE360">IFERROR(_xlfn.BYROW(TRACK_TYPES[[#This Row],[TRACK_TYPE_STANDARD_GAUGE_RAILTYPE_OHLE]:[TRACK_TYPE_STANDARD_GAUGE_RAILTYPE_NONE]],_xlfn.LAMBDA(_xlpm.r,OR(_xlpm.r))),FALSE)</f>
        <v>1</v>
      </c>
      <c r="AF360" s="38" t="b" cm="1">
        <f t="array" ref="AF360">IFERROR(_xlfn.BYROW(TRACK_TYPES[[#This Row],[TRACK_TYPE_NARROW_GAUGE_RAILTYPE_OHLE]:[TRACK_TYPE_NARROW_GAUGE_RAILTYPE_NONE]],_xlfn.LAMBDA(_xlpm.r,OR(_xlpm.r))),FALSE)</f>
        <v>0</v>
      </c>
      <c r="AG360" s="38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2995</v>
      </c>
      <c r="B361" s="40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8" t="b" cm="1">
        <f t="array" ref="AE361">IFERROR(_xlfn.BYROW(TRACK_TYPES[[#This Row],[TRACK_TYPE_STANDARD_GAUGE_RAILTYPE_OHLE]:[TRACK_TYPE_STANDARD_GAUGE_RAILTYPE_NONE]],_xlfn.LAMBDA(_xlpm.r,OR(_xlpm.r))),FALSE)</f>
        <v>0</v>
      </c>
      <c r="AF361" s="38" t="b" cm="1">
        <f t="array" ref="AF361">IFERROR(_xlfn.BYROW(TRACK_TYPES[[#This Row],[TRACK_TYPE_NARROW_GAUGE_RAILTYPE_OHLE]:[TRACK_TYPE_NARROW_GAUGE_RAILTYPE_NONE]],_xlfn.LAMBDA(_xlpm.r,OR(_xlpm.r))),FALSE)</f>
        <v>1</v>
      </c>
      <c r="AG361" s="38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2996</v>
      </c>
      <c r="B362" s="40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8" t="b" cm="1">
        <f t="array" ref="AE362">IFERROR(_xlfn.BYROW(TRACK_TYPES[[#This Row],[TRACK_TYPE_STANDARD_GAUGE_RAILTYPE_OHLE]:[TRACK_TYPE_STANDARD_GAUGE_RAILTYPE_NONE]],_xlfn.LAMBDA(_xlpm.r,OR(_xlpm.r))),FALSE)</f>
        <v>0</v>
      </c>
      <c r="AF362" s="38" t="b" cm="1">
        <f t="array" ref="AF362">IFERROR(_xlfn.BYROW(TRACK_TYPES[[#This Row],[TRACK_TYPE_NARROW_GAUGE_RAILTYPE_OHLE]:[TRACK_TYPE_NARROW_GAUGE_RAILTYPE_NONE]],_xlfn.LAMBDA(_xlpm.r,OR(_xlpm.r))),FALSE)</f>
        <v>0</v>
      </c>
      <c r="AG362" s="38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2997</v>
      </c>
      <c r="B363" s="40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8" t="b" cm="1">
        <f t="array" ref="AE363">IFERROR(_xlfn.BYROW(TRACK_TYPES[[#This Row],[TRACK_TYPE_STANDARD_GAUGE_RAILTYPE_OHLE]:[TRACK_TYPE_STANDARD_GAUGE_RAILTYPE_NONE]],_xlfn.LAMBDA(_xlpm.r,OR(_xlpm.r))),FALSE)</f>
        <v>1</v>
      </c>
      <c r="AF363" s="38" t="b" cm="1">
        <f t="array" ref="AF363">IFERROR(_xlfn.BYROW(TRACK_TYPES[[#This Row],[TRACK_TYPE_NARROW_GAUGE_RAILTYPE_OHLE]:[TRACK_TYPE_NARROW_GAUGE_RAILTYPE_NONE]],_xlfn.LAMBDA(_xlpm.r,OR(_xlpm.r))),FALSE)</f>
        <v>0</v>
      </c>
      <c r="AG363" s="38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2998</v>
      </c>
      <c r="B364" s="40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8" t="b" cm="1">
        <f t="array" ref="AE364">IFERROR(_xlfn.BYROW(TRACK_TYPES[[#This Row],[TRACK_TYPE_STANDARD_GAUGE_RAILTYPE_OHLE]:[TRACK_TYPE_STANDARD_GAUGE_RAILTYPE_NONE]],_xlfn.LAMBDA(_xlpm.r,OR(_xlpm.r))),FALSE)</f>
        <v>0</v>
      </c>
      <c r="AF364" s="38" t="b" cm="1">
        <f t="array" ref="AF364">IFERROR(_xlfn.BYROW(TRACK_TYPES[[#This Row],[TRACK_TYPE_NARROW_GAUGE_RAILTYPE_OHLE]:[TRACK_TYPE_NARROW_GAUGE_RAILTYPE_NONE]],_xlfn.LAMBDA(_xlpm.r,OR(_xlpm.r))),FALSE)</f>
        <v>1</v>
      </c>
      <c r="AG364" s="38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2999</v>
      </c>
      <c r="B365" s="40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8" t="b" cm="1">
        <f t="array" ref="AE365">IFERROR(_xlfn.BYROW(TRACK_TYPES[[#This Row],[TRACK_TYPE_STANDARD_GAUGE_RAILTYPE_OHLE]:[TRACK_TYPE_STANDARD_GAUGE_RAILTYPE_NONE]],_xlfn.LAMBDA(_xlpm.r,OR(_xlpm.r))),FALSE)</f>
        <v>1</v>
      </c>
      <c r="AF365" s="38" t="b" cm="1">
        <f t="array" ref="AF365">IFERROR(_xlfn.BYROW(TRACK_TYPES[[#This Row],[TRACK_TYPE_NARROW_GAUGE_RAILTYPE_OHLE]:[TRACK_TYPE_NARROW_GAUGE_RAILTYPE_NONE]],_xlfn.LAMBDA(_xlpm.r,OR(_xlpm.r))),FALSE)</f>
        <v>0</v>
      </c>
      <c r="AG365" s="38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3000</v>
      </c>
      <c r="B366" s="40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8" t="b" cm="1">
        <f t="array" ref="AE366">IFERROR(_xlfn.BYROW(TRACK_TYPES[[#This Row],[TRACK_TYPE_STANDARD_GAUGE_RAILTYPE_OHLE]:[TRACK_TYPE_STANDARD_GAUGE_RAILTYPE_NONE]],_xlfn.LAMBDA(_xlpm.r,OR(_xlpm.r))),FALSE)</f>
        <v>1</v>
      </c>
      <c r="AF366" s="38" t="b" cm="1">
        <f t="array" ref="AF366">IFERROR(_xlfn.BYROW(TRACK_TYPES[[#This Row],[TRACK_TYPE_NARROW_GAUGE_RAILTYPE_OHLE]:[TRACK_TYPE_NARROW_GAUGE_RAILTYPE_NONE]],_xlfn.LAMBDA(_xlpm.r,OR(_xlpm.r))),FALSE)</f>
        <v>0</v>
      </c>
      <c r="AG366" s="38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3001</v>
      </c>
      <c r="B367" s="40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8" t="b" cm="1">
        <f t="array" ref="AE367">IFERROR(_xlfn.BYROW(TRACK_TYPES[[#This Row],[TRACK_TYPE_STANDARD_GAUGE_RAILTYPE_OHLE]:[TRACK_TYPE_STANDARD_GAUGE_RAILTYPE_NONE]],_xlfn.LAMBDA(_xlpm.r,OR(_xlpm.r))),FALSE)</f>
        <v>1</v>
      </c>
      <c r="AF367" s="38" t="b" cm="1">
        <f t="array" ref="AF367">IFERROR(_xlfn.BYROW(TRACK_TYPES[[#This Row],[TRACK_TYPE_NARROW_GAUGE_RAILTYPE_OHLE]:[TRACK_TYPE_NARROW_GAUGE_RAILTYPE_NONE]],_xlfn.LAMBDA(_xlpm.r,OR(_xlpm.r))),FALSE)</f>
        <v>0</v>
      </c>
      <c r="AG367" s="38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3002</v>
      </c>
      <c r="B368" s="40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8" t="b" cm="1">
        <f t="array" ref="AE368">IFERROR(_xlfn.BYROW(TRACK_TYPES[[#This Row],[TRACK_TYPE_STANDARD_GAUGE_RAILTYPE_OHLE]:[TRACK_TYPE_STANDARD_GAUGE_RAILTYPE_NONE]],_xlfn.LAMBDA(_xlpm.r,OR(_xlpm.r))),FALSE)</f>
        <v>1</v>
      </c>
      <c r="AF368" s="38" t="b" cm="1">
        <f t="array" ref="AF368">IFERROR(_xlfn.BYROW(TRACK_TYPES[[#This Row],[TRACK_TYPE_NARROW_GAUGE_RAILTYPE_OHLE]:[TRACK_TYPE_NARROW_GAUGE_RAILTYPE_NONE]],_xlfn.LAMBDA(_xlpm.r,OR(_xlpm.r))),FALSE)</f>
        <v>0</v>
      </c>
      <c r="AG368" s="38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3003</v>
      </c>
      <c r="B369" s="40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8" t="b" cm="1">
        <f t="array" ref="AE369">IFERROR(_xlfn.BYROW(TRACK_TYPES[[#This Row],[TRACK_TYPE_STANDARD_GAUGE_RAILTYPE_OHLE]:[TRACK_TYPE_STANDARD_GAUGE_RAILTYPE_NONE]],_xlfn.LAMBDA(_xlpm.r,OR(_xlpm.r))),FALSE)</f>
        <v>0</v>
      </c>
      <c r="AF369" s="38" t="b" cm="1">
        <f t="array" ref="AF369">IFERROR(_xlfn.BYROW(TRACK_TYPES[[#This Row],[TRACK_TYPE_NARROW_GAUGE_RAILTYPE_OHLE]:[TRACK_TYPE_NARROW_GAUGE_RAILTYPE_NONE]],_xlfn.LAMBDA(_xlpm.r,OR(_xlpm.r))),FALSE)</f>
        <v>0</v>
      </c>
      <c r="AG369" s="38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3004</v>
      </c>
      <c r="B370" s="40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8" t="b" cm="1">
        <f t="array" ref="AE370">IFERROR(_xlfn.BYROW(TRACK_TYPES[[#This Row],[TRACK_TYPE_STANDARD_GAUGE_RAILTYPE_OHLE]:[TRACK_TYPE_STANDARD_GAUGE_RAILTYPE_NONE]],_xlfn.LAMBDA(_xlpm.r,OR(_xlpm.r))),FALSE)</f>
        <v>1</v>
      </c>
      <c r="AF370" s="38" t="b" cm="1">
        <f t="array" ref="AF370">IFERROR(_xlfn.BYROW(TRACK_TYPES[[#This Row],[TRACK_TYPE_NARROW_GAUGE_RAILTYPE_OHLE]:[TRACK_TYPE_NARROW_GAUGE_RAILTYPE_NONE]],_xlfn.LAMBDA(_xlpm.r,OR(_xlpm.r))),FALSE)</f>
        <v>0</v>
      </c>
      <c r="AG370" s="38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3005</v>
      </c>
      <c r="B371" s="40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8" t="b" cm="1">
        <f t="array" ref="AE371">IFERROR(_xlfn.BYROW(TRACK_TYPES[[#This Row],[TRACK_TYPE_STANDARD_GAUGE_RAILTYPE_OHLE]:[TRACK_TYPE_STANDARD_GAUGE_RAILTYPE_NONE]],_xlfn.LAMBDA(_xlpm.r,OR(_xlpm.r))),FALSE)</f>
        <v>0</v>
      </c>
      <c r="AF371" s="38" t="b" cm="1">
        <f t="array" ref="AF371">IFERROR(_xlfn.BYROW(TRACK_TYPES[[#This Row],[TRACK_TYPE_NARROW_GAUGE_RAILTYPE_OHLE]:[TRACK_TYPE_NARROW_GAUGE_RAILTYPE_NONE]],_xlfn.LAMBDA(_xlpm.r,OR(_xlpm.r))),FALSE)</f>
        <v>1</v>
      </c>
      <c r="AG371" s="38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3006</v>
      </c>
      <c r="B372" s="40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8" t="b" cm="1">
        <f t="array" ref="AE372">IFERROR(_xlfn.BYROW(TRACK_TYPES[[#This Row],[TRACK_TYPE_STANDARD_GAUGE_RAILTYPE_OHLE]:[TRACK_TYPE_STANDARD_GAUGE_RAILTYPE_NONE]],_xlfn.LAMBDA(_xlpm.r,OR(_xlpm.r))),FALSE)</f>
        <v>1</v>
      </c>
      <c r="AF372" s="38" t="b" cm="1">
        <f t="array" ref="AF372">IFERROR(_xlfn.BYROW(TRACK_TYPES[[#This Row],[TRACK_TYPE_NARROW_GAUGE_RAILTYPE_OHLE]:[TRACK_TYPE_NARROW_GAUGE_RAILTYPE_NONE]],_xlfn.LAMBDA(_xlpm.r,OR(_xlpm.r))),FALSE)</f>
        <v>0</v>
      </c>
      <c r="AG372" s="38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3007</v>
      </c>
      <c r="B373" s="40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8" t="b" cm="1">
        <f t="array" ref="AE373">IFERROR(_xlfn.BYROW(TRACK_TYPES[[#This Row],[TRACK_TYPE_STANDARD_GAUGE_RAILTYPE_OHLE]:[TRACK_TYPE_STANDARD_GAUGE_RAILTYPE_NONE]],_xlfn.LAMBDA(_xlpm.r,OR(_xlpm.r))),FALSE)</f>
        <v>1</v>
      </c>
      <c r="AF373" s="38" t="b" cm="1">
        <f t="array" ref="AF373">IFERROR(_xlfn.BYROW(TRACK_TYPES[[#This Row],[TRACK_TYPE_NARROW_GAUGE_RAILTYPE_OHLE]:[TRACK_TYPE_NARROW_GAUGE_RAILTYPE_NONE]],_xlfn.LAMBDA(_xlpm.r,OR(_xlpm.r))),FALSE)</f>
        <v>0</v>
      </c>
      <c r="AG373" s="38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3008</v>
      </c>
      <c r="B374" s="40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8" t="b" cm="1">
        <f t="array" ref="AE374">IFERROR(_xlfn.BYROW(TRACK_TYPES[[#This Row],[TRACK_TYPE_STANDARD_GAUGE_RAILTYPE_OHLE]:[TRACK_TYPE_STANDARD_GAUGE_RAILTYPE_NONE]],_xlfn.LAMBDA(_xlpm.r,OR(_xlpm.r))),FALSE)</f>
        <v>1</v>
      </c>
      <c r="AF374" s="38" t="b" cm="1">
        <f t="array" ref="AF374">IFERROR(_xlfn.BYROW(TRACK_TYPES[[#This Row],[TRACK_TYPE_NARROW_GAUGE_RAILTYPE_OHLE]:[TRACK_TYPE_NARROW_GAUGE_RAILTYPE_NONE]],_xlfn.LAMBDA(_xlpm.r,OR(_xlpm.r))),FALSE)</f>
        <v>0</v>
      </c>
      <c r="AG374" s="38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3009</v>
      </c>
      <c r="B375" s="40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8" t="b" cm="1">
        <f t="array" ref="AE375">IFERROR(_xlfn.BYROW(TRACK_TYPES[[#This Row],[TRACK_TYPE_STANDARD_GAUGE_RAILTYPE_OHLE]:[TRACK_TYPE_STANDARD_GAUGE_RAILTYPE_NONE]],_xlfn.LAMBDA(_xlpm.r,OR(_xlpm.r))),FALSE)</f>
        <v>1</v>
      </c>
      <c r="AF375" s="38" t="b" cm="1">
        <f t="array" ref="AF375">IFERROR(_xlfn.BYROW(TRACK_TYPES[[#This Row],[TRACK_TYPE_NARROW_GAUGE_RAILTYPE_OHLE]:[TRACK_TYPE_NARROW_GAUGE_RAILTYPE_NONE]],_xlfn.LAMBDA(_xlpm.r,OR(_xlpm.r))),FALSE)</f>
        <v>0</v>
      </c>
      <c r="AG375" s="38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3010</v>
      </c>
      <c r="B376" s="40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8" t="b" cm="1">
        <f t="array" ref="AE376">IFERROR(_xlfn.BYROW(TRACK_TYPES[[#This Row],[TRACK_TYPE_STANDARD_GAUGE_RAILTYPE_OHLE]:[TRACK_TYPE_STANDARD_GAUGE_RAILTYPE_NONE]],_xlfn.LAMBDA(_xlpm.r,OR(_xlpm.r))),FALSE)</f>
        <v>1</v>
      </c>
      <c r="AF376" s="38" t="b" cm="1">
        <f t="array" ref="AF376">IFERROR(_xlfn.BYROW(TRACK_TYPES[[#This Row],[TRACK_TYPE_NARROW_GAUGE_RAILTYPE_OHLE]:[TRACK_TYPE_NARROW_GAUGE_RAILTYPE_NONE]],_xlfn.LAMBDA(_xlpm.r,OR(_xlpm.r))),FALSE)</f>
        <v>0</v>
      </c>
      <c r="AG376" s="38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3011</v>
      </c>
      <c r="B377" s="40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8" t="b" cm="1">
        <f t="array" ref="AE377">IFERROR(_xlfn.BYROW(TRACK_TYPES[[#This Row],[TRACK_TYPE_STANDARD_GAUGE_RAILTYPE_OHLE]:[TRACK_TYPE_STANDARD_GAUGE_RAILTYPE_NONE]],_xlfn.LAMBDA(_xlpm.r,OR(_xlpm.r))),FALSE)</f>
        <v>1</v>
      </c>
      <c r="AF377" s="38" t="b" cm="1">
        <f t="array" ref="AF377">IFERROR(_xlfn.BYROW(TRACK_TYPES[[#This Row],[TRACK_TYPE_NARROW_GAUGE_RAILTYPE_OHLE]:[TRACK_TYPE_NARROW_GAUGE_RAILTYPE_NONE]],_xlfn.LAMBDA(_xlpm.r,OR(_xlpm.r))),FALSE)</f>
        <v>0</v>
      </c>
      <c r="AG377" s="38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3012</v>
      </c>
      <c r="B378" s="40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8" t="b" cm="1">
        <f t="array" ref="AE378">IFERROR(_xlfn.BYROW(TRACK_TYPES[[#This Row],[TRACK_TYPE_STANDARD_GAUGE_RAILTYPE_OHLE]:[TRACK_TYPE_STANDARD_GAUGE_RAILTYPE_NONE]],_xlfn.LAMBDA(_xlpm.r,OR(_xlpm.r))),FALSE)</f>
        <v>1</v>
      </c>
      <c r="AF378" s="38" t="b" cm="1">
        <f t="array" ref="AF378">IFERROR(_xlfn.BYROW(TRACK_TYPES[[#This Row],[TRACK_TYPE_NARROW_GAUGE_RAILTYPE_OHLE]:[TRACK_TYPE_NARROW_GAUGE_RAILTYPE_NONE]],_xlfn.LAMBDA(_xlpm.r,OR(_xlpm.r))),FALSE)</f>
        <v>0</v>
      </c>
      <c r="AG378" s="38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3013</v>
      </c>
      <c r="B379" s="40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8" t="b" cm="1">
        <f t="array" ref="AE379">IFERROR(_xlfn.BYROW(TRACK_TYPES[[#This Row],[TRACK_TYPE_STANDARD_GAUGE_RAILTYPE_OHLE]:[TRACK_TYPE_STANDARD_GAUGE_RAILTYPE_NONE]],_xlfn.LAMBDA(_xlpm.r,OR(_xlpm.r))),FALSE)</f>
        <v>1</v>
      </c>
      <c r="AF379" s="38" t="b" cm="1">
        <f t="array" ref="AF379">IFERROR(_xlfn.BYROW(TRACK_TYPES[[#This Row],[TRACK_TYPE_NARROW_GAUGE_RAILTYPE_OHLE]:[TRACK_TYPE_NARROW_GAUGE_RAILTYPE_NONE]],_xlfn.LAMBDA(_xlpm.r,OR(_xlpm.r))),FALSE)</f>
        <v>0</v>
      </c>
      <c r="AG379" s="38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3014</v>
      </c>
      <c r="B380" s="40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8" t="b" cm="1">
        <f t="array" ref="AE380">IFERROR(_xlfn.BYROW(TRACK_TYPES[[#This Row],[TRACK_TYPE_STANDARD_GAUGE_RAILTYPE_OHLE]:[TRACK_TYPE_STANDARD_GAUGE_RAILTYPE_NONE]],_xlfn.LAMBDA(_xlpm.r,OR(_xlpm.r))),FALSE)</f>
        <v>1</v>
      </c>
      <c r="AF380" s="38" t="b" cm="1">
        <f t="array" ref="AF380">IFERROR(_xlfn.BYROW(TRACK_TYPES[[#This Row],[TRACK_TYPE_NARROW_GAUGE_RAILTYPE_OHLE]:[TRACK_TYPE_NARROW_GAUGE_RAILTYPE_NONE]],_xlfn.LAMBDA(_xlpm.r,OR(_xlpm.r))),FALSE)</f>
        <v>0</v>
      </c>
      <c r="AG380" s="38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3015</v>
      </c>
      <c r="B381" s="40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8" t="b" cm="1">
        <f t="array" ref="AE381">IFERROR(_xlfn.BYROW(TRACK_TYPES[[#This Row],[TRACK_TYPE_STANDARD_GAUGE_RAILTYPE_OHLE]:[TRACK_TYPE_STANDARD_GAUGE_RAILTYPE_NONE]],_xlfn.LAMBDA(_xlpm.r,OR(_xlpm.r))),FALSE)</f>
        <v>0</v>
      </c>
      <c r="AF381" s="38" t="b" cm="1">
        <f t="array" ref="AF381">IFERROR(_xlfn.BYROW(TRACK_TYPES[[#This Row],[TRACK_TYPE_NARROW_GAUGE_RAILTYPE_OHLE]:[TRACK_TYPE_NARROW_GAUGE_RAILTYPE_NONE]],_xlfn.LAMBDA(_xlpm.r,OR(_xlpm.r))),FALSE)</f>
        <v>0</v>
      </c>
      <c r="AG381" s="38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3016</v>
      </c>
      <c r="B382" s="40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8" t="b" cm="1">
        <f t="array" ref="AE382">IFERROR(_xlfn.BYROW(TRACK_TYPES[[#This Row],[TRACK_TYPE_STANDARD_GAUGE_RAILTYPE_OHLE]:[TRACK_TYPE_STANDARD_GAUGE_RAILTYPE_NONE]],_xlfn.LAMBDA(_xlpm.r,OR(_xlpm.r))),FALSE)</f>
        <v>0</v>
      </c>
      <c r="AF382" s="38" t="b" cm="1">
        <f t="array" ref="AF382">IFERROR(_xlfn.BYROW(TRACK_TYPES[[#This Row],[TRACK_TYPE_NARROW_GAUGE_RAILTYPE_OHLE]:[TRACK_TYPE_NARROW_GAUGE_RAILTYPE_NONE]],_xlfn.LAMBDA(_xlpm.r,OR(_xlpm.r))),FALSE)</f>
        <v>0</v>
      </c>
      <c r="AG382" s="38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3017</v>
      </c>
      <c r="B383" s="40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8" t="b" cm="1">
        <f t="array" ref="AE383">IFERROR(_xlfn.BYROW(TRACK_TYPES[[#This Row],[TRACK_TYPE_STANDARD_GAUGE_RAILTYPE_OHLE]:[TRACK_TYPE_STANDARD_GAUGE_RAILTYPE_NONE]],_xlfn.LAMBDA(_xlpm.r,OR(_xlpm.r))),FALSE)</f>
        <v>0</v>
      </c>
      <c r="AF383" s="38" t="b" cm="1">
        <f t="array" ref="AF383">IFERROR(_xlfn.BYROW(TRACK_TYPES[[#This Row],[TRACK_TYPE_NARROW_GAUGE_RAILTYPE_OHLE]:[TRACK_TYPE_NARROW_GAUGE_RAILTYPE_NONE]],_xlfn.LAMBDA(_xlpm.r,OR(_xlpm.r))),FALSE)</f>
        <v>0</v>
      </c>
      <c r="AG383" s="38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3018</v>
      </c>
      <c r="B384" s="40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8" t="b" cm="1">
        <f t="array" ref="AE384">IFERROR(_xlfn.BYROW(TRACK_TYPES[[#This Row],[TRACK_TYPE_STANDARD_GAUGE_RAILTYPE_OHLE]:[TRACK_TYPE_STANDARD_GAUGE_RAILTYPE_NONE]],_xlfn.LAMBDA(_xlpm.r,OR(_xlpm.r))),FALSE)</f>
        <v>1</v>
      </c>
      <c r="AF384" s="38" t="b" cm="1">
        <f t="array" ref="AF384">IFERROR(_xlfn.BYROW(TRACK_TYPES[[#This Row],[TRACK_TYPE_NARROW_GAUGE_RAILTYPE_OHLE]:[TRACK_TYPE_NARROW_GAUGE_RAILTYPE_NONE]],_xlfn.LAMBDA(_xlpm.r,OR(_xlpm.r))),FALSE)</f>
        <v>0</v>
      </c>
      <c r="AG384" s="38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3019</v>
      </c>
      <c r="B385" s="40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8" t="b" cm="1">
        <f t="array" ref="AE385">IFERROR(_xlfn.BYROW(TRACK_TYPES[[#This Row],[TRACK_TYPE_STANDARD_GAUGE_RAILTYPE_OHLE]:[TRACK_TYPE_STANDARD_GAUGE_RAILTYPE_NONE]],_xlfn.LAMBDA(_xlpm.r,OR(_xlpm.r))),FALSE)</f>
        <v>0</v>
      </c>
      <c r="AF385" s="38" t="b" cm="1">
        <f t="array" ref="AF385">IFERROR(_xlfn.BYROW(TRACK_TYPES[[#This Row],[TRACK_TYPE_NARROW_GAUGE_RAILTYPE_OHLE]:[TRACK_TYPE_NARROW_GAUGE_RAILTYPE_NONE]],_xlfn.LAMBDA(_xlpm.r,OR(_xlpm.r))),FALSE)</f>
        <v>0</v>
      </c>
      <c r="AG385" s="38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3020</v>
      </c>
      <c r="B386" s="40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8" t="b" cm="1">
        <f t="array" ref="AE386">IFERROR(_xlfn.BYROW(TRACK_TYPES[[#This Row],[TRACK_TYPE_STANDARD_GAUGE_RAILTYPE_OHLE]:[TRACK_TYPE_STANDARD_GAUGE_RAILTYPE_NONE]],_xlfn.LAMBDA(_xlpm.r,OR(_xlpm.r))),FALSE)</f>
        <v>0</v>
      </c>
      <c r="AF386" s="38" t="b" cm="1">
        <f t="array" ref="AF386">IFERROR(_xlfn.BYROW(TRACK_TYPES[[#This Row],[TRACK_TYPE_NARROW_GAUGE_RAILTYPE_OHLE]:[TRACK_TYPE_NARROW_GAUGE_RAILTYPE_NONE]],_xlfn.LAMBDA(_xlpm.r,OR(_xlpm.r))),FALSE)</f>
        <v>1</v>
      </c>
      <c r="AG386" s="38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3021</v>
      </c>
      <c r="B387" s="40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8" t="b" cm="1">
        <f t="array" ref="AE387">IFERROR(_xlfn.BYROW(TRACK_TYPES[[#This Row],[TRACK_TYPE_STANDARD_GAUGE_RAILTYPE_OHLE]:[TRACK_TYPE_STANDARD_GAUGE_RAILTYPE_NONE]],_xlfn.LAMBDA(_xlpm.r,OR(_xlpm.r))),FALSE)</f>
        <v>0</v>
      </c>
      <c r="AF387" s="38" t="b" cm="1">
        <f t="array" ref="AF387">IFERROR(_xlfn.BYROW(TRACK_TYPES[[#This Row],[TRACK_TYPE_NARROW_GAUGE_RAILTYPE_OHLE]:[TRACK_TYPE_NARROW_GAUGE_RAILTYPE_NONE]],_xlfn.LAMBDA(_xlpm.r,OR(_xlpm.r))),FALSE)</f>
        <v>0</v>
      </c>
      <c r="AG387" s="38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3022</v>
      </c>
      <c r="B388" s="40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8" t="b" cm="1">
        <f t="array" ref="AE388">IFERROR(_xlfn.BYROW(TRACK_TYPES[[#This Row],[TRACK_TYPE_STANDARD_GAUGE_RAILTYPE_OHLE]:[TRACK_TYPE_STANDARD_GAUGE_RAILTYPE_NONE]],_xlfn.LAMBDA(_xlpm.r,OR(_xlpm.r))),FALSE)</f>
        <v>1</v>
      </c>
      <c r="AF388" s="38" t="b" cm="1">
        <f t="array" ref="AF388">IFERROR(_xlfn.BYROW(TRACK_TYPES[[#This Row],[TRACK_TYPE_NARROW_GAUGE_RAILTYPE_OHLE]:[TRACK_TYPE_NARROW_GAUGE_RAILTYPE_NONE]],_xlfn.LAMBDA(_xlpm.r,OR(_xlpm.r))),FALSE)</f>
        <v>0</v>
      </c>
      <c r="AG388" s="38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3023</v>
      </c>
      <c r="B389" s="40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8" t="b" cm="1">
        <f t="array" ref="AE389">IFERROR(_xlfn.BYROW(TRACK_TYPES[[#This Row],[TRACK_TYPE_STANDARD_GAUGE_RAILTYPE_OHLE]:[TRACK_TYPE_STANDARD_GAUGE_RAILTYPE_NONE]],_xlfn.LAMBDA(_xlpm.r,OR(_xlpm.r))),FALSE)</f>
        <v>1</v>
      </c>
      <c r="AF389" s="38" t="b" cm="1">
        <f t="array" ref="AF389">IFERROR(_xlfn.BYROW(TRACK_TYPES[[#This Row],[TRACK_TYPE_NARROW_GAUGE_RAILTYPE_OHLE]:[TRACK_TYPE_NARROW_GAUGE_RAILTYPE_NONE]],_xlfn.LAMBDA(_xlpm.r,OR(_xlpm.r))),FALSE)</f>
        <v>0</v>
      </c>
      <c r="AG389" s="38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3024</v>
      </c>
      <c r="B390" s="40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8" t="b" cm="1">
        <f t="array" ref="AE390">IFERROR(_xlfn.BYROW(TRACK_TYPES[[#This Row],[TRACK_TYPE_STANDARD_GAUGE_RAILTYPE_OHLE]:[TRACK_TYPE_STANDARD_GAUGE_RAILTYPE_NONE]],_xlfn.LAMBDA(_xlpm.r,OR(_xlpm.r))),FALSE)</f>
        <v>1</v>
      </c>
      <c r="AF390" s="38" t="b" cm="1">
        <f t="array" ref="AF390">IFERROR(_xlfn.BYROW(TRACK_TYPES[[#This Row],[TRACK_TYPE_NARROW_GAUGE_RAILTYPE_OHLE]:[TRACK_TYPE_NARROW_GAUGE_RAILTYPE_NONE]],_xlfn.LAMBDA(_xlpm.r,OR(_xlpm.r))),FALSE)</f>
        <v>0</v>
      </c>
      <c r="AG390" s="38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3025</v>
      </c>
      <c r="B391" s="40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8" t="b" cm="1">
        <f t="array" ref="AE391">IFERROR(_xlfn.BYROW(TRACK_TYPES[[#This Row],[TRACK_TYPE_STANDARD_GAUGE_RAILTYPE_OHLE]:[TRACK_TYPE_STANDARD_GAUGE_RAILTYPE_NONE]],_xlfn.LAMBDA(_xlpm.r,OR(_xlpm.r))),FALSE)</f>
        <v>1</v>
      </c>
      <c r="AF391" s="38" t="b" cm="1">
        <f t="array" ref="AF391">IFERROR(_xlfn.BYROW(TRACK_TYPES[[#This Row],[TRACK_TYPE_NARROW_GAUGE_RAILTYPE_OHLE]:[TRACK_TYPE_NARROW_GAUGE_RAILTYPE_NONE]],_xlfn.LAMBDA(_xlpm.r,OR(_xlpm.r))),FALSE)</f>
        <v>0</v>
      </c>
      <c r="AG391" s="38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3026</v>
      </c>
      <c r="B392" s="40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8" t="b" cm="1">
        <f t="array" ref="AE392">IFERROR(_xlfn.BYROW(TRACK_TYPES[[#This Row],[TRACK_TYPE_STANDARD_GAUGE_RAILTYPE_OHLE]:[TRACK_TYPE_STANDARD_GAUGE_RAILTYPE_NONE]],_xlfn.LAMBDA(_xlpm.r,OR(_xlpm.r))),FALSE)</f>
        <v>1</v>
      </c>
      <c r="AF392" s="38" t="b" cm="1">
        <f t="array" ref="AF392">IFERROR(_xlfn.BYROW(TRACK_TYPES[[#This Row],[TRACK_TYPE_NARROW_GAUGE_RAILTYPE_OHLE]:[TRACK_TYPE_NARROW_GAUGE_RAILTYPE_NONE]],_xlfn.LAMBDA(_xlpm.r,OR(_xlpm.r))),FALSE)</f>
        <v>0</v>
      </c>
      <c r="AG392" s="38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3027</v>
      </c>
      <c r="B393" s="40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8" t="b" cm="1">
        <f t="array" ref="AE393">IFERROR(_xlfn.BYROW(TRACK_TYPES[[#This Row],[TRACK_TYPE_STANDARD_GAUGE_RAILTYPE_OHLE]:[TRACK_TYPE_STANDARD_GAUGE_RAILTYPE_NONE]],_xlfn.LAMBDA(_xlpm.r,OR(_xlpm.r))),FALSE)</f>
        <v>1</v>
      </c>
      <c r="AF393" s="38" t="b" cm="1">
        <f t="array" ref="AF393">IFERROR(_xlfn.BYROW(TRACK_TYPES[[#This Row],[TRACK_TYPE_NARROW_GAUGE_RAILTYPE_OHLE]:[TRACK_TYPE_NARROW_GAUGE_RAILTYPE_NONE]],_xlfn.LAMBDA(_xlpm.r,OR(_xlpm.r))),FALSE)</f>
        <v>0</v>
      </c>
      <c r="AG393" s="38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3028</v>
      </c>
      <c r="B394" s="40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8" t="b" cm="1">
        <f t="array" ref="AE394">IFERROR(_xlfn.BYROW(TRACK_TYPES[[#This Row],[TRACK_TYPE_STANDARD_GAUGE_RAILTYPE_OHLE]:[TRACK_TYPE_STANDARD_GAUGE_RAILTYPE_NONE]],_xlfn.LAMBDA(_xlpm.r,OR(_xlpm.r))),FALSE)</f>
        <v>1</v>
      </c>
      <c r="AF394" s="38" t="b" cm="1">
        <f t="array" ref="AF394">IFERROR(_xlfn.BYROW(TRACK_TYPES[[#This Row],[TRACK_TYPE_NARROW_GAUGE_RAILTYPE_OHLE]:[TRACK_TYPE_NARROW_GAUGE_RAILTYPE_NONE]],_xlfn.LAMBDA(_xlpm.r,OR(_xlpm.r))),FALSE)</f>
        <v>0</v>
      </c>
      <c r="AG394" s="38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3029</v>
      </c>
      <c r="B395" s="40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8" t="b" cm="1">
        <f t="array" ref="AE395">IFERROR(_xlfn.BYROW(TRACK_TYPES[[#This Row],[TRACK_TYPE_STANDARD_GAUGE_RAILTYPE_OHLE]:[TRACK_TYPE_STANDARD_GAUGE_RAILTYPE_NONE]],_xlfn.LAMBDA(_xlpm.r,OR(_xlpm.r))),FALSE)</f>
        <v>1</v>
      </c>
      <c r="AF395" s="38" t="b" cm="1">
        <f t="array" ref="AF395">IFERROR(_xlfn.BYROW(TRACK_TYPES[[#This Row],[TRACK_TYPE_NARROW_GAUGE_RAILTYPE_OHLE]:[TRACK_TYPE_NARROW_GAUGE_RAILTYPE_NONE]],_xlfn.LAMBDA(_xlpm.r,OR(_xlpm.r))),FALSE)</f>
        <v>0</v>
      </c>
      <c r="AG395" s="38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3030</v>
      </c>
      <c r="B396" s="40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8" t="b" cm="1">
        <f t="array" ref="AE396">IFERROR(_xlfn.BYROW(TRACK_TYPES[[#This Row],[TRACK_TYPE_STANDARD_GAUGE_RAILTYPE_OHLE]:[TRACK_TYPE_STANDARD_GAUGE_RAILTYPE_NONE]],_xlfn.LAMBDA(_xlpm.r,OR(_xlpm.r))),FALSE)</f>
        <v>1</v>
      </c>
      <c r="AF396" s="38" t="b" cm="1">
        <f t="array" ref="AF396">IFERROR(_xlfn.BYROW(TRACK_TYPES[[#This Row],[TRACK_TYPE_NARROW_GAUGE_RAILTYPE_OHLE]:[TRACK_TYPE_NARROW_GAUGE_RAILTYPE_NONE]],_xlfn.LAMBDA(_xlpm.r,OR(_xlpm.r))),FALSE)</f>
        <v>0</v>
      </c>
      <c r="AG396" s="38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3031</v>
      </c>
      <c r="B397" s="40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8" t="b" cm="1">
        <f t="array" ref="AE397">IFERROR(_xlfn.BYROW(TRACK_TYPES[[#This Row],[TRACK_TYPE_STANDARD_GAUGE_RAILTYPE_OHLE]:[TRACK_TYPE_STANDARD_GAUGE_RAILTYPE_NONE]],_xlfn.LAMBDA(_xlpm.r,OR(_xlpm.r))),FALSE)</f>
        <v>1</v>
      </c>
      <c r="AF397" s="38" t="b" cm="1">
        <f t="array" ref="AF397">IFERROR(_xlfn.BYROW(TRACK_TYPES[[#This Row],[TRACK_TYPE_NARROW_GAUGE_RAILTYPE_OHLE]:[TRACK_TYPE_NARROW_GAUGE_RAILTYPE_NONE]],_xlfn.LAMBDA(_xlpm.r,OR(_xlpm.r))),FALSE)</f>
        <v>0</v>
      </c>
      <c r="AG397" s="38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3032</v>
      </c>
      <c r="B398" s="40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8" t="b" cm="1">
        <f t="array" ref="AE398">IFERROR(_xlfn.BYROW(TRACK_TYPES[[#This Row],[TRACK_TYPE_STANDARD_GAUGE_RAILTYPE_OHLE]:[TRACK_TYPE_STANDARD_GAUGE_RAILTYPE_NONE]],_xlfn.LAMBDA(_xlpm.r,OR(_xlpm.r))),FALSE)</f>
        <v>1</v>
      </c>
      <c r="AF398" s="38" t="b" cm="1">
        <f t="array" ref="AF398">IFERROR(_xlfn.BYROW(TRACK_TYPES[[#This Row],[TRACK_TYPE_NARROW_GAUGE_RAILTYPE_OHLE]:[TRACK_TYPE_NARROW_GAUGE_RAILTYPE_NONE]],_xlfn.LAMBDA(_xlpm.r,OR(_xlpm.r))),FALSE)</f>
        <v>0</v>
      </c>
      <c r="AG398" s="38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3033</v>
      </c>
      <c r="B399" s="40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8" t="b" cm="1">
        <f t="array" ref="AE399">IFERROR(_xlfn.BYROW(TRACK_TYPES[[#This Row],[TRACK_TYPE_STANDARD_GAUGE_RAILTYPE_OHLE]:[TRACK_TYPE_STANDARD_GAUGE_RAILTYPE_NONE]],_xlfn.LAMBDA(_xlpm.r,OR(_xlpm.r))),FALSE)</f>
        <v>1</v>
      </c>
      <c r="AF399" s="38" t="b" cm="1">
        <f t="array" ref="AF399">IFERROR(_xlfn.BYROW(TRACK_TYPES[[#This Row],[TRACK_TYPE_NARROW_GAUGE_RAILTYPE_OHLE]:[TRACK_TYPE_NARROW_GAUGE_RAILTYPE_NONE]],_xlfn.LAMBDA(_xlpm.r,OR(_xlpm.r))),FALSE)</f>
        <v>0</v>
      </c>
      <c r="AG399" s="38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3034</v>
      </c>
      <c r="B400" s="40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8" t="b" cm="1">
        <f t="array" ref="AE400">IFERROR(_xlfn.BYROW(TRACK_TYPES[[#This Row],[TRACK_TYPE_STANDARD_GAUGE_RAILTYPE_OHLE]:[TRACK_TYPE_STANDARD_GAUGE_RAILTYPE_NONE]],_xlfn.LAMBDA(_xlpm.r,OR(_xlpm.r))),FALSE)</f>
        <v>1</v>
      </c>
      <c r="AF400" s="38" t="b" cm="1">
        <f t="array" ref="AF400">IFERROR(_xlfn.BYROW(TRACK_TYPES[[#This Row],[TRACK_TYPE_NARROW_GAUGE_RAILTYPE_OHLE]:[TRACK_TYPE_NARROW_GAUGE_RAILTYPE_NONE]],_xlfn.LAMBDA(_xlpm.r,OR(_xlpm.r))),FALSE)</f>
        <v>0</v>
      </c>
      <c r="AG400" s="38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3035</v>
      </c>
      <c r="B401" s="40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8" t="b" cm="1">
        <f t="array" ref="AE401">IFERROR(_xlfn.BYROW(TRACK_TYPES[[#This Row],[TRACK_TYPE_STANDARD_GAUGE_RAILTYPE_OHLE]:[TRACK_TYPE_STANDARD_GAUGE_RAILTYPE_NONE]],_xlfn.LAMBDA(_xlpm.r,OR(_xlpm.r))),FALSE)</f>
        <v>1</v>
      </c>
      <c r="AF401" s="38" t="b" cm="1">
        <f t="array" ref="AF401">IFERROR(_xlfn.BYROW(TRACK_TYPES[[#This Row],[TRACK_TYPE_NARROW_GAUGE_RAILTYPE_OHLE]:[TRACK_TYPE_NARROW_GAUGE_RAILTYPE_NONE]],_xlfn.LAMBDA(_xlpm.r,OR(_xlpm.r))),FALSE)</f>
        <v>0</v>
      </c>
      <c r="AG401" s="38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3036</v>
      </c>
      <c r="B402" s="40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8" t="b" cm="1">
        <f t="array" ref="AE402">IFERROR(_xlfn.BYROW(TRACK_TYPES[[#This Row],[TRACK_TYPE_STANDARD_GAUGE_RAILTYPE_OHLE]:[TRACK_TYPE_STANDARD_GAUGE_RAILTYPE_NONE]],_xlfn.LAMBDA(_xlpm.r,OR(_xlpm.r))),FALSE)</f>
        <v>1</v>
      </c>
      <c r="AF402" s="38" t="b" cm="1">
        <f t="array" ref="AF402">IFERROR(_xlfn.BYROW(TRACK_TYPES[[#This Row],[TRACK_TYPE_NARROW_GAUGE_RAILTYPE_OHLE]:[TRACK_TYPE_NARROW_GAUGE_RAILTYPE_NONE]],_xlfn.LAMBDA(_xlpm.r,OR(_xlpm.r))),FALSE)</f>
        <v>0</v>
      </c>
      <c r="AG402" s="38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3037</v>
      </c>
      <c r="B403" s="40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8" t="b" cm="1">
        <f t="array" ref="AE403">IFERROR(_xlfn.BYROW(TRACK_TYPES[[#This Row],[TRACK_TYPE_STANDARD_GAUGE_RAILTYPE_OHLE]:[TRACK_TYPE_STANDARD_GAUGE_RAILTYPE_NONE]],_xlfn.LAMBDA(_xlpm.r,OR(_xlpm.r))),FALSE)</f>
        <v>1</v>
      </c>
      <c r="AF403" s="38" t="b" cm="1">
        <f t="array" ref="AF403">IFERROR(_xlfn.BYROW(TRACK_TYPES[[#This Row],[TRACK_TYPE_NARROW_GAUGE_RAILTYPE_OHLE]:[TRACK_TYPE_NARROW_GAUGE_RAILTYPE_NONE]],_xlfn.LAMBDA(_xlpm.r,OR(_xlpm.r))),FALSE)</f>
        <v>0</v>
      </c>
      <c r="AG403" s="38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3038</v>
      </c>
      <c r="B404" s="40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8" t="b" cm="1">
        <f t="array" ref="AE404">IFERROR(_xlfn.BYROW(TRACK_TYPES[[#This Row],[TRACK_TYPE_STANDARD_GAUGE_RAILTYPE_OHLE]:[TRACK_TYPE_STANDARD_GAUGE_RAILTYPE_NONE]],_xlfn.LAMBDA(_xlpm.r,OR(_xlpm.r))),FALSE)</f>
        <v>1</v>
      </c>
      <c r="AF404" s="38" t="b" cm="1">
        <f t="array" ref="AF404">IFERROR(_xlfn.BYROW(TRACK_TYPES[[#This Row],[TRACK_TYPE_NARROW_GAUGE_RAILTYPE_OHLE]:[TRACK_TYPE_NARROW_GAUGE_RAILTYPE_NONE]],_xlfn.LAMBDA(_xlpm.r,OR(_xlpm.r))),FALSE)</f>
        <v>0</v>
      </c>
      <c r="AG404" s="38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3039</v>
      </c>
      <c r="B405" s="40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8" t="b" cm="1">
        <f t="array" ref="AE405">IFERROR(_xlfn.BYROW(TRACK_TYPES[[#This Row],[TRACK_TYPE_STANDARD_GAUGE_RAILTYPE_OHLE]:[TRACK_TYPE_STANDARD_GAUGE_RAILTYPE_NONE]],_xlfn.LAMBDA(_xlpm.r,OR(_xlpm.r))),FALSE)</f>
        <v>1</v>
      </c>
      <c r="AF405" s="38" t="b" cm="1">
        <f t="array" ref="AF405">IFERROR(_xlfn.BYROW(TRACK_TYPES[[#This Row],[TRACK_TYPE_NARROW_GAUGE_RAILTYPE_OHLE]:[TRACK_TYPE_NARROW_GAUGE_RAILTYPE_NONE]],_xlfn.LAMBDA(_xlpm.r,OR(_xlpm.r))),FALSE)</f>
        <v>0</v>
      </c>
      <c r="AG405" s="38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3040</v>
      </c>
      <c r="B406" s="40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8" t="b" cm="1">
        <f t="array" ref="AE406">IFERROR(_xlfn.BYROW(TRACK_TYPES[[#This Row],[TRACK_TYPE_STANDARD_GAUGE_RAILTYPE_OHLE]:[TRACK_TYPE_STANDARD_GAUGE_RAILTYPE_NONE]],_xlfn.LAMBDA(_xlpm.r,OR(_xlpm.r))),FALSE)</f>
        <v>1</v>
      </c>
      <c r="AF406" s="38" t="b" cm="1">
        <f t="array" ref="AF406">IFERROR(_xlfn.BYROW(TRACK_TYPES[[#This Row],[TRACK_TYPE_NARROW_GAUGE_RAILTYPE_OHLE]:[TRACK_TYPE_NARROW_GAUGE_RAILTYPE_NONE]],_xlfn.LAMBDA(_xlpm.r,OR(_xlpm.r))),FALSE)</f>
        <v>0</v>
      </c>
      <c r="AG406" s="38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3041</v>
      </c>
      <c r="B407" s="40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8" t="b" cm="1">
        <f t="array" ref="AE407">IFERROR(_xlfn.BYROW(TRACK_TYPES[[#This Row],[TRACK_TYPE_STANDARD_GAUGE_RAILTYPE_OHLE]:[TRACK_TYPE_STANDARD_GAUGE_RAILTYPE_NONE]],_xlfn.LAMBDA(_xlpm.r,OR(_xlpm.r))),FALSE)</f>
        <v>1</v>
      </c>
      <c r="AF407" s="38" t="b" cm="1">
        <f t="array" ref="AF407">IFERROR(_xlfn.BYROW(TRACK_TYPES[[#This Row],[TRACK_TYPE_NARROW_GAUGE_RAILTYPE_OHLE]:[TRACK_TYPE_NARROW_GAUGE_RAILTYPE_NONE]],_xlfn.LAMBDA(_xlpm.r,OR(_xlpm.r))),FALSE)</f>
        <v>0</v>
      </c>
      <c r="AG407" s="38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3042</v>
      </c>
      <c r="B408" s="40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8" t="b" cm="1">
        <f t="array" ref="AE408">IFERROR(_xlfn.BYROW(TRACK_TYPES[[#This Row],[TRACK_TYPE_STANDARD_GAUGE_RAILTYPE_OHLE]:[TRACK_TYPE_STANDARD_GAUGE_RAILTYPE_NONE]],_xlfn.LAMBDA(_xlpm.r,OR(_xlpm.r))),FALSE)</f>
        <v>1</v>
      </c>
      <c r="AF408" s="38" t="b" cm="1">
        <f t="array" ref="AF408">IFERROR(_xlfn.BYROW(TRACK_TYPES[[#This Row],[TRACK_TYPE_NARROW_GAUGE_RAILTYPE_OHLE]:[TRACK_TYPE_NARROW_GAUGE_RAILTYPE_NONE]],_xlfn.LAMBDA(_xlpm.r,OR(_xlpm.r))),FALSE)</f>
        <v>0</v>
      </c>
      <c r="AG408" s="38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3043</v>
      </c>
      <c r="B409" s="40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8" t="b" cm="1">
        <f t="array" ref="AE409">IFERROR(_xlfn.BYROW(TRACK_TYPES[[#This Row],[TRACK_TYPE_STANDARD_GAUGE_RAILTYPE_OHLE]:[TRACK_TYPE_STANDARD_GAUGE_RAILTYPE_NONE]],_xlfn.LAMBDA(_xlpm.r,OR(_xlpm.r))),FALSE)</f>
        <v>1</v>
      </c>
      <c r="AF409" s="38" t="b" cm="1">
        <f t="array" ref="AF409">IFERROR(_xlfn.BYROW(TRACK_TYPES[[#This Row],[TRACK_TYPE_NARROW_GAUGE_RAILTYPE_OHLE]:[TRACK_TYPE_NARROW_GAUGE_RAILTYPE_NONE]],_xlfn.LAMBDA(_xlpm.r,OR(_xlpm.r))),FALSE)</f>
        <v>0</v>
      </c>
      <c r="AG409" s="38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3044</v>
      </c>
      <c r="B410" s="40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8" t="b" cm="1">
        <f t="array" ref="AE410">IFERROR(_xlfn.BYROW(TRACK_TYPES[[#This Row],[TRACK_TYPE_STANDARD_GAUGE_RAILTYPE_OHLE]:[TRACK_TYPE_STANDARD_GAUGE_RAILTYPE_NONE]],_xlfn.LAMBDA(_xlpm.r,OR(_xlpm.r))),FALSE)</f>
        <v>1</v>
      </c>
      <c r="AF410" s="38" t="b" cm="1">
        <f t="array" ref="AF410">IFERROR(_xlfn.BYROW(TRACK_TYPES[[#This Row],[TRACK_TYPE_NARROW_GAUGE_RAILTYPE_OHLE]:[TRACK_TYPE_NARROW_GAUGE_RAILTYPE_NONE]],_xlfn.LAMBDA(_xlpm.r,OR(_xlpm.r))),FALSE)</f>
        <v>0</v>
      </c>
      <c r="AG410" s="38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3045</v>
      </c>
      <c r="B411" s="40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8" t="b" cm="1">
        <f t="array" ref="AE411">IFERROR(_xlfn.BYROW(TRACK_TYPES[[#This Row],[TRACK_TYPE_STANDARD_GAUGE_RAILTYPE_OHLE]:[TRACK_TYPE_STANDARD_GAUGE_RAILTYPE_NONE]],_xlfn.LAMBDA(_xlpm.r,OR(_xlpm.r))),FALSE)</f>
        <v>1</v>
      </c>
      <c r="AF411" s="38" t="b" cm="1">
        <f t="array" ref="AF411">IFERROR(_xlfn.BYROW(TRACK_TYPES[[#This Row],[TRACK_TYPE_NARROW_GAUGE_RAILTYPE_OHLE]:[TRACK_TYPE_NARROW_GAUGE_RAILTYPE_NONE]],_xlfn.LAMBDA(_xlpm.r,OR(_xlpm.r))),FALSE)</f>
        <v>0</v>
      </c>
      <c r="AG411" s="38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3046</v>
      </c>
      <c r="B412" s="40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8" t="b" cm="1">
        <f t="array" ref="AE412">IFERROR(_xlfn.BYROW(TRACK_TYPES[[#This Row],[TRACK_TYPE_STANDARD_GAUGE_RAILTYPE_OHLE]:[TRACK_TYPE_STANDARD_GAUGE_RAILTYPE_NONE]],_xlfn.LAMBDA(_xlpm.r,OR(_xlpm.r))),FALSE)</f>
        <v>1</v>
      </c>
      <c r="AF412" s="38" t="b" cm="1">
        <f t="array" ref="AF412">IFERROR(_xlfn.BYROW(TRACK_TYPES[[#This Row],[TRACK_TYPE_NARROW_GAUGE_RAILTYPE_OHLE]:[TRACK_TYPE_NARROW_GAUGE_RAILTYPE_NONE]],_xlfn.LAMBDA(_xlpm.r,OR(_xlpm.r))),FALSE)</f>
        <v>0</v>
      </c>
      <c r="AG412" s="38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3047</v>
      </c>
      <c r="B413" s="40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8" t="b" cm="1">
        <f t="array" ref="AE413">IFERROR(_xlfn.BYROW(TRACK_TYPES[[#This Row],[TRACK_TYPE_STANDARD_GAUGE_RAILTYPE_OHLE]:[TRACK_TYPE_STANDARD_GAUGE_RAILTYPE_NONE]],_xlfn.LAMBDA(_xlpm.r,OR(_xlpm.r))),FALSE)</f>
        <v>1</v>
      </c>
      <c r="AF413" s="38" t="b" cm="1">
        <f t="array" ref="AF413">IFERROR(_xlfn.BYROW(TRACK_TYPES[[#This Row],[TRACK_TYPE_NARROW_GAUGE_RAILTYPE_OHLE]:[TRACK_TYPE_NARROW_GAUGE_RAILTYPE_NONE]],_xlfn.LAMBDA(_xlpm.r,OR(_xlpm.r))),FALSE)</f>
        <v>0</v>
      </c>
      <c r="AG413" s="38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3048</v>
      </c>
      <c r="B414" s="40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8" t="b" cm="1">
        <f t="array" ref="AE414">IFERROR(_xlfn.BYROW(TRACK_TYPES[[#This Row],[TRACK_TYPE_STANDARD_GAUGE_RAILTYPE_OHLE]:[TRACK_TYPE_STANDARD_GAUGE_RAILTYPE_NONE]],_xlfn.LAMBDA(_xlpm.r,OR(_xlpm.r))),FALSE)</f>
        <v>0</v>
      </c>
      <c r="AF414" s="38" t="b" cm="1">
        <f t="array" ref="AF414">IFERROR(_xlfn.BYROW(TRACK_TYPES[[#This Row],[TRACK_TYPE_NARROW_GAUGE_RAILTYPE_OHLE]:[TRACK_TYPE_NARROW_GAUGE_RAILTYPE_NONE]],_xlfn.LAMBDA(_xlpm.r,OR(_xlpm.r))),FALSE)</f>
        <v>1</v>
      </c>
      <c r="AG414" s="38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3049</v>
      </c>
      <c r="B415" s="40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8" t="b" cm="1">
        <f t="array" ref="AE415">IFERROR(_xlfn.BYROW(TRACK_TYPES[[#This Row],[TRACK_TYPE_STANDARD_GAUGE_RAILTYPE_OHLE]:[TRACK_TYPE_STANDARD_GAUGE_RAILTYPE_NONE]],_xlfn.LAMBDA(_xlpm.r,OR(_xlpm.r))),FALSE)</f>
        <v>1</v>
      </c>
      <c r="AF415" s="38" t="b" cm="1">
        <f t="array" ref="AF415">IFERROR(_xlfn.BYROW(TRACK_TYPES[[#This Row],[TRACK_TYPE_NARROW_GAUGE_RAILTYPE_OHLE]:[TRACK_TYPE_NARROW_GAUGE_RAILTYPE_NONE]],_xlfn.LAMBDA(_xlpm.r,OR(_xlpm.r))),FALSE)</f>
        <v>0</v>
      </c>
      <c r="AG415" s="38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3050</v>
      </c>
      <c r="B416" s="40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8" t="b" cm="1">
        <f t="array" ref="AE416">IFERROR(_xlfn.BYROW(TRACK_TYPES[[#This Row],[TRACK_TYPE_STANDARD_GAUGE_RAILTYPE_OHLE]:[TRACK_TYPE_STANDARD_GAUGE_RAILTYPE_NONE]],_xlfn.LAMBDA(_xlpm.r,OR(_xlpm.r))),FALSE)</f>
        <v>1</v>
      </c>
      <c r="AF416" s="38" t="b" cm="1">
        <f t="array" ref="AF416">IFERROR(_xlfn.BYROW(TRACK_TYPES[[#This Row],[TRACK_TYPE_NARROW_GAUGE_RAILTYPE_OHLE]:[TRACK_TYPE_NARROW_GAUGE_RAILTYPE_NONE]],_xlfn.LAMBDA(_xlpm.r,OR(_xlpm.r))),FALSE)</f>
        <v>0</v>
      </c>
      <c r="AG416" s="38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3051</v>
      </c>
      <c r="B417" s="40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8" t="b" cm="1">
        <f t="array" ref="AE417">IFERROR(_xlfn.BYROW(TRACK_TYPES[[#This Row],[TRACK_TYPE_STANDARD_GAUGE_RAILTYPE_OHLE]:[TRACK_TYPE_STANDARD_GAUGE_RAILTYPE_NONE]],_xlfn.LAMBDA(_xlpm.r,OR(_xlpm.r))),FALSE)</f>
        <v>1</v>
      </c>
      <c r="AF417" s="38" t="b" cm="1">
        <f t="array" ref="AF417">IFERROR(_xlfn.BYROW(TRACK_TYPES[[#This Row],[TRACK_TYPE_NARROW_GAUGE_RAILTYPE_OHLE]:[TRACK_TYPE_NARROW_GAUGE_RAILTYPE_NONE]],_xlfn.LAMBDA(_xlpm.r,OR(_xlpm.r))),FALSE)</f>
        <v>0</v>
      </c>
      <c r="AG417" s="38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3052</v>
      </c>
      <c r="B418" s="40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8" t="b" cm="1">
        <f t="array" ref="AE418">IFERROR(_xlfn.BYROW(TRACK_TYPES[[#This Row],[TRACK_TYPE_STANDARD_GAUGE_RAILTYPE_OHLE]:[TRACK_TYPE_STANDARD_GAUGE_RAILTYPE_NONE]],_xlfn.LAMBDA(_xlpm.r,OR(_xlpm.r))),FALSE)</f>
        <v>1</v>
      </c>
      <c r="AF418" s="38" t="b" cm="1">
        <f t="array" ref="AF418">IFERROR(_xlfn.BYROW(TRACK_TYPES[[#This Row],[TRACK_TYPE_NARROW_GAUGE_RAILTYPE_OHLE]:[TRACK_TYPE_NARROW_GAUGE_RAILTYPE_NONE]],_xlfn.LAMBDA(_xlpm.r,OR(_xlpm.r))),FALSE)</f>
        <v>0</v>
      </c>
      <c r="AG418" s="38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3053</v>
      </c>
      <c r="B419" s="40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8" t="b" cm="1">
        <f t="array" ref="AE419">IFERROR(_xlfn.BYROW(TRACK_TYPES[[#This Row],[TRACK_TYPE_STANDARD_GAUGE_RAILTYPE_OHLE]:[TRACK_TYPE_STANDARD_GAUGE_RAILTYPE_NONE]],_xlfn.LAMBDA(_xlpm.r,OR(_xlpm.r))),FALSE)</f>
        <v>1</v>
      </c>
      <c r="AF419" s="38" t="b" cm="1">
        <f t="array" ref="AF419">IFERROR(_xlfn.BYROW(TRACK_TYPES[[#This Row],[TRACK_TYPE_NARROW_GAUGE_RAILTYPE_OHLE]:[TRACK_TYPE_NARROW_GAUGE_RAILTYPE_NONE]],_xlfn.LAMBDA(_xlpm.r,OR(_xlpm.r))),FALSE)</f>
        <v>0</v>
      </c>
      <c r="AG419" s="38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3054</v>
      </c>
      <c r="B420" s="40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8" t="b" cm="1">
        <f t="array" ref="AE420">IFERROR(_xlfn.BYROW(TRACK_TYPES[[#This Row],[TRACK_TYPE_STANDARD_GAUGE_RAILTYPE_OHLE]:[TRACK_TYPE_STANDARD_GAUGE_RAILTYPE_NONE]],_xlfn.LAMBDA(_xlpm.r,OR(_xlpm.r))),FALSE)</f>
        <v>1</v>
      </c>
      <c r="AF420" s="38" t="b" cm="1">
        <f t="array" ref="AF420">IFERROR(_xlfn.BYROW(TRACK_TYPES[[#This Row],[TRACK_TYPE_NARROW_GAUGE_RAILTYPE_OHLE]:[TRACK_TYPE_NARROW_GAUGE_RAILTYPE_NONE]],_xlfn.LAMBDA(_xlpm.r,OR(_xlpm.r))),FALSE)</f>
        <v>0</v>
      </c>
      <c r="AG420" s="38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3055</v>
      </c>
      <c r="B421" s="40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8" t="b" cm="1">
        <f t="array" ref="AE421">IFERROR(_xlfn.BYROW(TRACK_TYPES[[#This Row],[TRACK_TYPE_STANDARD_GAUGE_RAILTYPE_OHLE]:[TRACK_TYPE_STANDARD_GAUGE_RAILTYPE_NONE]],_xlfn.LAMBDA(_xlpm.r,OR(_xlpm.r))),FALSE)</f>
        <v>1</v>
      </c>
      <c r="AF421" s="38" t="b" cm="1">
        <f t="array" ref="AF421">IFERROR(_xlfn.BYROW(TRACK_TYPES[[#This Row],[TRACK_TYPE_NARROW_GAUGE_RAILTYPE_OHLE]:[TRACK_TYPE_NARROW_GAUGE_RAILTYPE_NONE]],_xlfn.LAMBDA(_xlpm.r,OR(_xlpm.r))),FALSE)</f>
        <v>0</v>
      </c>
      <c r="AG421" s="38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3056</v>
      </c>
      <c r="B422" s="40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8" t="b" cm="1">
        <f t="array" ref="AE422">IFERROR(_xlfn.BYROW(TRACK_TYPES[[#This Row],[TRACK_TYPE_STANDARD_GAUGE_RAILTYPE_OHLE]:[TRACK_TYPE_STANDARD_GAUGE_RAILTYPE_NONE]],_xlfn.LAMBDA(_xlpm.r,OR(_xlpm.r))),FALSE)</f>
        <v>1</v>
      </c>
      <c r="AF422" s="38" t="b" cm="1">
        <f t="array" ref="AF422">IFERROR(_xlfn.BYROW(TRACK_TYPES[[#This Row],[TRACK_TYPE_NARROW_GAUGE_RAILTYPE_OHLE]:[TRACK_TYPE_NARROW_GAUGE_RAILTYPE_NONE]],_xlfn.LAMBDA(_xlpm.r,OR(_xlpm.r))),FALSE)</f>
        <v>0</v>
      </c>
      <c r="AG422" s="38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3057</v>
      </c>
      <c r="B423" s="40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8" t="b" cm="1">
        <f t="array" ref="AE423">IFERROR(_xlfn.BYROW(TRACK_TYPES[[#This Row],[TRACK_TYPE_STANDARD_GAUGE_RAILTYPE_OHLE]:[TRACK_TYPE_STANDARD_GAUGE_RAILTYPE_NONE]],_xlfn.LAMBDA(_xlpm.r,OR(_xlpm.r))),FALSE)</f>
        <v>0</v>
      </c>
      <c r="AF423" s="38" t="b" cm="1">
        <f t="array" ref="AF423">IFERROR(_xlfn.BYROW(TRACK_TYPES[[#This Row],[TRACK_TYPE_NARROW_GAUGE_RAILTYPE_OHLE]:[TRACK_TYPE_NARROW_GAUGE_RAILTYPE_NONE]],_xlfn.LAMBDA(_xlpm.r,OR(_xlpm.r))),FALSE)</f>
        <v>0</v>
      </c>
      <c r="AG423" s="38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3058</v>
      </c>
      <c r="B424" s="40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8" t="b" cm="1">
        <f t="array" ref="AE424">IFERROR(_xlfn.BYROW(TRACK_TYPES[[#This Row],[TRACK_TYPE_STANDARD_GAUGE_RAILTYPE_OHLE]:[TRACK_TYPE_STANDARD_GAUGE_RAILTYPE_NONE]],_xlfn.LAMBDA(_xlpm.r,OR(_xlpm.r))),FALSE)</f>
        <v>0</v>
      </c>
      <c r="AF424" s="38" t="b" cm="1">
        <f t="array" ref="AF424">IFERROR(_xlfn.BYROW(TRACK_TYPES[[#This Row],[TRACK_TYPE_NARROW_GAUGE_RAILTYPE_OHLE]:[TRACK_TYPE_NARROW_GAUGE_RAILTYPE_NONE]],_xlfn.LAMBDA(_xlpm.r,OR(_xlpm.r))),FALSE)</f>
        <v>0</v>
      </c>
      <c r="AG424" s="38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3059</v>
      </c>
      <c r="B425" s="40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8" t="b" cm="1">
        <f t="array" ref="AE425">IFERROR(_xlfn.BYROW(TRACK_TYPES[[#This Row],[TRACK_TYPE_STANDARD_GAUGE_RAILTYPE_OHLE]:[TRACK_TYPE_STANDARD_GAUGE_RAILTYPE_NONE]],_xlfn.LAMBDA(_xlpm.r,OR(_xlpm.r))),FALSE)</f>
        <v>0</v>
      </c>
      <c r="AF425" s="38" t="b" cm="1">
        <f t="array" ref="AF425">IFERROR(_xlfn.BYROW(TRACK_TYPES[[#This Row],[TRACK_TYPE_NARROW_GAUGE_RAILTYPE_OHLE]:[TRACK_TYPE_NARROW_GAUGE_RAILTYPE_NONE]],_xlfn.LAMBDA(_xlpm.r,OR(_xlpm.r))),FALSE)</f>
        <v>1</v>
      </c>
      <c r="AG425" s="38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3456</v>
      </c>
      <c r="B426" s="40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8" t="b" cm="1">
        <f t="array" ref="AE426">IFERROR(_xlfn.BYROW(TRACK_TYPES[[#This Row],[TRACK_TYPE_STANDARD_GAUGE_RAILTYPE_OHLE]:[TRACK_TYPE_STANDARD_GAUGE_RAILTYPE_NONE]],_xlfn.LAMBDA(_xlpm.r,OR(_xlpm.r))),FALSE)</f>
        <v>1</v>
      </c>
      <c r="AF426" s="38" t="b" cm="1">
        <f t="array" ref="AF426">IFERROR(_xlfn.BYROW(TRACK_TYPES[[#This Row],[TRACK_TYPE_NARROW_GAUGE_RAILTYPE_OHLE]:[TRACK_TYPE_NARROW_GAUGE_RAILTYPE_NONE]],_xlfn.LAMBDA(_xlpm.r,OR(_xlpm.r))),FALSE)</f>
        <v>0</v>
      </c>
      <c r="AG426" s="38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3060</v>
      </c>
      <c r="B427" s="40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8" t="b" cm="1">
        <f t="array" ref="AE427">IFERROR(_xlfn.BYROW(TRACK_TYPES[[#This Row],[TRACK_TYPE_STANDARD_GAUGE_RAILTYPE_OHLE]:[TRACK_TYPE_STANDARD_GAUGE_RAILTYPE_NONE]],_xlfn.LAMBDA(_xlpm.r,OR(_xlpm.r))),FALSE)</f>
        <v>0</v>
      </c>
      <c r="AF427" s="38" t="b" cm="1">
        <f t="array" ref="AF427">IFERROR(_xlfn.BYROW(TRACK_TYPES[[#This Row],[TRACK_TYPE_NARROW_GAUGE_RAILTYPE_OHLE]:[TRACK_TYPE_NARROW_GAUGE_RAILTYPE_NONE]],_xlfn.LAMBDA(_xlpm.r,OR(_xlpm.r))),FALSE)</f>
        <v>0</v>
      </c>
      <c r="AG427" s="38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3061</v>
      </c>
      <c r="B428" s="40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8" t="b" cm="1">
        <f t="array" ref="AE428">IFERROR(_xlfn.BYROW(TRACK_TYPES[[#This Row],[TRACK_TYPE_STANDARD_GAUGE_RAILTYPE_OHLE]:[TRACK_TYPE_STANDARD_GAUGE_RAILTYPE_NONE]],_xlfn.LAMBDA(_xlpm.r,OR(_xlpm.r))),FALSE)</f>
        <v>1</v>
      </c>
      <c r="AF428" s="38" t="b" cm="1">
        <f t="array" ref="AF428">IFERROR(_xlfn.BYROW(TRACK_TYPES[[#This Row],[TRACK_TYPE_NARROW_GAUGE_RAILTYPE_OHLE]:[TRACK_TYPE_NARROW_GAUGE_RAILTYPE_NONE]],_xlfn.LAMBDA(_xlpm.r,OR(_xlpm.r))),FALSE)</f>
        <v>0</v>
      </c>
      <c r="AG428" s="38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3062</v>
      </c>
      <c r="B429" s="40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8" t="b" cm="1">
        <f t="array" ref="AE429">IFERROR(_xlfn.BYROW(TRACK_TYPES[[#This Row],[TRACK_TYPE_STANDARD_GAUGE_RAILTYPE_OHLE]:[TRACK_TYPE_STANDARD_GAUGE_RAILTYPE_NONE]],_xlfn.LAMBDA(_xlpm.r,OR(_xlpm.r))),FALSE)</f>
        <v>1</v>
      </c>
      <c r="AF429" s="38" t="b" cm="1">
        <f t="array" ref="AF429">IFERROR(_xlfn.BYROW(TRACK_TYPES[[#This Row],[TRACK_TYPE_NARROW_GAUGE_RAILTYPE_OHLE]:[TRACK_TYPE_NARROW_GAUGE_RAILTYPE_NONE]],_xlfn.LAMBDA(_xlpm.r,OR(_xlpm.r))),FALSE)</f>
        <v>0</v>
      </c>
      <c r="AG429" s="38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3063</v>
      </c>
      <c r="B430" s="40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8" t="b" cm="1">
        <f t="array" ref="AE430">IFERROR(_xlfn.BYROW(TRACK_TYPES[[#This Row],[TRACK_TYPE_STANDARD_GAUGE_RAILTYPE_OHLE]:[TRACK_TYPE_STANDARD_GAUGE_RAILTYPE_NONE]],_xlfn.LAMBDA(_xlpm.r,OR(_xlpm.r))),FALSE)</f>
        <v>1</v>
      </c>
      <c r="AF430" s="38" t="b" cm="1">
        <f t="array" ref="AF430">IFERROR(_xlfn.BYROW(TRACK_TYPES[[#This Row],[TRACK_TYPE_NARROW_GAUGE_RAILTYPE_OHLE]:[TRACK_TYPE_NARROW_GAUGE_RAILTYPE_NONE]],_xlfn.LAMBDA(_xlpm.r,OR(_xlpm.r))),FALSE)</f>
        <v>0</v>
      </c>
      <c r="AG430" s="38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3064</v>
      </c>
      <c r="B431" s="40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8" t="b" cm="1">
        <f t="array" ref="AE431">IFERROR(_xlfn.BYROW(TRACK_TYPES[[#This Row],[TRACK_TYPE_STANDARD_GAUGE_RAILTYPE_OHLE]:[TRACK_TYPE_STANDARD_GAUGE_RAILTYPE_NONE]],_xlfn.LAMBDA(_xlpm.r,OR(_xlpm.r))),FALSE)</f>
        <v>1</v>
      </c>
      <c r="AF431" s="38" t="b" cm="1">
        <f t="array" ref="AF431">IFERROR(_xlfn.BYROW(TRACK_TYPES[[#This Row],[TRACK_TYPE_NARROW_GAUGE_RAILTYPE_OHLE]:[TRACK_TYPE_NARROW_GAUGE_RAILTYPE_NONE]],_xlfn.LAMBDA(_xlpm.r,OR(_xlpm.r))),FALSE)</f>
        <v>0</v>
      </c>
      <c r="AG431" s="38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3065</v>
      </c>
      <c r="B432" s="40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8" t="b" cm="1">
        <f t="array" ref="AE432">IFERROR(_xlfn.BYROW(TRACK_TYPES[[#This Row],[TRACK_TYPE_STANDARD_GAUGE_RAILTYPE_OHLE]:[TRACK_TYPE_STANDARD_GAUGE_RAILTYPE_NONE]],_xlfn.LAMBDA(_xlpm.r,OR(_xlpm.r))),FALSE)</f>
        <v>1</v>
      </c>
      <c r="AF432" s="38" t="b" cm="1">
        <f t="array" ref="AF432">IFERROR(_xlfn.BYROW(TRACK_TYPES[[#This Row],[TRACK_TYPE_NARROW_GAUGE_RAILTYPE_OHLE]:[TRACK_TYPE_NARROW_GAUGE_RAILTYPE_NONE]],_xlfn.LAMBDA(_xlpm.r,OR(_xlpm.r))),FALSE)</f>
        <v>0</v>
      </c>
      <c r="AG432" s="38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3066</v>
      </c>
      <c r="B433" s="40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8" t="b" cm="1">
        <f t="array" ref="AE433">IFERROR(_xlfn.BYROW(TRACK_TYPES[[#This Row],[TRACK_TYPE_STANDARD_GAUGE_RAILTYPE_OHLE]:[TRACK_TYPE_STANDARD_GAUGE_RAILTYPE_NONE]],_xlfn.LAMBDA(_xlpm.r,OR(_xlpm.r))),FALSE)</f>
        <v>1</v>
      </c>
      <c r="AF433" s="38" t="b" cm="1">
        <f t="array" ref="AF433">IFERROR(_xlfn.BYROW(TRACK_TYPES[[#This Row],[TRACK_TYPE_NARROW_GAUGE_RAILTYPE_OHLE]:[TRACK_TYPE_NARROW_GAUGE_RAILTYPE_NONE]],_xlfn.LAMBDA(_xlpm.r,OR(_xlpm.r))),FALSE)</f>
        <v>0</v>
      </c>
      <c r="AG433" s="38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3067</v>
      </c>
      <c r="B434" s="40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8" t="b" cm="1">
        <f t="array" ref="AE434">IFERROR(_xlfn.BYROW(TRACK_TYPES[[#This Row],[TRACK_TYPE_STANDARD_GAUGE_RAILTYPE_OHLE]:[TRACK_TYPE_STANDARD_GAUGE_RAILTYPE_NONE]],_xlfn.LAMBDA(_xlpm.r,OR(_xlpm.r))),FALSE)</f>
        <v>1</v>
      </c>
      <c r="AF434" s="38" t="b" cm="1">
        <f t="array" ref="AF434">IFERROR(_xlfn.BYROW(TRACK_TYPES[[#This Row],[TRACK_TYPE_NARROW_GAUGE_RAILTYPE_OHLE]:[TRACK_TYPE_NARROW_GAUGE_RAILTYPE_NONE]],_xlfn.LAMBDA(_xlpm.r,OR(_xlpm.r))),FALSE)</f>
        <v>0</v>
      </c>
      <c r="AG434" s="38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3068</v>
      </c>
      <c r="B435" s="40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8" t="b" cm="1">
        <f t="array" ref="AE435">IFERROR(_xlfn.BYROW(TRACK_TYPES[[#This Row],[TRACK_TYPE_STANDARD_GAUGE_RAILTYPE_OHLE]:[TRACK_TYPE_STANDARD_GAUGE_RAILTYPE_NONE]],_xlfn.LAMBDA(_xlpm.r,OR(_xlpm.r))),FALSE)</f>
        <v>0</v>
      </c>
      <c r="AF435" s="38" t="b" cm="1">
        <f t="array" ref="AF435">IFERROR(_xlfn.BYROW(TRACK_TYPES[[#This Row],[TRACK_TYPE_NARROW_GAUGE_RAILTYPE_OHLE]:[TRACK_TYPE_NARROW_GAUGE_RAILTYPE_NONE]],_xlfn.LAMBDA(_xlpm.r,OR(_xlpm.r))),FALSE)</f>
        <v>1</v>
      </c>
      <c r="AG435" s="38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3069</v>
      </c>
      <c r="B436" s="40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8" t="b" cm="1">
        <f t="array" ref="AE436">IFERROR(_xlfn.BYROW(TRACK_TYPES[[#This Row],[TRACK_TYPE_STANDARD_GAUGE_RAILTYPE_OHLE]:[TRACK_TYPE_STANDARD_GAUGE_RAILTYPE_NONE]],_xlfn.LAMBDA(_xlpm.r,OR(_xlpm.r))),FALSE)</f>
        <v>1</v>
      </c>
      <c r="AF436" s="38" t="b" cm="1">
        <f t="array" ref="AF436">IFERROR(_xlfn.BYROW(TRACK_TYPES[[#This Row],[TRACK_TYPE_NARROW_GAUGE_RAILTYPE_OHLE]:[TRACK_TYPE_NARROW_GAUGE_RAILTYPE_NONE]],_xlfn.LAMBDA(_xlpm.r,OR(_xlpm.r))),FALSE)</f>
        <v>0</v>
      </c>
      <c r="AG436" s="38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3070</v>
      </c>
      <c r="B437" s="40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8" t="b" cm="1">
        <f t="array" ref="AE437">IFERROR(_xlfn.BYROW(TRACK_TYPES[[#This Row],[TRACK_TYPE_STANDARD_GAUGE_RAILTYPE_OHLE]:[TRACK_TYPE_STANDARD_GAUGE_RAILTYPE_NONE]],_xlfn.LAMBDA(_xlpm.r,OR(_xlpm.r))),FALSE)</f>
        <v>1</v>
      </c>
      <c r="AF437" s="38" t="b" cm="1">
        <f t="array" ref="AF437">IFERROR(_xlfn.BYROW(TRACK_TYPES[[#This Row],[TRACK_TYPE_NARROW_GAUGE_RAILTYPE_OHLE]:[TRACK_TYPE_NARROW_GAUGE_RAILTYPE_NONE]],_xlfn.LAMBDA(_xlpm.r,OR(_xlpm.r))),FALSE)</f>
        <v>0</v>
      </c>
      <c r="AG437" s="38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3071</v>
      </c>
      <c r="B438" s="40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8" t="b" cm="1">
        <f t="array" ref="AE438">IFERROR(_xlfn.BYROW(TRACK_TYPES[[#This Row],[TRACK_TYPE_STANDARD_GAUGE_RAILTYPE_OHLE]:[TRACK_TYPE_STANDARD_GAUGE_RAILTYPE_NONE]],_xlfn.LAMBDA(_xlpm.r,OR(_xlpm.r))),FALSE)</f>
        <v>1</v>
      </c>
      <c r="AF438" s="38" t="b" cm="1">
        <f t="array" ref="AF438">IFERROR(_xlfn.BYROW(TRACK_TYPES[[#This Row],[TRACK_TYPE_NARROW_GAUGE_RAILTYPE_OHLE]:[TRACK_TYPE_NARROW_GAUGE_RAILTYPE_NONE]],_xlfn.LAMBDA(_xlpm.r,OR(_xlpm.r))),FALSE)</f>
        <v>0</v>
      </c>
      <c r="AG438" s="38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3072</v>
      </c>
      <c r="B439" s="40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8" t="b" cm="1">
        <f t="array" ref="AE439">IFERROR(_xlfn.BYROW(TRACK_TYPES[[#This Row],[TRACK_TYPE_STANDARD_GAUGE_RAILTYPE_OHLE]:[TRACK_TYPE_STANDARD_GAUGE_RAILTYPE_NONE]],_xlfn.LAMBDA(_xlpm.r,OR(_xlpm.r))),FALSE)</f>
        <v>1</v>
      </c>
      <c r="AF439" s="38" t="b" cm="1">
        <f t="array" ref="AF439">IFERROR(_xlfn.BYROW(TRACK_TYPES[[#This Row],[TRACK_TYPE_NARROW_GAUGE_RAILTYPE_OHLE]:[TRACK_TYPE_NARROW_GAUGE_RAILTYPE_NONE]],_xlfn.LAMBDA(_xlpm.r,OR(_xlpm.r))),FALSE)</f>
        <v>0</v>
      </c>
      <c r="AG439" s="38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3073</v>
      </c>
      <c r="B440" s="40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8" t="b" cm="1">
        <f t="array" ref="AE440">IFERROR(_xlfn.BYROW(TRACK_TYPES[[#This Row],[TRACK_TYPE_STANDARD_GAUGE_RAILTYPE_OHLE]:[TRACK_TYPE_STANDARD_GAUGE_RAILTYPE_NONE]],_xlfn.LAMBDA(_xlpm.r,OR(_xlpm.r))),FALSE)</f>
        <v>1</v>
      </c>
      <c r="AF440" s="38" t="b" cm="1">
        <f t="array" ref="AF440">IFERROR(_xlfn.BYROW(TRACK_TYPES[[#This Row],[TRACK_TYPE_NARROW_GAUGE_RAILTYPE_OHLE]:[TRACK_TYPE_NARROW_GAUGE_RAILTYPE_NONE]],_xlfn.LAMBDA(_xlpm.r,OR(_xlpm.r))),FALSE)</f>
        <v>0</v>
      </c>
      <c r="AG440" s="38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3074</v>
      </c>
      <c r="B441" s="40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8" t="b" cm="1">
        <f t="array" ref="AE441">IFERROR(_xlfn.BYROW(TRACK_TYPES[[#This Row],[TRACK_TYPE_STANDARD_GAUGE_RAILTYPE_OHLE]:[TRACK_TYPE_STANDARD_GAUGE_RAILTYPE_NONE]],_xlfn.LAMBDA(_xlpm.r,OR(_xlpm.r))),FALSE)</f>
        <v>0</v>
      </c>
      <c r="AF441" s="38" t="b" cm="1">
        <f t="array" ref="AF441">IFERROR(_xlfn.BYROW(TRACK_TYPES[[#This Row],[TRACK_TYPE_NARROW_GAUGE_RAILTYPE_OHLE]:[TRACK_TYPE_NARROW_GAUGE_RAILTYPE_NONE]],_xlfn.LAMBDA(_xlpm.r,OR(_xlpm.r))),FALSE)</f>
        <v>1</v>
      </c>
      <c r="AG441" s="38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3075</v>
      </c>
      <c r="B442" s="40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8" t="b" cm="1">
        <f t="array" ref="AE442">IFERROR(_xlfn.BYROW(TRACK_TYPES[[#This Row],[TRACK_TYPE_STANDARD_GAUGE_RAILTYPE_OHLE]:[TRACK_TYPE_STANDARD_GAUGE_RAILTYPE_NONE]],_xlfn.LAMBDA(_xlpm.r,OR(_xlpm.r))),FALSE)</f>
        <v>1</v>
      </c>
      <c r="AF442" s="38" t="b" cm="1">
        <f t="array" ref="AF442">IFERROR(_xlfn.BYROW(TRACK_TYPES[[#This Row],[TRACK_TYPE_NARROW_GAUGE_RAILTYPE_OHLE]:[TRACK_TYPE_NARROW_GAUGE_RAILTYPE_NONE]],_xlfn.LAMBDA(_xlpm.r,OR(_xlpm.r))),FALSE)</f>
        <v>0</v>
      </c>
      <c r="AG442" s="38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3076</v>
      </c>
      <c r="B443" s="40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8" t="b" cm="1">
        <f t="array" ref="AE443">IFERROR(_xlfn.BYROW(TRACK_TYPES[[#This Row],[TRACK_TYPE_STANDARD_GAUGE_RAILTYPE_OHLE]:[TRACK_TYPE_STANDARD_GAUGE_RAILTYPE_NONE]],_xlfn.LAMBDA(_xlpm.r,OR(_xlpm.r))),FALSE)</f>
        <v>1</v>
      </c>
      <c r="AF443" s="38" t="b" cm="1">
        <f t="array" ref="AF443">IFERROR(_xlfn.BYROW(TRACK_TYPES[[#This Row],[TRACK_TYPE_NARROW_GAUGE_RAILTYPE_OHLE]:[TRACK_TYPE_NARROW_GAUGE_RAILTYPE_NONE]],_xlfn.LAMBDA(_xlpm.r,OR(_xlpm.r))),FALSE)</f>
        <v>0</v>
      </c>
      <c r="AG443" s="38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3077</v>
      </c>
      <c r="B444" s="40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8" t="b" cm="1">
        <f t="array" ref="AE444">IFERROR(_xlfn.BYROW(TRACK_TYPES[[#This Row],[TRACK_TYPE_STANDARD_GAUGE_RAILTYPE_OHLE]:[TRACK_TYPE_STANDARD_GAUGE_RAILTYPE_NONE]],_xlfn.LAMBDA(_xlpm.r,OR(_xlpm.r))),FALSE)</f>
        <v>1</v>
      </c>
      <c r="AF444" s="38" t="b" cm="1">
        <f t="array" ref="AF444">IFERROR(_xlfn.BYROW(TRACK_TYPES[[#This Row],[TRACK_TYPE_NARROW_GAUGE_RAILTYPE_OHLE]:[TRACK_TYPE_NARROW_GAUGE_RAILTYPE_NONE]],_xlfn.LAMBDA(_xlpm.r,OR(_xlpm.r))),FALSE)</f>
        <v>0</v>
      </c>
      <c r="AG444" s="38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3078</v>
      </c>
      <c r="B445" s="40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8" t="b" cm="1">
        <f t="array" ref="AE445">IFERROR(_xlfn.BYROW(TRACK_TYPES[[#This Row],[TRACK_TYPE_STANDARD_GAUGE_RAILTYPE_OHLE]:[TRACK_TYPE_STANDARD_GAUGE_RAILTYPE_NONE]],_xlfn.LAMBDA(_xlpm.r,OR(_xlpm.r))),FALSE)</f>
        <v>1</v>
      </c>
      <c r="AF445" s="38" t="b" cm="1">
        <f t="array" ref="AF445">IFERROR(_xlfn.BYROW(TRACK_TYPES[[#This Row],[TRACK_TYPE_NARROW_GAUGE_RAILTYPE_OHLE]:[TRACK_TYPE_NARROW_GAUGE_RAILTYPE_NONE]],_xlfn.LAMBDA(_xlpm.r,OR(_xlpm.r))),FALSE)</f>
        <v>0</v>
      </c>
      <c r="AG445" s="38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3079</v>
      </c>
      <c r="B446" s="40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8" t="b" cm="1">
        <f t="array" ref="AE446">IFERROR(_xlfn.BYROW(TRACK_TYPES[[#This Row],[TRACK_TYPE_STANDARD_GAUGE_RAILTYPE_OHLE]:[TRACK_TYPE_STANDARD_GAUGE_RAILTYPE_NONE]],_xlfn.LAMBDA(_xlpm.r,OR(_xlpm.r))),FALSE)</f>
        <v>1</v>
      </c>
      <c r="AF446" s="38" t="b" cm="1">
        <f t="array" ref="AF446">IFERROR(_xlfn.BYROW(TRACK_TYPES[[#This Row],[TRACK_TYPE_NARROW_GAUGE_RAILTYPE_OHLE]:[TRACK_TYPE_NARROW_GAUGE_RAILTYPE_NONE]],_xlfn.LAMBDA(_xlpm.r,OR(_xlpm.r))),FALSE)</f>
        <v>0</v>
      </c>
      <c r="AG446" s="38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3080</v>
      </c>
      <c r="B447" s="40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8" t="b" cm="1">
        <f t="array" ref="AE447">IFERROR(_xlfn.BYROW(TRACK_TYPES[[#This Row],[TRACK_TYPE_STANDARD_GAUGE_RAILTYPE_OHLE]:[TRACK_TYPE_STANDARD_GAUGE_RAILTYPE_NONE]],_xlfn.LAMBDA(_xlpm.r,OR(_xlpm.r))),FALSE)</f>
        <v>1</v>
      </c>
      <c r="AF447" s="38" t="b" cm="1">
        <f t="array" ref="AF447">IFERROR(_xlfn.BYROW(TRACK_TYPES[[#This Row],[TRACK_TYPE_NARROW_GAUGE_RAILTYPE_OHLE]:[TRACK_TYPE_NARROW_GAUGE_RAILTYPE_NONE]],_xlfn.LAMBDA(_xlpm.r,OR(_xlpm.r))),FALSE)</f>
        <v>0</v>
      </c>
      <c r="AG447" s="38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3081</v>
      </c>
      <c r="B448" s="40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8" t="b" cm="1">
        <f t="array" ref="AE448">IFERROR(_xlfn.BYROW(TRACK_TYPES[[#This Row],[TRACK_TYPE_STANDARD_GAUGE_RAILTYPE_OHLE]:[TRACK_TYPE_STANDARD_GAUGE_RAILTYPE_NONE]],_xlfn.LAMBDA(_xlpm.r,OR(_xlpm.r))),FALSE)</f>
        <v>0</v>
      </c>
      <c r="AF448" s="38" t="b" cm="1">
        <f t="array" ref="AF448">IFERROR(_xlfn.BYROW(TRACK_TYPES[[#This Row],[TRACK_TYPE_NARROW_GAUGE_RAILTYPE_OHLE]:[TRACK_TYPE_NARROW_GAUGE_RAILTYPE_NONE]],_xlfn.LAMBDA(_xlpm.r,OR(_xlpm.r))),FALSE)</f>
        <v>1</v>
      </c>
      <c r="AG448" s="38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3082</v>
      </c>
      <c r="B449" s="40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8" t="b" cm="1">
        <f t="array" ref="AE449">IFERROR(_xlfn.BYROW(TRACK_TYPES[[#This Row],[TRACK_TYPE_STANDARD_GAUGE_RAILTYPE_OHLE]:[TRACK_TYPE_STANDARD_GAUGE_RAILTYPE_NONE]],_xlfn.LAMBDA(_xlpm.r,OR(_xlpm.r))),FALSE)</f>
        <v>1</v>
      </c>
      <c r="AF449" s="38" t="b" cm="1">
        <f t="array" ref="AF449">IFERROR(_xlfn.BYROW(TRACK_TYPES[[#This Row],[TRACK_TYPE_NARROW_GAUGE_RAILTYPE_OHLE]:[TRACK_TYPE_NARROW_GAUGE_RAILTYPE_NONE]],_xlfn.LAMBDA(_xlpm.r,OR(_xlpm.r))),FALSE)</f>
        <v>0</v>
      </c>
      <c r="AG449" s="38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3083</v>
      </c>
      <c r="B450" s="40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8" t="b" cm="1">
        <f t="array" ref="AE450">IFERROR(_xlfn.BYROW(TRACK_TYPES[[#This Row],[TRACK_TYPE_STANDARD_GAUGE_RAILTYPE_OHLE]:[TRACK_TYPE_STANDARD_GAUGE_RAILTYPE_NONE]],_xlfn.LAMBDA(_xlpm.r,OR(_xlpm.r))),FALSE)</f>
        <v>1</v>
      </c>
      <c r="AF450" s="38" t="b" cm="1">
        <f t="array" ref="AF450">IFERROR(_xlfn.BYROW(TRACK_TYPES[[#This Row],[TRACK_TYPE_NARROW_GAUGE_RAILTYPE_OHLE]:[TRACK_TYPE_NARROW_GAUGE_RAILTYPE_NONE]],_xlfn.LAMBDA(_xlpm.r,OR(_xlpm.r))),FALSE)</f>
        <v>0</v>
      </c>
      <c r="AG450" s="38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3084</v>
      </c>
      <c r="B451" s="40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8" t="b" cm="1">
        <f t="array" ref="AE451">IFERROR(_xlfn.BYROW(TRACK_TYPES[[#This Row],[TRACK_TYPE_STANDARD_GAUGE_RAILTYPE_OHLE]:[TRACK_TYPE_STANDARD_GAUGE_RAILTYPE_NONE]],_xlfn.LAMBDA(_xlpm.r,OR(_xlpm.r))),FALSE)</f>
        <v>1</v>
      </c>
      <c r="AF451" s="38" t="b" cm="1">
        <f t="array" ref="AF451">IFERROR(_xlfn.BYROW(TRACK_TYPES[[#This Row],[TRACK_TYPE_NARROW_GAUGE_RAILTYPE_OHLE]:[TRACK_TYPE_NARROW_GAUGE_RAILTYPE_NONE]],_xlfn.LAMBDA(_xlpm.r,OR(_xlpm.r))),FALSE)</f>
        <v>0</v>
      </c>
      <c r="AG451" s="38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3085</v>
      </c>
      <c r="B452" s="40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8" t="b" cm="1">
        <f t="array" ref="AE452">IFERROR(_xlfn.BYROW(TRACK_TYPES[[#This Row],[TRACK_TYPE_STANDARD_GAUGE_RAILTYPE_OHLE]:[TRACK_TYPE_STANDARD_GAUGE_RAILTYPE_NONE]],_xlfn.LAMBDA(_xlpm.r,OR(_xlpm.r))),FALSE)</f>
        <v>1</v>
      </c>
      <c r="AF452" s="38" t="b" cm="1">
        <f t="array" ref="AF452">IFERROR(_xlfn.BYROW(TRACK_TYPES[[#This Row],[TRACK_TYPE_NARROW_GAUGE_RAILTYPE_OHLE]:[TRACK_TYPE_NARROW_GAUGE_RAILTYPE_NONE]],_xlfn.LAMBDA(_xlpm.r,OR(_xlpm.r))),FALSE)</f>
        <v>0</v>
      </c>
      <c r="AG452" s="38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3086</v>
      </c>
      <c r="B453" s="40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8" t="b" cm="1">
        <f t="array" ref="AE453">IFERROR(_xlfn.BYROW(TRACK_TYPES[[#This Row],[TRACK_TYPE_STANDARD_GAUGE_RAILTYPE_OHLE]:[TRACK_TYPE_STANDARD_GAUGE_RAILTYPE_NONE]],_xlfn.LAMBDA(_xlpm.r,OR(_xlpm.r))),FALSE)</f>
        <v>1</v>
      </c>
      <c r="AF453" s="38" t="b" cm="1">
        <f t="array" ref="AF453">IFERROR(_xlfn.BYROW(TRACK_TYPES[[#This Row],[TRACK_TYPE_NARROW_GAUGE_RAILTYPE_OHLE]:[TRACK_TYPE_NARROW_GAUGE_RAILTYPE_NONE]],_xlfn.LAMBDA(_xlpm.r,OR(_xlpm.r))),FALSE)</f>
        <v>0</v>
      </c>
      <c r="AG453" s="38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3087</v>
      </c>
      <c r="B454" s="40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8" t="b" cm="1">
        <f t="array" ref="AE454">IFERROR(_xlfn.BYROW(TRACK_TYPES[[#This Row],[TRACK_TYPE_STANDARD_GAUGE_RAILTYPE_OHLE]:[TRACK_TYPE_STANDARD_GAUGE_RAILTYPE_NONE]],_xlfn.LAMBDA(_xlpm.r,OR(_xlpm.r))),FALSE)</f>
        <v>1</v>
      </c>
      <c r="AF454" s="38" t="b" cm="1">
        <f t="array" ref="AF454">IFERROR(_xlfn.BYROW(TRACK_TYPES[[#This Row],[TRACK_TYPE_NARROW_GAUGE_RAILTYPE_OHLE]:[TRACK_TYPE_NARROW_GAUGE_RAILTYPE_NONE]],_xlfn.LAMBDA(_xlpm.r,OR(_xlpm.r))),FALSE)</f>
        <v>0</v>
      </c>
      <c r="AG454" s="38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3088</v>
      </c>
      <c r="B455" s="40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8" t="b" cm="1">
        <f t="array" ref="AE455">IFERROR(_xlfn.BYROW(TRACK_TYPES[[#This Row],[TRACK_TYPE_STANDARD_GAUGE_RAILTYPE_OHLE]:[TRACK_TYPE_STANDARD_GAUGE_RAILTYPE_NONE]],_xlfn.LAMBDA(_xlpm.r,OR(_xlpm.r))),FALSE)</f>
        <v>1</v>
      </c>
      <c r="AF455" s="38" t="b" cm="1">
        <f t="array" ref="AF455">IFERROR(_xlfn.BYROW(TRACK_TYPES[[#This Row],[TRACK_TYPE_NARROW_GAUGE_RAILTYPE_OHLE]:[TRACK_TYPE_NARROW_GAUGE_RAILTYPE_NONE]],_xlfn.LAMBDA(_xlpm.r,OR(_xlpm.r))),FALSE)</f>
        <v>0</v>
      </c>
      <c r="AG455" s="38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3089</v>
      </c>
      <c r="B456" s="40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8" t="b" cm="1">
        <f t="array" ref="AE456">IFERROR(_xlfn.BYROW(TRACK_TYPES[[#This Row],[TRACK_TYPE_STANDARD_GAUGE_RAILTYPE_OHLE]:[TRACK_TYPE_STANDARD_GAUGE_RAILTYPE_NONE]],_xlfn.LAMBDA(_xlpm.r,OR(_xlpm.r))),FALSE)</f>
        <v>1</v>
      </c>
      <c r="AF456" s="38" t="b" cm="1">
        <f t="array" ref="AF456">IFERROR(_xlfn.BYROW(TRACK_TYPES[[#This Row],[TRACK_TYPE_NARROW_GAUGE_RAILTYPE_OHLE]:[TRACK_TYPE_NARROW_GAUGE_RAILTYPE_NONE]],_xlfn.LAMBDA(_xlpm.r,OR(_xlpm.r))),FALSE)</f>
        <v>0</v>
      </c>
      <c r="AG456" s="38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3090</v>
      </c>
      <c r="B457" s="40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8" t="b" cm="1">
        <f t="array" ref="AE457">IFERROR(_xlfn.BYROW(TRACK_TYPES[[#This Row],[TRACK_TYPE_STANDARD_GAUGE_RAILTYPE_OHLE]:[TRACK_TYPE_STANDARD_GAUGE_RAILTYPE_NONE]],_xlfn.LAMBDA(_xlpm.r,OR(_xlpm.r))),FALSE)</f>
        <v>0</v>
      </c>
      <c r="AF457" s="38" t="b" cm="1">
        <f t="array" ref="AF457">IFERROR(_xlfn.BYROW(TRACK_TYPES[[#This Row],[TRACK_TYPE_NARROW_GAUGE_RAILTYPE_OHLE]:[TRACK_TYPE_NARROW_GAUGE_RAILTYPE_NONE]],_xlfn.LAMBDA(_xlpm.r,OR(_xlpm.r))),FALSE)</f>
        <v>0</v>
      </c>
      <c r="AG457" s="38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3091</v>
      </c>
      <c r="B458" s="40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8" t="b" cm="1">
        <f t="array" ref="AE458">IFERROR(_xlfn.BYROW(TRACK_TYPES[[#This Row],[TRACK_TYPE_STANDARD_GAUGE_RAILTYPE_OHLE]:[TRACK_TYPE_STANDARD_GAUGE_RAILTYPE_NONE]],_xlfn.LAMBDA(_xlpm.r,OR(_xlpm.r))),FALSE)</f>
        <v>1</v>
      </c>
      <c r="AF458" s="38" t="b" cm="1">
        <f t="array" ref="AF458">IFERROR(_xlfn.BYROW(TRACK_TYPES[[#This Row],[TRACK_TYPE_NARROW_GAUGE_RAILTYPE_OHLE]:[TRACK_TYPE_NARROW_GAUGE_RAILTYPE_NONE]],_xlfn.LAMBDA(_xlpm.r,OR(_xlpm.r))),FALSE)</f>
        <v>0</v>
      </c>
      <c r="AG458" s="38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3092</v>
      </c>
      <c r="B459" s="40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8" t="b" cm="1">
        <f t="array" ref="AE459">IFERROR(_xlfn.BYROW(TRACK_TYPES[[#This Row],[TRACK_TYPE_STANDARD_GAUGE_RAILTYPE_OHLE]:[TRACK_TYPE_STANDARD_GAUGE_RAILTYPE_NONE]],_xlfn.LAMBDA(_xlpm.r,OR(_xlpm.r))),FALSE)</f>
        <v>1</v>
      </c>
      <c r="AF459" s="38" t="b" cm="1">
        <f t="array" ref="AF459">IFERROR(_xlfn.BYROW(TRACK_TYPES[[#This Row],[TRACK_TYPE_NARROW_GAUGE_RAILTYPE_OHLE]:[TRACK_TYPE_NARROW_GAUGE_RAILTYPE_NONE]],_xlfn.LAMBDA(_xlpm.r,OR(_xlpm.r))),FALSE)</f>
        <v>0</v>
      </c>
      <c r="AG459" s="38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3093</v>
      </c>
      <c r="B460" s="40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8" t="b" cm="1">
        <f t="array" ref="AE460">IFERROR(_xlfn.BYROW(TRACK_TYPES[[#This Row],[TRACK_TYPE_STANDARD_GAUGE_RAILTYPE_OHLE]:[TRACK_TYPE_STANDARD_GAUGE_RAILTYPE_NONE]],_xlfn.LAMBDA(_xlpm.r,OR(_xlpm.r))),FALSE)</f>
        <v>1</v>
      </c>
      <c r="AF460" s="38" t="b" cm="1">
        <f t="array" ref="AF460">IFERROR(_xlfn.BYROW(TRACK_TYPES[[#This Row],[TRACK_TYPE_NARROW_GAUGE_RAILTYPE_OHLE]:[TRACK_TYPE_NARROW_GAUGE_RAILTYPE_NONE]],_xlfn.LAMBDA(_xlpm.r,OR(_xlpm.r))),FALSE)</f>
        <v>0</v>
      </c>
      <c r="AG460" s="38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3094</v>
      </c>
      <c r="B461" s="40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8" t="b" cm="1">
        <f t="array" ref="AE461">IFERROR(_xlfn.BYROW(TRACK_TYPES[[#This Row],[TRACK_TYPE_STANDARD_GAUGE_RAILTYPE_OHLE]:[TRACK_TYPE_STANDARD_GAUGE_RAILTYPE_NONE]],_xlfn.LAMBDA(_xlpm.r,OR(_xlpm.r))),FALSE)</f>
        <v>1</v>
      </c>
      <c r="AF461" s="38" t="b" cm="1">
        <f t="array" ref="AF461">IFERROR(_xlfn.BYROW(TRACK_TYPES[[#This Row],[TRACK_TYPE_NARROW_GAUGE_RAILTYPE_OHLE]:[TRACK_TYPE_NARROW_GAUGE_RAILTYPE_NONE]],_xlfn.LAMBDA(_xlpm.r,OR(_xlpm.r))),FALSE)</f>
        <v>0</v>
      </c>
      <c r="AG461" s="38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3095</v>
      </c>
      <c r="B462" s="40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8" t="b" cm="1">
        <f t="array" ref="AE462">IFERROR(_xlfn.BYROW(TRACK_TYPES[[#This Row],[TRACK_TYPE_STANDARD_GAUGE_RAILTYPE_OHLE]:[TRACK_TYPE_STANDARD_GAUGE_RAILTYPE_NONE]],_xlfn.LAMBDA(_xlpm.r,OR(_xlpm.r))),FALSE)</f>
        <v>1</v>
      </c>
      <c r="AF462" s="38" t="b" cm="1">
        <f t="array" ref="AF462">IFERROR(_xlfn.BYROW(TRACK_TYPES[[#This Row],[TRACK_TYPE_NARROW_GAUGE_RAILTYPE_OHLE]:[TRACK_TYPE_NARROW_GAUGE_RAILTYPE_NONE]],_xlfn.LAMBDA(_xlpm.r,OR(_xlpm.r))),FALSE)</f>
        <v>0</v>
      </c>
      <c r="AG462" s="38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3096</v>
      </c>
      <c r="B463" s="40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8" t="b" cm="1">
        <f t="array" ref="AE463">IFERROR(_xlfn.BYROW(TRACK_TYPES[[#This Row],[TRACK_TYPE_STANDARD_GAUGE_RAILTYPE_OHLE]:[TRACK_TYPE_STANDARD_GAUGE_RAILTYPE_NONE]],_xlfn.LAMBDA(_xlpm.r,OR(_xlpm.r))),FALSE)</f>
        <v>1</v>
      </c>
      <c r="AF463" s="38" t="b" cm="1">
        <f t="array" ref="AF463">IFERROR(_xlfn.BYROW(TRACK_TYPES[[#This Row],[TRACK_TYPE_NARROW_GAUGE_RAILTYPE_OHLE]:[TRACK_TYPE_NARROW_GAUGE_RAILTYPE_NONE]],_xlfn.LAMBDA(_xlpm.r,OR(_xlpm.r))),FALSE)</f>
        <v>0</v>
      </c>
      <c r="AG463" s="38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3097</v>
      </c>
      <c r="B464" s="40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8" t="b" cm="1">
        <f t="array" ref="AE464">IFERROR(_xlfn.BYROW(TRACK_TYPES[[#This Row],[TRACK_TYPE_STANDARD_GAUGE_RAILTYPE_OHLE]:[TRACK_TYPE_STANDARD_GAUGE_RAILTYPE_NONE]],_xlfn.LAMBDA(_xlpm.r,OR(_xlpm.r))),FALSE)</f>
        <v>1</v>
      </c>
      <c r="AF464" s="38" t="b" cm="1">
        <f t="array" ref="AF464">IFERROR(_xlfn.BYROW(TRACK_TYPES[[#This Row],[TRACK_TYPE_NARROW_GAUGE_RAILTYPE_OHLE]:[TRACK_TYPE_NARROW_GAUGE_RAILTYPE_NONE]],_xlfn.LAMBDA(_xlpm.r,OR(_xlpm.r))),FALSE)</f>
        <v>0</v>
      </c>
      <c r="AG464" s="38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3098</v>
      </c>
      <c r="B465" s="40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8" t="b" cm="1">
        <f t="array" ref="AE465">IFERROR(_xlfn.BYROW(TRACK_TYPES[[#This Row],[TRACK_TYPE_STANDARD_GAUGE_RAILTYPE_OHLE]:[TRACK_TYPE_STANDARD_GAUGE_RAILTYPE_NONE]],_xlfn.LAMBDA(_xlpm.r,OR(_xlpm.r))),FALSE)</f>
        <v>1</v>
      </c>
      <c r="AF465" s="38" t="b" cm="1">
        <f t="array" ref="AF465">IFERROR(_xlfn.BYROW(TRACK_TYPES[[#This Row],[TRACK_TYPE_NARROW_GAUGE_RAILTYPE_OHLE]:[TRACK_TYPE_NARROW_GAUGE_RAILTYPE_NONE]],_xlfn.LAMBDA(_xlpm.r,OR(_xlpm.r))),FALSE)</f>
        <v>0</v>
      </c>
      <c r="AG465" s="38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3099</v>
      </c>
      <c r="B466" s="40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8" t="b" cm="1">
        <f t="array" ref="AE466">IFERROR(_xlfn.BYROW(TRACK_TYPES[[#This Row],[TRACK_TYPE_STANDARD_GAUGE_RAILTYPE_OHLE]:[TRACK_TYPE_STANDARD_GAUGE_RAILTYPE_NONE]],_xlfn.LAMBDA(_xlpm.r,OR(_xlpm.r))),FALSE)</f>
        <v>1</v>
      </c>
      <c r="AF466" s="38" t="b" cm="1">
        <f t="array" ref="AF466">IFERROR(_xlfn.BYROW(TRACK_TYPES[[#This Row],[TRACK_TYPE_NARROW_GAUGE_RAILTYPE_OHLE]:[TRACK_TYPE_NARROW_GAUGE_RAILTYPE_NONE]],_xlfn.LAMBDA(_xlpm.r,OR(_xlpm.r))),FALSE)</f>
        <v>0</v>
      </c>
      <c r="AG466" s="38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3100</v>
      </c>
      <c r="B467" s="40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8" t="b" cm="1">
        <f t="array" ref="AE467">IFERROR(_xlfn.BYROW(TRACK_TYPES[[#This Row],[TRACK_TYPE_STANDARD_GAUGE_RAILTYPE_OHLE]:[TRACK_TYPE_STANDARD_GAUGE_RAILTYPE_NONE]],_xlfn.LAMBDA(_xlpm.r,OR(_xlpm.r))),FALSE)</f>
        <v>1</v>
      </c>
      <c r="AF467" s="38" t="b" cm="1">
        <f t="array" ref="AF467">IFERROR(_xlfn.BYROW(TRACK_TYPES[[#This Row],[TRACK_TYPE_NARROW_GAUGE_RAILTYPE_OHLE]:[TRACK_TYPE_NARROW_GAUGE_RAILTYPE_NONE]],_xlfn.LAMBDA(_xlpm.r,OR(_xlpm.r))),FALSE)</f>
        <v>0</v>
      </c>
      <c r="AG467" s="38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3101</v>
      </c>
      <c r="B468" s="40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8" t="b" cm="1">
        <f t="array" ref="AE468">IFERROR(_xlfn.BYROW(TRACK_TYPES[[#This Row],[TRACK_TYPE_STANDARD_GAUGE_RAILTYPE_OHLE]:[TRACK_TYPE_STANDARD_GAUGE_RAILTYPE_NONE]],_xlfn.LAMBDA(_xlpm.r,OR(_xlpm.r))),FALSE)</f>
        <v>1</v>
      </c>
      <c r="AF468" s="38" t="b" cm="1">
        <f t="array" ref="AF468">IFERROR(_xlfn.BYROW(TRACK_TYPES[[#This Row],[TRACK_TYPE_NARROW_GAUGE_RAILTYPE_OHLE]:[TRACK_TYPE_NARROW_GAUGE_RAILTYPE_NONE]],_xlfn.LAMBDA(_xlpm.r,OR(_xlpm.r))),FALSE)</f>
        <v>0</v>
      </c>
      <c r="AG468" s="38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3102</v>
      </c>
      <c r="B469" s="40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8" t="b" cm="1">
        <f t="array" ref="AE469">IFERROR(_xlfn.BYROW(TRACK_TYPES[[#This Row],[TRACK_TYPE_STANDARD_GAUGE_RAILTYPE_OHLE]:[TRACK_TYPE_STANDARD_GAUGE_RAILTYPE_NONE]],_xlfn.LAMBDA(_xlpm.r,OR(_xlpm.r))),FALSE)</f>
        <v>1</v>
      </c>
      <c r="AF469" s="38" t="b" cm="1">
        <f t="array" ref="AF469">IFERROR(_xlfn.BYROW(TRACK_TYPES[[#This Row],[TRACK_TYPE_NARROW_GAUGE_RAILTYPE_OHLE]:[TRACK_TYPE_NARROW_GAUGE_RAILTYPE_NONE]],_xlfn.LAMBDA(_xlpm.r,OR(_xlpm.r))),FALSE)</f>
        <v>0</v>
      </c>
      <c r="AG469" s="38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3103</v>
      </c>
      <c r="B470" s="40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8" t="b" cm="1">
        <f t="array" ref="AE470">IFERROR(_xlfn.BYROW(TRACK_TYPES[[#This Row],[TRACK_TYPE_STANDARD_GAUGE_RAILTYPE_OHLE]:[TRACK_TYPE_STANDARD_GAUGE_RAILTYPE_NONE]],_xlfn.LAMBDA(_xlpm.r,OR(_xlpm.r))),FALSE)</f>
        <v>1</v>
      </c>
      <c r="AF470" s="38" t="b" cm="1">
        <f t="array" ref="AF470">IFERROR(_xlfn.BYROW(TRACK_TYPES[[#This Row],[TRACK_TYPE_NARROW_GAUGE_RAILTYPE_OHLE]:[TRACK_TYPE_NARROW_GAUGE_RAILTYPE_NONE]],_xlfn.LAMBDA(_xlpm.r,OR(_xlpm.r))),FALSE)</f>
        <v>0</v>
      </c>
      <c r="AG470" s="38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3104</v>
      </c>
      <c r="B471" s="40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8" t="b" cm="1">
        <f t="array" ref="AE471">IFERROR(_xlfn.BYROW(TRACK_TYPES[[#This Row],[TRACK_TYPE_STANDARD_GAUGE_RAILTYPE_OHLE]:[TRACK_TYPE_STANDARD_GAUGE_RAILTYPE_NONE]],_xlfn.LAMBDA(_xlpm.r,OR(_xlpm.r))),FALSE)</f>
        <v>1</v>
      </c>
      <c r="AF471" s="38" t="b" cm="1">
        <f t="array" ref="AF471">IFERROR(_xlfn.BYROW(TRACK_TYPES[[#This Row],[TRACK_TYPE_NARROW_GAUGE_RAILTYPE_OHLE]:[TRACK_TYPE_NARROW_GAUGE_RAILTYPE_NONE]],_xlfn.LAMBDA(_xlpm.r,OR(_xlpm.r))),FALSE)</f>
        <v>0</v>
      </c>
      <c r="AG471" s="38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3105</v>
      </c>
      <c r="B472" s="40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8" t="b" cm="1">
        <f t="array" ref="AE472">IFERROR(_xlfn.BYROW(TRACK_TYPES[[#This Row],[TRACK_TYPE_STANDARD_GAUGE_RAILTYPE_OHLE]:[TRACK_TYPE_STANDARD_GAUGE_RAILTYPE_NONE]],_xlfn.LAMBDA(_xlpm.r,OR(_xlpm.r))),FALSE)</f>
        <v>1</v>
      </c>
      <c r="AF472" s="38" t="b" cm="1">
        <f t="array" ref="AF472">IFERROR(_xlfn.BYROW(TRACK_TYPES[[#This Row],[TRACK_TYPE_NARROW_GAUGE_RAILTYPE_OHLE]:[TRACK_TYPE_NARROW_GAUGE_RAILTYPE_NONE]],_xlfn.LAMBDA(_xlpm.r,OR(_xlpm.r))),FALSE)</f>
        <v>0</v>
      </c>
      <c r="AG472" s="38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3106</v>
      </c>
      <c r="B473" s="40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8" t="b" cm="1">
        <f t="array" ref="AE473">IFERROR(_xlfn.BYROW(TRACK_TYPES[[#This Row],[TRACK_TYPE_STANDARD_GAUGE_RAILTYPE_OHLE]:[TRACK_TYPE_STANDARD_GAUGE_RAILTYPE_NONE]],_xlfn.LAMBDA(_xlpm.r,OR(_xlpm.r))),FALSE)</f>
        <v>0</v>
      </c>
      <c r="AF473" s="38" t="b" cm="1">
        <f t="array" ref="AF473">IFERROR(_xlfn.BYROW(TRACK_TYPES[[#This Row],[TRACK_TYPE_NARROW_GAUGE_RAILTYPE_OHLE]:[TRACK_TYPE_NARROW_GAUGE_RAILTYPE_NONE]],_xlfn.LAMBDA(_xlpm.r,OR(_xlpm.r))),FALSE)</f>
        <v>0</v>
      </c>
      <c r="AG473" s="38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3107</v>
      </c>
      <c r="B474" s="40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8" t="b" cm="1">
        <f t="array" ref="AE474">IFERROR(_xlfn.BYROW(TRACK_TYPES[[#This Row],[TRACK_TYPE_STANDARD_GAUGE_RAILTYPE_OHLE]:[TRACK_TYPE_STANDARD_GAUGE_RAILTYPE_NONE]],_xlfn.LAMBDA(_xlpm.r,OR(_xlpm.r))),FALSE)</f>
        <v>1</v>
      </c>
      <c r="AF474" s="38" t="b" cm="1">
        <f t="array" ref="AF474">IFERROR(_xlfn.BYROW(TRACK_TYPES[[#This Row],[TRACK_TYPE_NARROW_GAUGE_RAILTYPE_OHLE]:[TRACK_TYPE_NARROW_GAUGE_RAILTYPE_NONE]],_xlfn.LAMBDA(_xlpm.r,OR(_xlpm.r))),FALSE)</f>
        <v>0</v>
      </c>
      <c r="AG474" s="38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3108</v>
      </c>
      <c r="B475" s="40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8" t="b" cm="1">
        <f t="array" ref="AE475">IFERROR(_xlfn.BYROW(TRACK_TYPES[[#This Row],[TRACK_TYPE_STANDARD_GAUGE_RAILTYPE_OHLE]:[TRACK_TYPE_STANDARD_GAUGE_RAILTYPE_NONE]],_xlfn.LAMBDA(_xlpm.r,OR(_xlpm.r))),FALSE)</f>
        <v>1</v>
      </c>
      <c r="AF475" s="38" t="b" cm="1">
        <f t="array" ref="AF475">IFERROR(_xlfn.BYROW(TRACK_TYPES[[#This Row],[TRACK_TYPE_NARROW_GAUGE_RAILTYPE_OHLE]:[TRACK_TYPE_NARROW_GAUGE_RAILTYPE_NONE]],_xlfn.LAMBDA(_xlpm.r,OR(_xlpm.r))),FALSE)</f>
        <v>0</v>
      </c>
      <c r="AG475" s="38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3109</v>
      </c>
      <c r="B476" s="40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8" t="b" cm="1">
        <f t="array" ref="AE476">IFERROR(_xlfn.BYROW(TRACK_TYPES[[#This Row],[TRACK_TYPE_STANDARD_GAUGE_RAILTYPE_OHLE]:[TRACK_TYPE_STANDARD_GAUGE_RAILTYPE_NONE]],_xlfn.LAMBDA(_xlpm.r,OR(_xlpm.r))),FALSE)</f>
        <v>1</v>
      </c>
      <c r="AF476" s="38" t="b" cm="1">
        <f t="array" ref="AF476">IFERROR(_xlfn.BYROW(TRACK_TYPES[[#This Row],[TRACK_TYPE_NARROW_GAUGE_RAILTYPE_OHLE]:[TRACK_TYPE_NARROW_GAUGE_RAILTYPE_NONE]],_xlfn.LAMBDA(_xlpm.r,OR(_xlpm.r))),FALSE)</f>
        <v>0</v>
      </c>
      <c r="AG476" s="38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3110</v>
      </c>
      <c r="B477" s="40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8" t="b" cm="1">
        <f t="array" ref="AE477">IFERROR(_xlfn.BYROW(TRACK_TYPES[[#This Row],[TRACK_TYPE_STANDARD_GAUGE_RAILTYPE_OHLE]:[TRACK_TYPE_STANDARD_GAUGE_RAILTYPE_NONE]],_xlfn.LAMBDA(_xlpm.r,OR(_xlpm.r))),FALSE)</f>
        <v>0</v>
      </c>
      <c r="AF477" s="38" t="b" cm="1">
        <f t="array" ref="AF477">IFERROR(_xlfn.BYROW(TRACK_TYPES[[#This Row],[TRACK_TYPE_NARROW_GAUGE_RAILTYPE_OHLE]:[TRACK_TYPE_NARROW_GAUGE_RAILTYPE_NONE]],_xlfn.LAMBDA(_xlpm.r,OR(_xlpm.r))),FALSE)</f>
        <v>1</v>
      </c>
      <c r="AG477" s="38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3111</v>
      </c>
      <c r="B478" s="40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8" t="b" cm="1">
        <f t="array" ref="AE478">IFERROR(_xlfn.BYROW(TRACK_TYPES[[#This Row],[TRACK_TYPE_STANDARD_GAUGE_RAILTYPE_OHLE]:[TRACK_TYPE_STANDARD_GAUGE_RAILTYPE_NONE]],_xlfn.LAMBDA(_xlpm.r,OR(_xlpm.r))),FALSE)</f>
        <v>1</v>
      </c>
      <c r="AF478" s="38" t="b" cm="1">
        <f t="array" ref="AF478">IFERROR(_xlfn.BYROW(TRACK_TYPES[[#This Row],[TRACK_TYPE_NARROW_GAUGE_RAILTYPE_OHLE]:[TRACK_TYPE_NARROW_GAUGE_RAILTYPE_NONE]],_xlfn.LAMBDA(_xlpm.r,OR(_xlpm.r))),FALSE)</f>
        <v>0</v>
      </c>
      <c r="AG478" s="38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3112</v>
      </c>
      <c r="B479" s="40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8" t="b" cm="1">
        <f t="array" ref="AE479">IFERROR(_xlfn.BYROW(TRACK_TYPES[[#This Row],[TRACK_TYPE_STANDARD_GAUGE_RAILTYPE_OHLE]:[TRACK_TYPE_STANDARD_GAUGE_RAILTYPE_NONE]],_xlfn.LAMBDA(_xlpm.r,OR(_xlpm.r))),FALSE)</f>
        <v>1</v>
      </c>
      <c r="AF479" s="38" t="b" cm="1">
        <f t="array" ref="AF479">IFERROR(_xlfn.BYROW(TRACK_TYPES[[#This Row],[TRACK_TYPE_NARROW_GAUGE_RAILTYPE_OHLE]:[TRACK_TYPE_NARROW_GAUGE_RAILTYPE_NONE]],_xlfn.LAMBDA(_xlpm.r,OR(_xlpm.r))),FALSE)</f>
        <v>0</v>
      </c>
      <c r="AG479" s="38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3113</v>
      </c>
      <c r="B480" s="40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8" t="b" cm="1">
        <f t="array" ref="AE480">IFERROR(_xlfn.BYROW(TRACK_TYPES[[#This Row],[TRACK_TYPE_STANDARD_GAUGE_RAILTYPE_OHLE]:[TRACK_TYPE_STANDARD_GAUGE_RAILTYPE_NONE]],_xlfn.LAMBDA(_xlpm.r,OR(_xlpm.r))),FALSE)</f>
        <v>1</v>
      </c>
      <c r="AF480" s="38" t="b" cm="1">
        <f t="array" ref="AF480">IFERROR(_xlfn.BYROW(TRACK_TYPES[[#This Row],[TRACK_TYPE_NARROW_GAUGE_RAILTYPE_OHLE]:[TRACK_TYPE_NARROW_GAUGE_RAILTYPE_NONE]],_xlfn.LAMBDA(_xlpm.r,OR(_xlpm.r))),FALSE)</f>
        <v>0</v>
      </c>
      <c r="AG480" s="38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3114</v>
      </c>
      <c r="B481" s="40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8" t="b" cm="1">
        <f t="array" ref="AE481">IFERROR(_xlfn.BYROW(TRACK_TYPES[[#This Row],[TRACK_TYPE_STANDARD_GAUGE_RAILTYPE_OHLE]:[TRACK_TYPE_STANDARD_GAUGE_RAILTYPE_NONE]],_xlfn.LAMBDA(_xlpm.r,OR(_xlpm.r))),FALSE)</f>
        <v>1</v>
      </c>
      <c r="AF481" s="38" t="b" cm="1">
        <f t="array" ref="AF481">IFERROR(_xlfn.BYROW(TRACK_TYPES[[#This Row],[TRACK_TYPE_NARROW_GAUGE_RAILTYPE_OHLE]:[TRACK_TYPE_NARROW_GAUGE_RAILTYPE_NONE]],_xlfn.LAMBDA(_xlpm.r,OR(_xlpm.r))),FALSE)</f>
        <v>0</v>
      </c>
      <c r="AG481" s="38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3115</v>
      </c>
      <c r="B482" s="40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8" t="b" cm="1">
        <f t="array" ref="AE482">IFERROR(_xlfn.BYROW(TRACK_TYPES[[#This Row],[TRACK_TYPE_STANDARD_GAUGE_RAILTYPE_OHLE]:[TRACK_TYPE_STANDARD_GAUGE_RAILTYPE_NONE]],_xlfn.LAMBDA(_xlpm.r,OR(_xlpm.r))),FALSE)</f>
        <v>1</v>
      </c>
      <c r="AF482" s="38" t="b" cm="1">
        <f t="array" ref="AF482">IFERROR(_xlfn.BYROW(TRACK_TYPES[[#This Row],[TRACK_TYPE_NARROW_GAUGE_RAILTYPE_OHLE]:[TRACK_TYPE_NARROW_GAUGE_RAILTYPE_NONE]],_xlfn.LAMBDA(_xlpm.r,OR(_xlpm.r))),FALSE)</f>
        <v>0</v>
      </c>
      <c r="AG482" s="38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3116</v>
      </c>
      <c r="B483" s="40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8" t="b" cm="1">
        <f t="array" ref="AE483">IFERROR(_xlfn.BYROW(TRACK_TYPES[[#This Row],[TRACK_TYPE_STANDARD_GAUGE_RAILTYPE_OHLE]:[TRACK_TYPE_STANDARD_GAUGE_RAILTYPE_NONE]],_xlfn.LAMBDA(_xlpm.r,OR(_xlpm.r))),FALSE)</f>
        <v>1</v>
      </c>
      <c r="AF483" s="38" t="b" cm="1">
        <f t="array" ref="AF483">IFERROR(_xlfn.BYROW(TRACK_TYPES[[#This Row],[TRACK_TYPE_NARROW_GAUGE_RAILTYPE_OHLE]:[TRACK_TYPE_NARROW_GAUGE_RAILTYPE_NONE]],_xlfn.LAMBDA(_xlpm.r,OR(_xlpm.r))),FALSE)</f>
        <v>0</v>
      </c>
      <c r="AG483" s="38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3117</v>
      </c>
      <c r="B484" s="40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8" t="b" cm="1">
        <f t="array" ref="AE484">IFERROR(_xlfn.BYROW(TRACK_TYPES[[#This Row],[TRACK_TYPE_STANDARD_GAUGE_RAILTYPE_OHLE]:[TRACK_TYPE_STANDARD_GAUGE_RAILTYPE_NONE]],_xlfn.LAMBDA(_xlpm.r,OR(_xlpm.r))),FALSE)</f>
        <v>0</v>
      </c>
      <c r="AF484" s="38" t="b" cm="1">
        <f t="array" ref="AF484">IFERROR(_xlfn.BYROW(TRACK_TYPES[[#This Row],[TRACK_TYPE_NARROW_GAUGE_RAILTYPE_OHLE]:[TRACK_TYPE_NARROW_GAUGE_RAILTYPE_NONE]],_xlfn.LAMBDA(_xlpm.r,OR(_xlpm.r))),FALSE)</f>
        <v>1</v>
      </c>
      <c r="AG484" s="38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3118</v>
      </c>
      <c r="B485" s="40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8" t="b" cm="1">
        <f t="array" ref="AE485">IFERROR(_xlfn.BYROW(TRACK_TYPES[[#This Row],[TRACK_TYPE_STANDARD_GAUGE_RAILTYPE_OHLE]:[TRACK_TYPE_STANDARD_GAUGE_RAILTYPE_NONE]],_xlfn.LAMBDA(_xlpm.r,OR(_xlpm.r))),FALSE)</f>
        <v>0</v>
      </c>
      <c r="AF485" s="38" t="b" cm="1">
        <f t="array" ref="AF485">IFERROR(_xlfn.BYROW(TRACK_TYPES[[#This Row],[TRACK_TYPE_NARROW_GAUGE_RAILTYPE_OHLE]:[TRACK_TYPE_NARROW_GAUGE_RAILTYPE_NONE]],_xlfn.LAMBDA(_xlpm.r,OR(_xlpm.r))),FALSE)</f>
        <v>0</v>
      </c>
      <c r="AG485" s="38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3119</v>
      </c>
      <c r="B486" s="40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8" t="b" cm="1">
        <f t="array" ref="AE486">IFERROR(_xlfn.BYROW(TRACK_TYPES[[#This Row],[TRACK_TYPE_STANDARD_GAUGE_RAILTYPE_OHLE]:[TRACK_TYPE_STANDARD_GAUGE_RAILTYPE_NONE]],_xlfn.LAMBDA(_xlpm.r,OR(_xlpm.r))),FALSE)</f>
        <v>1</v>
      </c>
      <c r="AF486" s="38" t="b" cm="1">
        <f t="array" ref="AF486">IFERROR(_xlfn.BYROW(TRACK_TYPES[[#This Row],[TRACK_TYPE_NARROW_GAUGE_RAILTYPE_OHLE]:[TRACK_TYPE_NARROW_GAUGE_RAILTYPE_NONE]],_xlfn.LAMBDA(_xlpm.r,OR(_xlpm.r))),FALSE)</f>
        <v>0</v>
      </c>
      <c r="AG486" s="38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3120</v>
      </c>
      <c r="B487" s="40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8" t="b" cm="1">
        <f t="array" ref="AE487">IFERROR(_xlfn.BYROW(TRACK_TYPES[[#This Row],[TRACK_TYPE_STANDARD_GAUGE_RAILTYPE_OHLE]:[TRACK_TYPE_STANDARD_GAUGE_RAILTYPE_NONE]],_xlfn.LAMBDA(_xlpm.r,OR(_xlpm.r))),FALSE)</f>
        <v>0</v>
      </c>
      <c r="AF487" s="38" t="b" cm="1">
        <f t="array" ref="AF487">IFERROR(_xlfn.BYROW(TRACK_TYPES[[#This Row],[TRACK_TYPE_NARROW_GAUGE_RAILTYPE_OHLE]:[TRACK_TYPE_NARROW_GAUGE_RAILTYPE_NONE]],_xlfn.LAMBDA(_xlpm.r,OR(_xlpm.r))),FALSE)</f>
        <v>0</v>
      </c>
      <c r="AG487" s="38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3121</v>
      </c>
      <c r="B488" s="40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8" t="b" cm="1">
        <f t="array" ref="AE488">IFERROR(_xlfn.BYROW(TRACK_TYPES[[#This Row],[TRACK_TYPE_STANDARD_GAUGE_RAILTYPE_OHLE]:[TRACK_TYPE_STANDARD_GAUGE_RAILTYPE_NONE]],_xlfn.LAMBDA(_xlpm.r,OR(_xlpm.r))),FALSE)</f>
        <v>0</v>
      </c>
      <c r="AF488" s="38" t="b" cm="1">
        <f t="array" ref="AF488">IFERROR(_xlfn.BYROW(TRACK_TYPES[[#This Row],[TRACK_TYPE_NARROW_GAUGE_RAILTYPE_OHLE]:[TRACK_TYPE_NARROW_GAUGE_RAILTYPE_NONE]],_xlfn.LAMBDA(_xlpm.r,OR(_xlpm.r))),FALSE)</f>
        <v>1</v>
      </c>
      <c r="AG488" s="38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3122</v>
      </c>
      <c r="B489" s="40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8" t="b" cm="1">
        <f t="array" ref="AE489">IFERROR(_xlfn.BYROW(TRACK_TYPES[[#This Row],[TRACK_TYPE_STANDARD_GAUGE_RAILTYPE_OHLE]:[TRACK_TYPE_STANDARD_GAUGE_RAILTYPE_NONE]],_xlfn.LAMBDA(_xlpm.r,OR(_xlpm.r))),FALSE)</f>
        <v>1</v>
      </c>
      <c r="AF489" s="38" t="b" cm="1">
        <f t="array" ref="AF489">IFERROR(_xlfn.BYROW(TRACK_TYPES[[#This Row],[TRACK_TYPE_NARROW_GAUGE_RAILTYPE_OHLE]:[TRACK_TYPE_NARROW_GAUGE_RAILTYPE_NONE]],_xlfn.LAMBDA(_xlpm.r,OR(_xlpm.r))),FALSE)</f>
        <v>0</v>
      </c>
      <c r="AG489" s="38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3123</v>
      </c>
      <c r="B490" s="40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8" t="b" cm="1">
        <f t="array" ref="AE490">IFERROR(_xlfn.BYROW(TRACK_TYPES[[#This Row],[TRACK_TYPE_STANDARD_GAUGE_RAILTYPE_OHLE]:[TRACK_TYPE_STANDARD_GAUGE_RAILTYPE_NONE]],_xlfn.LAMBDA(_xlpm.r,OR(_xlpm.r))),FALSE)</f>
        <v>0</v>
      </c>
      <c r="AF490" s="38" t="b" cm="1">
        <f t="array" ref="AF490">IFERROR(_xlfn.BYROW(TRACK_TYPES[[#This Row],[TRACK_TYPE_NARROW_GAUGE_RAILTYPE_OHLE]:[TRACK_TYPE_NARROW_GAUGE_RAILTYPE_NONE]],_xlfn.LAMBDA(_xlpm.r,OR(_xlpm.r))),FALSE)</f>
        <v>1</v>
      </c>
      <c r="AG490" s="38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3124</v>
      </c>
      <c r="B491" s="40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8" t="b" cm="1">
        <f t="array" ref="AE491">IFERROR(_xlfn.BYROW(TRACK_TYPES[[#This Row],[TRACK_TYPE_STANDARD_GAUGE_RAILTYPE_OHLE]:[TRACK_TYPE_STANDARD_GAUGE_RAILTYPE_NONE]],_xlfn.LAMBDA(_xlpm.r,OR(_xlpm.r))),FALSE)</f>
        <v>1</v>
      </c>
      <c r="AF491" s="38" t="b" cm="1">
        <f t="array" ref="AF491">IFERROR(_xlfn.BYROW(TRACK_TYPES[[#This Row],[TRACK_TYPE_NARROW_GAUGE_RAILTYPE_OHLE]:[TRACK_TYPE_NARROW_GAUGE_RAILTYPE_NONE]],_xlfn.LAMBDA(_xlpm.r,OR(_xlpm.r))),FALSE)</f>
        <v>0</v>
      </c>
      <c r="AG491" s="38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3125</v>
      </c>
      <c r="B492" s="40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8" t="b" cm="1">
        <f t="array" ref="AE492">IFERROR(_xlfn.BYROW(TRACK_TYPES[[#This Row],[TRACK_TYPE_STANDARD_GAUGE_RAILTYPE_OHLE]:[TRACK_TYPE_STANDARD_GAUGE_RAILTYPE_NONE]],_xlfn.LAMBDA(_xlpm.r,OR(_xlpm.r))),FALSE)</f>
        <v>1</v>
      </c>
      <c r="AF492" s="38" t="b" cm="1">
        <f t="array" ref="AF492">IFERROR(_xlfn.BYROW(TRACK_TYPES[[#This Row],[TRACK_TYPE_NARROW_GAUGE_RAILTYPE_OHLE]:[TRACK_TYPE_NARROW_GAUGE_RAILTYPE_NONE]],_xlfn.LAMBDA(_xlpm.r,OR(_xlpm.r))),FALSE)</f>
        <v>0</v>
      </c>
      <c r="AG492" s="38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3126</v>
      </c>
      <c r="B493" s="40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8" t="b" cm="1">
        <f t="array" ref="AE493">IFERROR(_xlfn.BYROW(TRACK_TYPES[[#This Row],[TRACK_TYPE_STANDARD_GAUGE_RAILTYPE_OHLE]:[TRACK_TYPE_STANDARD_GAUGE_RAILTYPE_NONE]],_xlfn.LAMBDA(_xlpm.r,OR(_xlpm.r))),FALSE)</f>
        <v>1</v>
      </c>
      <c r="AF493" s="38" t="b" cm="1">
        <f t="array" ref="AF493">IFERROR(_xlfn.BYROW(TRACK_TYPES[[#This Row],[TRACK_TYPE_NARROW_GAUGE_RAILTYPE_OHLE]:[TRACK_TYPE_NARROW_GAUGE_RAILTYPE_NONE]],_xlfn.LAMBDA(_xlpm.r,OR(_xlpm.r))),FALSE)</f>
        <v>0</v>
      </c>
      <c r="AG493" s="38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3127</v>
      </c>
      <c r="B494" s="40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8" t="b" cm="1">
        <f t="array" ref="AE494">IFERROR(_xlfn.BYROW(TRACK_TYPES[[#This Row],[TRACK_TYPE_STANDARD_GAUGE_RAILTYPE_OHLE]:[TRACK_TYPE_STANDARD_GAUGE_RAILTYPE_NONE]],_xlfn.LAMBDA(_xlpm.r,OR(_xlpm.r))),FALSE)</f>
        <v>1</v>
      </c>
      <c r="AF494" s="38" t="b" cm="1">
        <f t="array" ref="AF494">IFERROR(_xlfn.BYROW(TRACK_TYPES[[#This Row],[TRACK_TYPE_NARROW_GAUGE_RAILTYPE_OHLE]:[TRACK_TYPE_NARROW_GAUGE_RAILTYPE_NONE]],_xlfn.LAMBDA(_xlpm.r,OR(_xlpm.r))),FALSE)</f>
        <v>0</v>
      </c>
      <c r="AG494" s="38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3128</v>
      </c>
      <c r="B495" s="40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8" t="b" cm="1">
        <f t="array" ref="AE495">IFERROR(_xlfn.BYROW(TRACK_TYPES[[#This Row],[TRACK_TYPE_STANDARD_GAUGE_RAILTYPE_OHLE]:[TRACK_TYPE_STANDARD_GAUGE_RAILTYPE_NONE]],_xlfn.LAMBDA(_xlpm.r,OR(_xlpm.r))),FALSE)</f>
        <v>1</v>
      </c>
      <c r="AF495" s="38" t="b" cm="1">
        <f t="array" ref="AF495">IFERROR(_xlfn.BYROW(TRACK_TYPES[[#This Row],[TRACK_TYPE_NARROW_GAUGE_RAILTYPE_OHLE]:[TRACK_TYPE_NARROW_GAUGE_RAILTYPE_NONE]],_xlfn.LAMBDA(_xlpm.r,OR(_xlpm.r))),FALSE)</f>
        <v>0</v>
      </c>
      <c r="AG495" s="38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3129</v>
      </c>
      <c r="B496" s="40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8" t="b" cm="1">
        <f t="array" ref="AE496">IFERROR(_xlfn.BYROW(TRACK_TYPES[[#This Row],[TRACK_TYPE_STANDARD_GAUGE_RAILTYPE_OHLE]:[TRACK_TYPE_STANDARD_GAUGE_RAILTYPE_NONE]],_xlfn.LAMBDA(_xlpm.r,OR(_xlpm.r))),FALSE)</f>
        <v>0</v>
      </c>
      <c r="AF496" s="38" t="b" cm="1">
        <f t="array" ref="AF496">IFERROR(_xlfn.BYROW(TRACK_TYPES[[#This Row],[TRACK_TYPE_NARROW_GAUGE_RAILTYPE_OHLE]:[TRACK_TYPE_NARROW_GAUGE_RAILTYPE_NONE]],_xlfn.LAMBDA(_xlpm.r,OR(_xlpm.r))),FALSE)</f>
        <v>1</v>
      </c>
      <c r="AG496" s="38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3130</v>
      </c>
      <c r="B497" s="40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8" t="b" cm="1">
        <f t="array" ref="AE497">IFERROR(_xlfn.BYROW(TRACK_TYPES[[#This Row],[TRACK_TYPE_STANDARD_GAUGE_RAILTYPE_OHLE]:[TRACK_TYPE_STANDARD_GAUGE_RAILTYPE_NONE]],_xlfn.LAMBDA(_xlpm.r,OR(_xlpm.r))),FALSE)</f>
        <v>0</v>
      </c>
      <c r="AF497" s="38" t="b" cm="1">
        <f t="array" ref="AF497">IFERROR(_xlfn.BYROW(TRACK_TYPES[[#This Row],[TRACK_TYPE_NARROW_GAUGE_RAILTYPE_OHLE]:[TRACK_TYPE_NARROW_GAUGE_RAILTYPE_NONE]],_xlfn.LAMBDA(_xlpm.r,OR(_xlpm.r))),FALSE)</f>
        <v>1</v>
      </c>
      <c r="AG497" s="38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3131</v>
      </c>
      <c r="B498" s="40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8" t="b" cm="1">
        <f t="array" ref="AE498">IFERROR(_xlfn.BYROW(TRACK_TYPES[[#This Row],[TRACK_TYPE_STANDARD_GAUGE_RAILTYPE_OHLE]:[TRACK_TYPE_STANDARD_GAUGE_RAILTYPE_NONE]],_xlfn.LAMBDA(_xlpm.r,OR(_xlpm.r))),FALSE)</f>
        <v>0</v>
      </c>
      <c r="AF498" s="38" t="b" cm="1">
        <f t="array" ref="AF498">IFERROR(_xlfn.BYROW(TRACK_TYPES[[#This Row],[TRACK_TYPE_NARROW_GAUGE_RAILTYPE_OHLE]:[TRACK_TYPE_NARROW_GAUGE_RAILTYPE_NONE]],_xlfn.LAMBDA(_xlpm.r,OR(_xlpm.r))),FALSE)</f>
        <v>1</v>
      </c>
      <c r="AG498" s="38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3132</v>
      </c>
      <c r="B499" s="40" t="str">
        <f>_xlfn.XLOOKUP(PROPERTIES[[#This Row],[VEHIDCODE]],CONTROL[VEHIDCODE],CONTROL[ENGLISH])</f>
        <v>Nippon 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8" t="b" cm="1">
        <f t="array" ref="AE499">IFERROR(_xlfn.BYROW(TRACK_TYPES[[#This Row],[TRACK_TYPE_STANDARD_GAUGE_RAILTYPE_OHLE]:[TRACK_TYPE_STANDARD_GAUGE_RAILTYPE_NONE]],_xlfn.LAMBDA(_xlpm.r,OR(_xlpm.r))),FALSE)</f>
        <v>1</v>
      </c>
      <c r="AF499" s="38" t="b" cm="1">
        <f t="array" ref="AF499">IFERROR(_xlfn.BYROW(TRACK_TYPES[[#This Row],[TRACK_TYPE_NARROW_GAUGE_RAILTYPE_OHLE]:[TRACK_TYPE_NARROW_GAUGE_RAILTYPE_NONE]],_xlfn.LAMBDA(_xlpm.r,OR(_xlpm.r))),FALSE)</f>
        <v>0</v>
      </c>
      <c r="AG499" s="38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3133</v>
      </c>
      <c r="B500" s="40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8" t="b" cm="1">
        <f t="array" ref="AE500">IFERROR(_xlfn.BYROW(TRACK_TYPES[[#This Row],[TRACK_TYPE_STANDARD_GAUGE_RAILTYPE_OHLE]:[TRACK_TYPE_STANDARD_GAUGE_RAILTYPE_NONE]],_xlfn.LAMBDA(_xlpm.r,OR(_xlpm.r))),FALSE)</f>
        <v>1</v>
      </c>
      <c r="AF500" s="38" t="b" cm="1">
        <f t="array" ref="AF500">IFERROR(_xlfn.BYROW(TRACK_TYPES[[#This Row],[TRACK_TYPE_NARROW_GAUGE_RAILTYPE_OHLE]:[TRACK_TYPE_NARROW_GAUGE_RAILTYPE_NONE]],_xlfn.LAMBDA(_xlpm.r,OR(_xlpm.r))),FALSE)</f>
        <v>0</v>
      </c>
      <c r="AG500" s="38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3134</v>
      </c>
      <c r="B501" s="40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8" t="b" cm="1">
        <f t="array" ref="AE501">IFERROR(_xlfn.BYROW(TRACK_TYPES[[#This Row],[TRACK_TYPE_STANDARD_GAUGE_RAILTYPE_OHLE]:[TRACK_TYPE_STANDARD_GAUGE_RAILTYPE_NONE]],_xlfn.LAMBDA(_xlpm.r,OR(_xlpm.r))),FALSE)</f>
        <v>1</v>
      </c>
      <c r="AF501" s="38" t="b" cm="1">
        <f t="array" ref="AF501">IFERROR(_xlfn.BYROW(TRACK_TYPES[[#This Row],[TRACK_TYPE_NARROW_GAUGE_RAILTYPE_OHLE]:[TRACK_TYPE_NARROW_GAUGE_RAILTYPE_NONE]],_xlfn.LAMBDA(_xlpm.r,OR(_xlpm.r))),FALSE)</f>
        <v>0</v>
      </c>
      <c r="AG501" s="38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3135</v>
      </c>
      <c r="B502" s="40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8" t="b" cm="1">
        <f t="array" ref="AE502">IFERROR(_xlfn.BYROW(TRACK_TYPES[[#This Row],[TRACK_TYPE_STANDARD_GAUGE_RAILTYPE_OHLE]:[TRACK_TYPE_STANDARD_GAUGE_RAILTYPE_NONE]],_xlfn.LAMBDA(_xlpm.r,OR(_xlpm.r))),FALSE)</f>
        <v>0</v>
      </c>
      <c r="AF502" s="38" t="b" cm="1">
        <f t="array" ref="AF502">IFERROR(_xlfn.BYROW(TRACK_TYPES[[#This Row],[TRACK_TYPE_NARROW_GAUGE_RAILTYPE_OHLE]:[TRACK_TYPE_NARROW_GAUGE_RAILTYPE_NONE]],_xlfn.LAMBDA(_xlpm.r,OR(_xlpm.r))),FALSE)</f>
        <v>0</v>
      </c>
      <c r="AG502" s="38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3136</v>
      </c>
      <c r="B503" s="40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8" t="b" cm="1">
        <f t="array" ref="AE503">IFERROR(_xlfn.BYROW(TRACK_TYPES[[#This Row],[TRACK_TYPE_STANDARD_GAUGE_RAILTYPE_OHLE]:[TRACK_TYPE_STANDARD_GAUGE_RAILTYPE_NONE]],_xlfn.LAMBDA(_xlpm.r,OR(_xlpm.r))),FALSE)</f>
        <v>0</v>
      </c>
      <c r="AF503" s="38" t="b" cm="1">
        <f t="array" ref="AF503">IFERROR(_xlfn.BYROW(TRACK_TYPES[[#This Row],[TRACK_TYPE_NARROW_GAUGE_RAILTYPE_OHLE]:[TRACK_TYPE_NARROW_GAUGE_RAILTYPE_NONE]],_xlfn.LAMBDA(_xlpm.r,OR(_xlpm.r))),FALSE)</f>
        <v>0</v>
      </c>
      <c r="AG503" s="38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3137</v>
      </c>
      <c r="B504" s="40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8" t="b" cm="1">
        <f t="array" ref="AE504">IFERROR(_xlfn.BYROW(TRACK_TYPES[[#This Row],[TRACK_TYPE_STANDARD_GAUGE_RAILTYPE_OHLE]:[TRACK_TYPE_STANDARD_GAUGE_RAILTYPE_NONE]],_xlfn.LAMBDA(_xlpm.r,OR(_xlpm.r))),FALSE)</f>
        <v>0</v>
      </c>
      <c r="AF504" s="38" t="b" cm="1">
        <f t="array" ref="AF504">IFERROR(_xlfn.BYROW(TRACK_TYPES[[#This Row],[TRACK_TYPE_NARROW_GAUGE_RAILTYPE_OHLE]:[TRACK_TYPE_NARROW_GAUGE_RAILTYPE_NONE]],_xlfn.LAMBDA(_xlpm.r,OR(_xlpm.r))),FALSE)</f>
        <v>0</v>
      </c>
      <c r="AG504" s="38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3138</v>
      </c>
      <c r="B505" s="40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8" t="b" cm="1">
        <f t="array" ref="AE505">IFERROR(_xlfn.BYROW(TRACK_TYPES[[#This Row],[TRACK_TYPE_STANDARD_GAUGE_RAILTYPE_OHLE]:[TRACK_TYPE_STANDARD_GAUGE_RAILTYPE_NONE]],_xlfn.LAMBDA(_xlpm.r,OR(_xlpm.r))),FALSE)</f>
        <v>1</v>
      </c>
      <c r="AF505" s="38" t="b" cm="1">
        <f t="array" ref="AF505">IFERROR(_xlfn.BYROW(TRACK_TYPES[[#This Row],[TRACK_TYPE_NARROW_GAUGE_RAILTYPE_OHLE]:[TRACK_TYPE_NARROW_GAUGE_RAILTYPE_NONE]],_xlfn.LAMBDA(_xlpm.r,OR(_xlpm.r))),FALSE)</f>
        <v>0</v>
      </c>
      <c r="AG505" s="38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3139</v>
      </c>
      <c r="B506" s="40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8" t="b" cm="1">
        <f t="array" ref="AE506">IFERROR(_xlfn.BYROW(TRACK_TYPES[[#This Row],[TRACK_TYPE_STANDARD_GAUGE_RAILTYPE_OHLE]:[TRACK_TYPE_STANDARD_GAUGE_RAILTYPE_NONE]],_xlfn.LAMBDA(_xlpm.r,OR(_xlpm.r))),FALSE)</f>
        <v>1</v>
      </c>
      <c r="AF506" s="38" t="b" cm="1">
        <f t="array" ref="AF506">IFERROR(_xlfn.BYROW(TRACK_TYPES[[#This Row],[TRACK_TYPE_NARROW_GAUGE_RAILTYPE_OHLE]:[TRACK_TYPE_NARROW_GAUGE_RAILTYPE_NONE]],_xlfn.LAMBDA(_xlpm.r,OR(_xlpm.r))),FALSE)</f>
        <v>0</v>
      </c>
      <c r="AG506" s="38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3140</v>
      </c>
      <c r="B507" s="40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8" t="b" cm="1">
        <f t="array" ref="AE507">IFERROR(_xlfn.BYROW(TRACK_TYPES[[#This Row],[TRACK_TYPE_STANDARD_GAUGE_RAILTYPE_OHLE]:[TRACK_TYPE_STANDARD_GAUGE_RAILTYPE_NONE]],_xlfn.LAMBDA(_xlpm.r,OR(_xlpm.r))),FALSE)</f>
        <v>1</v>
      </c>
      <c r="AF507" s="38" t="b" cm="1">
        <f t="array" ref="AF507">IFERROR(_xlfn.BYROW(TRACK_TYPES[[#This Row],[TRACK_TYPE_NARROW_GAUGE_RAILTYPE_OHLE]:[TRACK_TYPE_NARROW_GAUGE_RAILTYPE_NONE]],_xlfn.LAMBDA(_xlpm.r,OR(_xlpm.r))),FALSE)</f>
        <v>0</v>
      </c>
      <c r="AG507" s="38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3141</v>
      </c>
      <c r="B508" s="40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8" t="b" cm="1">
        <f t="array" ref="AE508">IFERROR(_xlfn.BYROW(TRACK_TYPES[[#This Row],[TRACK_TYPE_STANDARD_GAUGE_RAILTYPE_OHLE]:[TRACK_TYPE_STANDARD_GAUGE_RAILTYPE_NONE]],_xlfn.LAMBDA(_xlpm.r,OR(_xlpm.r))),FALSE)</f>
        <v>1</v>
      </c>
      <c r="AF508" s="38" t="b" cm="1">
        <f t="array" ref="AF508">IFERROR(_xlfn.BYROW(TRACK_TYPES[[#This Row],[TRACK_TYPE_NARROW_GAUGE_RAILTYPE_OHLE]:[TRACK_TYPE_NARROW_GAUGE_RAILTYPE_NONE]],_xlfn.LAMBDA(_xlpm.r,OR(_xlpm.r))),FALSE)</f>
        <v>0</v>
      </c>
      <c r="AG508" s="38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3142</v>
      </c>
      <c r="B509" s="40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8" t="b" cm="1">
        <f t="array" ref="AE509">IFERROR(_xlfn.BYROW(TRACK_TYPES[[#This Row],[TRACK_TYPE_STANDARD_GAUGE_RAILTYPE_OHLE]:[TRACK_TYPE_STANDARD_GAUGE_RAILTYPE_NONE]],_xlfn.LAMBDA(_xlpm.r,OR(_xlpm.r))),FALSE)</f>
        <v>1</v>
      </c>
      <c r="AF509" s="38" t="b" cm="1">
        <f t="array" ref="AF509">IFERROR(_xlfn.BYROW(TRACK_TYPES[[#This Row],[TRACK_TYPE_NARROW_GAUGE_RAILTYPE_OHLE]:[TRACK_TYPE_NARROW_GAUGE_RAILTYPE_NONE]],_xlfn.LAMBDA(_xlpm.r,OR(_xlpm.r))),FALSE)</f>
        <v>0</v>
      </c>
      <c r="AG509" s="38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3143</v>
      </c>
      <c r="B510" s="40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8" t="b" cm="1">
        <f t="array" ref="AE510">IFERROR(_xlfn.BYROW(TRACK_TYPES[[#This Row],[TRACK_TYPE_STANDARD_GAUGE_RAILTYPE_OHLE]:[TRACK_TYPE_STANDARD_GAUGE_RAILTYPE_NONE]],_xlfn.LAMBDA(_xlpm.r,OR(_xlpm.r))),FALSE)</f>
        <v>1</v>
      </c>
      <c r="AF510" s="38" t="b" cm="1">
        <f t="array" ref="AF510">IFERROR(_xlfn.BYROW(TRACK_TYPES[[#This Row],[TRACK_TYPE_NARROW_GAUGE_RAILTYPE_OHLE]:[TRACK_TYPE_NARROW_GAUGE_RAILTYPE_NONE]],_xlfn.LAMBDA(_xlpm.r,OR(_xlpm.r))),FALSE)</f>
        <v>0</v>
      </c>
      <c r="AG510" s="38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3144</v>
      </c>
      <c r="B511" s="40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8" t="b" cm="1">
        <f t="array" ref="AE511">IFERROR(_xlfn.BYROW(TRACK_TYPES[[#This Row],[TRACK_TYPE_STANDARD_GAUGE_RAILTYPE_OHLE]:[TRACK_TYPE_STANDARD_GAUGE_RAILTYPE_NONE]],_xlfn.LAMBDA(_xlpm.r,OR(_xlpm.r))),FALSE)</f>
        <v>1</v>
      </c>
      <c r="AF511" s="38" t="b" cm="1">
        <f t="array" ref="AF511">IFERROR(_xlfn.BYROW(TRACK_TYPES[[#This Row],[TRACK_TYPE_NARROW_GAUGE_RAILTYPE_OHLE]:[TRACK_TYPE_NARROW_GAUGE_RAILTYPE_NONE]],_xlfn.LAMBDA(_xlpm.r,OR(_xlpm.r))),FALSE)</f>
        <v>0</v>
      </c>
      <c r="AG511" s="38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3145</v>
      </c>
      <c r="B512" s="40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8" t="b" cm="1">
        <f t="array" ref="AE512">IFERROR(_xlfn.BYROW(TRACK_TYPES[[#This Row],[TRACK_TYPE_STANDARD_GAUGE_RAILTYPE_OHLE]:[TRACK_TYPE_STANDARD_GAUGE_RAILTYPE_NONE]],_xlfn.LAMBDA(_xlpm.r,OR(_xlpm.r))),FALSE)</f>
        <v>1</v>
      </c>
      <c r="AF512" s="38" t="b" cm="1">
        <f t="array" ref="AF512">IFERROR(_xlfn.BYROW(TRACK_TYPES[[#This Row],[TRACK_TYPE_NARROW_GAUGE_RAILTYPE_OHLE]:[TRACK_TYPE_NARROW_GAUGE_RAILTYPE_NONE]],_xlfn.LAMBDA(_xlpm.r,OR(_xlpm.r))),FALSE)</f>
        <v>0</v>
      </c>
      <c r="AG512" s="38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3146</v>
      </c>
      <c r="B513" s="40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8" t="b" cm="1">
        <f t="array" ref="AE513">IFERROR(_xlfn.BYROW(TRACK_TYPES[[#This Row],[TRACK_TYPE_STANDARD_GAUGE_RAILTYPE_OHLE]:[TRACK_TYPE_STANDARD_GAUGE_RAILTYPE_NONE]],_xlfn.LAMBDA(_xlpm.r,OR(_xlpm.r))),FALSE)</f>
        <v>1</v>
      </c>
      <c r="AF513" s="38" t="b" cm="1">
        <f t="array" ref="AF513">IFERROR(_xlfn.BYROW(TRACK_TYPES[[#This Row],[TRACK_TYPE_NARROW_GAUGE_RAILTYPE_OHLE]:[TRACK_TYPE_NARROW_GAUGE_RAILTYPE_NONE]],_xlfn.LAMBDA(_xlpm.r,OR(_xlpm.r))),FALSE)</f>
        <v>0</v>
      </c>
      <c r="AG513" s="38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3147</v>
      </c>
      <c r="B514" s="40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8" t="b" cm="1">
        <f t="array" ref="AE514">IFERROR(_xlfn.BYROW(TRACK_TYPES[[#This Row],[TRACK_TYPE_STANDARD_GAUGE_RAILTYPE_OHLE]:[TRACK_TYPE_STANDARD_GAUGE_RAILTYPE_NONE]],_xlfn.LAMBDA(_xlpm.r,OR(_xlpm.r))),FALSE)</f>
        <v>1</v>
      </c>
      <c r="AF514" s="38" t="b" cm="1">
        <f t="array" ref="AF514">IFERROR(_xlfn.BYROW(TRACK_TYPES[[#This Row],[TRACK_TYPE_NARROW_GAUGE_RAILTYPE_OHLE]:[TRACK_TYPE_NARROW_GAUGE_RAILTYPE_NONE]],_xlfn.LAMBDA(_xlpm.r,OR(_xlpm.r))),FALSE)</f>
        <v>0</v>
      </c>
      <c r="AG514" s="38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3148</v>
      </c>
      <c r="B515" s="40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8" t="b" cm="1">
        <f t="array" ref="AE515">IFERROR(_xlfn.BYROW(TRACK_TYPES[[#This Row],[TRACK_TYPE_STANDARD_GAUGE_RAILTYPE_OHLE]:[TRACK_TYPE_STANDARD_GAUGE_RAILTYPE_NONE]],_xlfn.LAMBDA(_xlpm.r,OR(_xlpm.r))),FALSE)</f>
        <v>1</v>
      </c>
      <c r="AF515" s="38" t="b" cm="1">
        <f t="array" ref="AF515">IFERROR(_xlfn.BYROW(TRACK_TYPES[[#This Row],[TRACK_TYPE_NARROW_GAUGE_RAILTYPE_OHLE]:[TRACK_TYPE_NARROW_GAUGE_RAILTYPE_NONE]],_xlfn.LAMBDA(_xlpm.r,OR(_xlpm.r))),FALSE)</f>
        <v>0</v>
      </c>
      <c r="AG515" s="38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3149</v>
      </c>
      <c r="B516" s="40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8" t="b" cm="1">
        <f t="array" ref="AE516">IFERROR(_xlfn.BYROW(TRACK_TYPES[[#This Row],[TRACK_TYPE_STANDARD_GAUGE_RAILTYPE_OHLE]:[TRACK_TYPE_STANDARD_GAUGE_RAILTYPE_NONE]],_xlfn.LAMBDA(_xlpm.r,OR(_xlpm.r))),FALSE)</f>
        <v>1</v>
      </c>
      <c r="AF516" s="38" t="b" cm="1">
        <f t="array" ref="AF516">IFERROR(_xlfn.BYROW(TRACK_TYPES[[#This Row],[TRACK_TYPE_NARROW_GAUGE_RAILTYPE_OHLE]:[TRACK_TYPE_NARROW_GAUGE_RAILTYPE_NONE]],_xlfn.LAMBDA(_xlpm.r,OR(_xlpm.r))),FALSE)</f>
        <v>0</v>
      </c>
      <c r="AG516" s="38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3150</v>
      </c>
      <c r="B517" s="40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8" t="b" cm="1">
        <f t="array" ref="AE517">IFERROR(_xlfn.BYROW(TRACK_TYPES[[#This Row],[TRACK_TYPE_STANDARD_GAUGE_RAILTYPE_OHLE]:[TRACK_TYPE_STANDARD_GAUGE_RAILTYPE_NONE]],_xlfn.LAMBDA(_xlpm.r,OR(_xlpm.r))),FALSE)</f>
        <v>1</v>
      </c>
      <c r="AF517" s="38" t="b" cm="1">
        <f t="array" ref="AF517">IFERROR(_xlfn.BYROW(TRACK_TYPES[[#This Row],[TRACK_TYPE_NARROW_GAUGE_RAILTYPE_OHLE]:[TRACK_TYPE_NARROW_GAUGE_RAILTYPE_NONE]],_xlfn.LAMBDA(_xlpm.r,OR(_xlpm.r))),FALSE)</f>
        <v>0</v>
      </c>
      <c r="AG517" s="38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3151</v>
      </c>
      <c r="B518" s="40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8" t="b" cm="1">
        <f t="array" ref="AE518">IFERROR(_xlfn.BYROW(TRACK_TYPES[[#This Row],[TRACK_TYPE_STANDARD_GAUGE_RAILTYPE_OHLE]:[TRACK_TYPE_STANDARD_GAUGE_RAILTYPE_NONE]],_xlfn.LAMBDA(_xlpm.r,OR(_xlpm.r))),FALSE)</f>
        <v>1</v>
      </c>
      <c r="AF518" s="38" t="b" cm="1">
        <f t="array" ref="AF518">IFERROR(_xlfn.BYROW(TRACK_TYPES[[#This Row],[TRACK_TYPE_NARROW_GAUGE_RAILTYPE_OHLE]:[TRACK_TYPE_NARROW_GAUGE_RAILTYPE_NONE]],_xlfn.LAMBDA(_xlpm.r,OR(_xlpm.r))),FALSE)</f>
        <v>0</v>
      </c>
      <c r="AG518" s="38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3152</v>
      </c>
      <c r="B519" s="40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8" t="b" cm="1">
        <f t="array" ref="AE519">IFERROR(_xlfn.BYROW(TRACK_TYPES[[#This Row],[TRACK_TYPE_STANDARD_GAUGE_RAILTYPE_OHLE]:[TRACK_TYPE_STANDARD_GAUGE_RAILTYPE_NONE]],_xlfn.LAMBDA(_xlpm.r,OR(_xlpm.r))),FALSE)</f>
        <v>1</v>
      </c>
      <c r="AF519" s="38" t="b" cm="1">
        <f t="array" ref="AF519">IFERROR(_xlfn.BYROW(TRACK_TYPES[[#This Row],[TRACK_TYPE_NARROW_GAUGE_RAILTYPE_OHLE]:[TRACK_TYPE_NARROW_GAUGE_RAILTYPE_NONE]],_xlfn.LAMBDA(_xlpm.r,OR(_xlpm.r))),FALSE)</f>
        <v>0</v>
      </c>
      <c r="AG519" s="38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3153</v>
      </c>
      <c r="B520" s="40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8" t="b" cm="1">
        <f t="array" ref="AE520">IFERROR(_xlfn.BYROW(TRACK_TYPES[[#This Row],[TRACK_TYPE_STANDARD_GAUGE_RAILTYPE_OHLE]:[TRACK_TYPE_STANDARD_GAUGE_RAILTYPE_NONE]],_xlfn.LAMBDA(_xlpm.r,OR(_xlpm.r))),FALSE)</f>
        <v>1</v>
      </c>
      <c r="AF520" s="38" t="b" cm="1">
        <f t="array" ref="AF520">IFERROR(_xlfn.BYROW(TRACK_TYPES[[#This Row],[TRACK_TYPE_NARROW_GAUGE_RAILTYPE_OHLE]:[TRACK_TYPE_NARROW_GAUGE_RAILTYPE_NONE]],_xlfn.LAMBDA(_xlpm.r,OR(_xlpm.r))),FALSE)</f>
        <v>0</v>
      </c>
      <c r="AG520" s="38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3154</v>
      </c>
      <c r="B521" s="40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8" t="b" cm="1">
        <f t="array" ref="AE521">IFERROR(_xlfn.BYROW(TRACK_TYPES[[#This Row],[TRACK_TYPE_STANDARD_GAUGE_RAILTYPE_OHLE]:[TRACK_TYPE_STANDARD_GAUGE_RAILTYPE_NONE]],_xlfn.LAMBDA(_xlpm.r,OR(_xlpm.r))),FALSE)</f>
        <v>1</v>
      </c>
      <c r="AF521" s="38" t="b" cm="1">
        <f t="array" ref="AF521">IFERROR(_xlfn.BYROW(TRACK_TYPES[[#This Row],[TRACK_TYPE_NARROW_GAUGE_RAILTYPE_OHLE]:[TRACK_TYPE_NARROW_GAUGE_RAILTYPE_NONE]],_xlfn.LAMBDA(_xlpm.r,OR(_xlpm.r))),FALSE)</f>
        <v>0</v>
      </c>
      <c r="AG521" s="38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3155</v>
      </c>
      <c r="B522" s="40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8" t="b" cm="1">
        <f t="array" ref="AE522">IFERROR(_xlfn.BYROW(TRACK_TYPES[[#This Row],[TRACK_TYPE_STANDARD_GAUGE_RAILTYPE_OHLE]:[TRACK_TYPE_STANDARD_GAUGE_RAILTYPE_NONE]],_xlfn.LAMBDA(_xlpm.r,OR(_xlpm.r))),FALSE)</f>
        <v>1</v>
      </c>
      <c r="AF522" s="38" t="b" cm="1">
        <f t="array" ref="AF522">IFERROR(_xlfn.BYROW(TRACK_TYPES[[#This Row],[TRACK_TYPE_NARROW_GAUGE_RAILTYPE_OHLE]:[TRACK_TYPE_NARROW_GAUGE_RAILTYPE_NONE]],_xlfn.LAMBDA(_xlpm.r,OR(_xlpm.r))),FALSE)</f>
        <v>0</v>
      </c>
      <c r="AG522" s="38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3156</v>
      </c>
      <c r="B523" s="40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8" t="b" cm="1">
        <f t="array" ref="AE523">IFERROR(_xlfn.BYROW(TRACK_TYPES[[#This Row],[TRACK_TYPE_STANDARD_GAUGE_RAILTYPE_OHLE]:[TRACK_TYPE_STANDARD_GAUGE_RAILTYPE_NONE]],_xlfn.LAMBDA(_xlpm.r,OR(_xlpm.r))),FALSE)</f>
        <v>1</v>
      </c>
      <c r="AF523" s="38" t="b" cm="1">
        <f t="array" ref="AF523">IFERROR(_xlfn.BYROW(TRACK_TYPES[[#This Row],[TRACK_TYPE_NARROW_GAUGE_RAILTYPE_OHLE]:[TRACK_TYPE_NARROW_GAUGE_RAILTYPE_NONE]],_xlfn.LAMBDA(_xlpm.r,OR(_xlpm.r))),FALSE)</f>
        <v>0</v>
      </c>
      <c r="AG523" s="38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3157</v>
      </c>
      <c r="B524" s="40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8" t="b" cm="1">
        <f t="array" ref="AE524">IFERROR(_xlfn.BYROW(TRACK_TYPES[[#This Row],[TRACK_TYPE_STANDARD_GAUGE_RAILTYPE_OHLE]:[TRACK_TYPE_STANDARD_GAUGE_RAILTYPE_NONE]],_xlfn.LAMBDA(_xlpm.r,OR(_xlpm.r))),FALSE)</f>
        <v>1</v>
      </c>
      <c r="AF524" s="38" t="b" cm="1">
        <f t="array" ref="AF524">IFERROR(_xlfn.BYROW(TRACK_TYPES[[#This Row],[TRACK_TYPE_NARROW_GAUGE_RAILTYPE_OHLE]:[TRACK_TYPE_NARROW_GAUGE_RAILTYPE_NONE]],_xlfn.LAMBDA(_xlpm.r,OR(_xlpm.r))),FALSE)</f>
        <v>0</v>
      </c>
      <c r="AG524" s="38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3158</v>
      </c>
      <c r="B525" s="40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8" t="b" cm="1">
        <f t="array" ref="AE525">IFERROR(_xlfn.BYROW(TRACK_TYPES[[#This Row],[TRACK_TYPE_STANDARD_GAUGE_RAILTYPE_OHLE]:[TRACK_TYPE_STANDARD_GAUGE_RAILTYPE_NONE]],_xlfn.LAMBDA(_xlpm.r,OR(_xlpm.r))),FALSE)</f>
        <v>1</v>
      </c>
      <c r="AF525" s="38" t="b" cm="1">
        <f t="array" ref="AF525">IFERROR(_xlfn.BYROW(TRACK_TYPES[[#This Row],[TRACK_TYPE_NARROW_GAUGE_RAILTYPE_OHLE]:[TRACK_TYPE_NARROW_GAUGE_RAILTYPE_NONE]],_xlfn.LAMBDA(_xlpm.r,OR(_xlpm.r))),FALSE)</f>
        <v>0</v>
      </c>
      <c r="AG525" s="38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3159</v>
      </c>
      <c r="B526" s="40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8" t="b" cm="1">
        <f t="array" ref="AE526">IFERROR(_xlfn.BYROW(TRACK_TYPES[[#This Row],[TRACK_TYPE_STANDARD_GAUGE_RAILTYPE_OHLE]:[TRACK_TYPE_STANDARD_GAUGE_RAILTYPE_NONE]],_xlfn.LAMBDA(_xlpm.r,OR(_xlpm.r))),FALSE)</f>
        <v>1</v>
      </c>
      <c r="AF526" s="38" t="b" cm="1">
        <f t="array" ref="AF526">IFERROR(_xlfn.BYROW(TRACK_TYPES[[#This Row],[TRACK_TYPE_NARROW_GAUGE_RAILTYPE_OHLE]:[TRACK_TYPE_NARROW_GAUGE_RAILTYPE_NONE]],_xlfn.LAMBDA(_xlpm.r,OR(_xlpm.r))),FALSE)</f>
        <v>0</v>
      </c>
      <c r="AG526" s="38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3160</v>
      </c>
      <c r="B527" s="40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8" t="b" cm="1">
        <f t="array" ref="AE527">IFERROR(_xlfn.BYROW(TRACK_TYPES[[#This Row],[TRACK_TYPE_STANDARD_GAUGE_RAILTYPE_OHLE]:[TRACK_TYPE_STANDARD_GAUGE_RAILTYPE_NONE]],_xlfn.LAMBDA(_xlpm.r,OR(_xlpm.r))),FALSE)</f>
        <v>1</v>
      </c>
      <c r="AF527" s="38" t="b" cm="1">
        <f t="array" ref="AF527">IFERROR(_xlfn.BYROW(TRACK_TYPES[[#This Row],[TRACK_TYPE_NARROW_GAUGE_RAILTYPE_OHLE]:[TRACK_TYPE_NARROW_GAUGE_RAILTYPE_NONE]],_xlfn.LAMBDA(_xlpm.r,OR(_xlpm.r))),FALSE)</f>
        <v>0</v>
      </c>
      <c r="AG527" s="38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3161</v>
      </c>
      <c r="B528" s="40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8" t="b" cm="1">
        <f t="array" ref="AE528">IFERROR(_xlfn.BYROW(TRACK_TYPES[[#This Row],[TRACK_TYPE_STANDARD_GAUGE_RAILTYPE_OHLE]:[TRACK_TYPE_STANDARD_GAUGE_RAILTYPE_NONE]],_xlfn.LAMBDA(_xlpm.r,OR(_xlpm.r))),FALSE)</f>
        <v>1</v>
      </c>
      <c r="AF528" s="38" t="b" cm="1">
        <f t="array" ref="AF528">IFERROR(_xlfn.BYROW(TRACK_TYPES[[#This Row],[TRACK_TYPE_NARROW_GAUGE_RAILTYPE_OHLE]:[TRACK_TYPE_NARROW_GAUGE_RAILTYPE_NONE]],_xlfn.LAMBDA(_xlpm.r,OR(_xlpm.r))),FALSE)</f>
        <v>0</v>
      </c>
      <c r="AG528" s="38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3162</v>
      </c>
      <c r="B529" s="40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8" t="b" cm="1">
        <f t="array" ref="AE529">IFERROR(_xlfn.BYROW(TRACK_TYPES[[#This Row],[TRACK_TYPE_STANDARD_GAUGE_RAILTYPE_OHLE]:[TRACK_TYPE_STANDARD_GAUGE_RAILTYPE_NONE]],_xlfn.LAMBDA(_xlpm.r,OR(_xlpm.r))),FALSE)</f>
        <v>1</v>
      </c>
      <c r="AF529" s="38" t="b" cm="1">
        <f t="array" ref="AF529">IFERROR(_xlfn.BYROW(TRACK_TYPES[[#This Row],[TRACK_TYPE_NARROW_GAUGE_RAILTYPE_OHLE]:[TRACK_TYPE_NARROW_GAUGE_RAILTYPE_NONE]],_xlfn.LAMBDA(_xlpm.r,OR(_xlpm.r))),FALSE)</f>
        <v>0</v>
      </c>
      <c r="AG529" s="38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3163</v>
      </c>
      <c r="B530" s="40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8" t="b" cm="1">
        <f t="array" ref="AE530">IFERROR(_xlfn.BYROW(TRACK_TYPES[[#This Row],[TRACK_TYPE_STANDARD_GAUGE_RAILTYPE_OHLE]:[TRACK_TYPE_STANDARD_GAUGE_RAILTYPE_NONE]],_xlfn.LAMBDA(_xlpm.r,OR(_xlpm.r))),FALSE)</f>
        <v>1</v>
      </c>
      <c r="AF530" s="38" t="b" cm="1">
        <f t="array" ref="AF530">IFERROR(_xlfn.BYROW(TRACK_TYPES[[#This Row],[TRACK_TYPE_NARROW_GAUGE_RAILTYPE_OHLE]:[TRACK_TYPE_NARROW_GAUGE_RAILTYPE_NONE]],_xlfn.LAMBDA(_xlpm.r,OR(_xlpm.r))),FALSE)</f>
        <v>0</v>
      </c>
      <c r="AG530" s="38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3164</v>
      </c>
      <c r="B531" s="40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8" t="b" cm="1">
        <f t="array" ref="AE531">IFERROR(_xlfn.BYROW(TRACK_TYPES[[#This Row],[TRACK_TYPE_STANDARD_GAUGE_RAILTYPE_OHLE]:[TRACK_TYPE_STANDARD_GAUGE_RAILTYPE_NONE]],_xlfn.LAMBDA(_xlpm.r,OR(_xlpm.r))),FALSE)</f>
        <v>1</v>
      </c>
      <c r="AF531" s="38" t="b" cm="1">
        <f t="array" ref="AF531">IFERROR(_xlfn.BYROW(TRACK_TYPES[[#This Row],[TRACK_TYPE_NARROW_GAUGE_RAILTYPE_OHLE]:[TRACK_TYPE_NARROW_GAUGE_RAILTYPE_NONE]],_xlfn.LAMBDA(_xlpm.r,OR(_xlpm.r))),FALSE)</f>
        <v>0</v>
      </c>
      <c r="AG531" s="38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3165</v>
      </c>
      <c r="B532" s="40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8" t="b" cm="1">
        <f t="array" ref="AE532">IFERROR(_xlfn.BYROW(TRACK_TYPES[[#This Row],[TRACK_TYPE_STANDARD_GAUGE_RAILTYPE_OHLE]:[TRACK_TYPE_STANDARD_GAUGE_RAILTYPE_NONE]],_xlfn.LAMBDA(_xlpm.r,OR(_xlpm.r))),FALSE)</f>
        <v>1</v>
      </c>
      <c r="AF532" s="38" t="b" cm="1">
        <f t="array" ref="AF532">IFERROR(_xlfn.BYROW(TRACK_TYPES[[#This Row],[TRACK_TYPE_NARROW_GAUGE_RAILTYPE_OHLE]:[TRACK_TYPE_NARROW_GAUGE_RAILTYPE_NONE]],_xlfn.LAMBDA(_xlpm.r,OR(_xlpm.r))),FALSE)</f>
        <v>0</v>
      </c>
      <c r="AG532" s="38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3166</v>
      </c>
      <c r="B533" s="40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8" t="b" cm="1">
        <f t="array" ref="AE533">IFERROR(_xlfn.BYROW(TRACK_TYPES[[#This Row],[TRACK_TYPE_STANDARD_GAUGE_RAILTYPE_OHLE]:[TRACK_TYPE_STANDARD_GAUGE_RAILTYPE_NONE]],_xlfn.LAMBDA(_xlpm.r,OR(_xlpm.r))),FALSE)</f>
        <v>1</v>
      </c>
      <c r="AF533" s="38" t="b" cm="1">
        <f t="array" ref="AF533">IFERROR(_xlfn.BYROW(TRACK_TYPES[[#This Row],[TRACK_TYPE_NARROW_GAUGE_RAILTYPE_OHLE]:[TRACK_TYPE_NARROW_GAUGE_RAILTYPE_NONE]],_xlfn.LAMBDA(_xlpm.r,OR(_xlpm.r))),FALSE)</f>
        <v>0</v>
      </c>
      <c r="AG533" s="38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3167</v>
      </c>
      <c r="B534" s="40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8" t="b" cm="1">
        <f t="array" ref="AE534">IFERROR(_xlfn.BYROW(TRACK_TYPES[[#This Row],[TRACK_TYPE_STANDARD_GAUGE_RAILTYPE_OHLE]:[TRACK_TYPE_STANDARD_GAUGE_RAILTYPE_NONE]],_xlfn.LAMBDA(_xlpm.r,OR(_xlpm.r))),FALSE)</f>
        <v>1</v>
      </c>
      <c r="AF534" s="38" t="b" cm="1">
        <f t="array" ref="AF534">IFERROR(_xlfn.BYROW(TRACK_TYPES[[#This Row],[TRACK_TYPE_NARROW_GAUGE_RAILTYPE_OHLE]:[TRACK_TYPE_NARROW_GAUGE_RAILTYPE_NONE]],_xlfn.LAMBDA(_xlpm.r,OR(_xlpm.r))),FALSE)</f>
        <v>0</v>
      </c>
      <c r="AG534" s="38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3168</v>
      </c>
      <c r="B535" s="40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8" t="b" cm="1">
        <f t="array" ref="AE535">IFERROR(_xlfn.BYROW(TRACK_TYPES[[#This Row],[TRACK_TYPE_STANDARD_GAUGE_RAILTYPE_OHLE]:[TRACK_TYPE_STANDARD_GAUGE_RAILTYPE_NONE]],_xlfn.LAMBDA(_xlpm.r,OR(_xlpm.r))),FALSE)</f>
        <v>1</v>
      </c>
      <c r="AF535" s="38" t="b" cm="1">
        <f t="array" ref="AF535">IFERROR(_xlfn.BYROW(TRACK_TYPES[[#This Row],[TRACK_TYPE_NARROW_GAUGE_RAILTYPE_OHLE]:[TRACK_TYPE_NARROW_GAUGE_RAILTYPE_NONE]],_xlfn.LAMBDA(_xlpm.r,OR(_xlpm.r))),FALSE)</f>
        <v>0</v>
      </c>
      <c r="AG535" s="38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3169</v>
      </c>
      <c r="B536" s="40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8" t="b" cm="1">
        <f t="array" ref="AE536">IFERROR(_xlfn.BYROW(TRACK_TYPES[[#This Row],[TRACK_TYPE_STANDARD_GAUGE_RAILTYPE_OHLE]:[TRACK_TYPE_STANDARD_GAUGE_RAILTYPE_NONE]],_xlfn.LAMBDA(_xlpm.r,OR(_xlpm.r))),FALSE)</f>
        <v>1</v>
      </c>
      <c r="AF536" s="38" t="b" cm="1">
        <f t="array" ref="AF536">IFERROR(_xlfn.BYROW(TRACK_TYPES[[#This Row],[TRACK_TYPE_NARROW_GAUGE_RAILTYPE_OHLE]:[TRACK_TYPE_NARROW_GAUGE_RAILTYPE_NONE]],_xlfn.LAMBDA(_xlpm.r,OR(_xlpm.r))),FALSE)</f>
        <v>0</v>
      </c>
      <c r="AG536" s="38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3170</v>
      </c>
      <c r="B537" s="40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8" t="b" cm="1">
        <f t="array" ref="AE537">IFERROR(_xlfn.BYROW(TRACK_TYPES[[#This Row],[TRACK_TYPE_STANDARD_GAUGE_RAILTYPE_OHLE]:[TRACK_TYPE_STANDARD_GAUGE_RAILTYPE_NONE]],_xlfn.LAMBDA(_xlpm.r,OR(_xlpm.r))),FALSE)</f>
        <v>1</v>
      </c>
      <c r="AF537" s="38" t="b" cm="1">
        <f t="array" ref="AF537">IFERROR(_xlfn.BYROW(TRACK_TYPES[[#This Row],[TRACK_TYPE_NARROW_GAUGE_RAILTYPE_OHLE]:[TRACK_TYPE_NARROW_GAUGE_RAILTYPE_NONE]],_xlfn.LAMBDA(_xlpm.r,OR(_xlpm.r))),FALSE)</f>
        <v>0</v>
      </c>
      <c r="AG537" s="38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3171</v>
      </c>
      <c r="B538" s="40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8" t="b" cm="1">
        <f t="array" ref="AE538">IFERROR(_xlfn.BYROW(TRACK_TYPES[[#This Row],[TRACK_TYPE_STANDARD_GAUGE_RAILTYPE_OHLE]:[TRACK_TYPE_STANDARD_GAUGE_RAILTYPE_NONE]],_xlfn.LAMBDA(_xlpm.r,OR(_xlpm.r))),FALSE)</f>
        <v>0</v>
      </c>
      <c r="AF538" s="38" t="b" cm="1">
        <f t="array" ref="AF538">IFERROR(_xlfn.BYROW(TRACK_TYPES[[#This Row],[TRACK_TYPE_NARROW_GAUGE_RAILTYPE_OHLE]:[TRACK_TYPE_NARROW_GAUGE_RAILTYPE_NONE]],_xlfn.LAMBDA(_xlpm.r,OR(_xlpm.r))),FALSE)</f>
        <v>0</v>
      </c>
      <c r="AG538" s="38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3172</v>
      </c>
      <c r="B539" s="40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8" t="b" cm="1">
        <f t="array" ref="AE539">IFERROR(_xlfn.BYROW(TRACK_TYPES[[#This Row],[TRACK_TYPE_STANDARD_GAUGE_RAILTYPE_OHLE]:[TRACK_TYPE_STANDARD_GAUGE_RAILTYPE_NONE]],_xlfn.LAMBDA(_xlpm.r,OR(_xlpm.r))),FALSE)</f>
        <v>0</v>
      </c>
      <c r="AF539" s="38" t="b" cm="1">
        <f t="array" ref="AF539">IFERROR(_xlfn.BYROW(TRACK_TYPES[[#This Row],[TRACK_TYPE_NARROW_GAUGE_RAILTYPE_OHLE]:[TRACK_TYPE_NARROW_GAUGE_RAILTYPE_NONE]],_xlfn.LAMBDA(_xlpm.r,OR(_xlpm.r))),FALSE)</f>
        <v>0</v>
      </c>
      <c r="AG539" s="38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3173</v>
      </c>
      <c r="B540" s="40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8" t="b" cm="1">
        <f t="array" ref="AE540">IFERROR(_xlfn.BYROW(TRACK_TYPES[[#This Row],[TRACK_TYPE_STANDARD_GAUGE_RAILTYPE_OHLE]:[TRACK_TYPE_STANDARD_GAUGE_RAILTYPE_NONE]],_xlfn.LAMBDA(_xlpm.r,OR(_xlpm.r))),FALSE)</f>
        <v>1</v>
      </c>
      <c r="AF540" s="38" t="b" cm="1">
        <f t="array" ref="AF540">IFERROR(_xlfn.BYROW(TRACK_TYPES[[#This Row],[TRACK_TYPE_NARROW_GAUGE_RAILTYPE_OHLE]:[TRACK_TYPE_NARROW_GAUGE_RAILTYPE_NONE]],_xlfn.LAMBDA(_xlpm.r,OR(_xlpm.r))),FALSE)</f>
        <v>0</v>
      </c>
      <c r="AG540" s="38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3174</v>
      </c>
      <c r="B541" s="40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8" t="b" cm="1">
        <f t="array" ref="AE541">IFERROR(_xlfn.BYROW(TRACK_TYPES[[#This Row],[TRACK_TYPE_STANDARD_GAUGE_RAILTYPE_OHLE]:[TRACK_TYPE_STANDARD_GAUGE_RAILTYPE_NONE]],_xlfn.LAMBDA(_xlpm.r,OR(_xlpm.r))),FALSE)</f>
        <v>1</v>
      </c>
      <c r="AF541" s="38" t="b" cm="1">
        <f t="array" ref="AF541">IFERROR(_xlfn.BYROW(TRACK_TYPES[[#This Row],[TRACK_TYPE_NARROW_GAUGE_RAILTYPE_OHLE]:[TRACK_TYPE_NARROW_GAUGE_RAILTYPE_NONE]],_xlfn.LAMBDA(_xlpm.r,OR(_xlpm.r))),FALSE)</f>
        <v>0</v>
      </c>
      <c r="AG541" s="38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3175</v>
      </c>
      <c r="B542" s="40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8" t="b" cm="1">
        <f t="array" ref="AE542">IFERROR(_xlfn.BYROW(TRACK_TYPES[[#This Row],[TRACK_TYPE_STANDARD_GAUGE_RAILTYPE_OHLE]:[TRACK_TYPE_STANDARD_GAUGE_RAILTYPE_NONE]],_xlfn.LAMBDA(_xlpm.r,OR(_xlpm.r))),FALSE)</f>
        <v>1</v>
      </c>
      <c r="AF542" s="38" t="b" cm="1">
        <f t="array" ref="AF542">IFERROR(_xlfn.BYROW(TRACK_TYPES[[#This Row],[TRACK_TYPE_NARROW_GAUGE_RAILTYPE_OHLE]:[TRACK_TYPE_NARROW_GAUGE_RAILTYPE_NONE]],_xlfn.LAMBDA(_xlpm.r,OR(_xlpm.r))),FALSE)</f>
        <v>0</v>
      </c>
      <c r="AG542" s="38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3176</v>
      </c>
      <c r="B543" s="40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8" t="b" cm="1">
        <f t="array" ref="AE543">IFERROR(_xlfn.BYROW(TRACK_TYPES[[#This Row],[TRACK_TYPE_STANDARD_GAUGE_RAILTYPE_OHLE]:[TRACK_TYPE_STANDARD_GAUGE_RAILTYPE_NONE]],_xlfn.LAMBDA(_xlpm.r,OR(_xlpm.r))),FALSE)</f>
        <v>1</v>
      </c>
      <c r="AF543" s="38" t="b" cm="1">
        <f t="array" ref="AF543">IFERROR(_xlfn.BYROW(TRACK_TYPES[[#This Row],[TRACK_TYPE_NARROW_GAUGE_RAILTYPE_OHLE]:[TRACK_TYPE_NARROW_GAUGE_RAILTYPE_NONE]],_xlfn.LAMBDA(_xlpm.r,OR(_xlpm.r))),FALSE)</f>
        <v>0</v>
      </c>
      <c r="AG543" s="38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3177</v>
      </c>
      <c r="B544" s="40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8" t="b" cm="1">
        <f t="array" ref="AE544">IFERROR(_xlfn.BYROW(TRACK_TYPES[[#This Row],[TRACK_TYPE_STANDARD_GAUGE_RAILTYPE_OHLE]:[TRACK_TYPE_STANDARD_GAUGE_RAILTYPE_NONE]],_xlfn.LAMBDA(_xlpm.r,OR(_xlpm.r))),FALSE)</f>
        <v>1</v>
      </c>
      <c r="AF544" s="38" t="b" cm="1">
        <f t="array" ref="AF544">IFERROR(_xlfn.BYROW(TRACK_TYPES[[#This Row],[TRACK_TYPE_NARROW_GAUGE_RAILTYPE_OHLE]:[TRACK_TYPE_NARROW_GAUGE_RAILTYPE_NONE]],_xlfn.LAMBDA(_xlpm.r,OR(_xlpm.r))),FALSE)</f>
        <v>0</v>
      </c>
      <c r="AG544" s="38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3178</v>
      </c>
      <c r="B545" s="40" t="str">
        <f>_xlfn.XLOOKUP(PROPERTIES[[#This Row],[VEHIDCODE]],CONTROL[VEHIDCODE],CONTROL[ENGLISH])</f>
        <v>Alstom Coradia Duplex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8" t="b" cm="1">
        <f t="array" ref="AE545">IFERROR(_xlfn.BYROW(TRACK_TYPES[[#This Row],[TRACK_TYPE_STANDARD_GAUGE_RAILTYPE_OHLE]:[TRACK_TYPE_STANDARD_GAUGE_RAILTYPE_NONE]],_xlfn.LAMBDA(_xlpm.r,OR(_xlpm.r))),FALSE)</f>
        <v>1</v>
      </c>
      <c r="AF545" s="38" t="b" cm="1">
        <f t="array" ref="AF545">IFERROR(_xlfn.BYROW(TRACK_TYPES[[#This Row],[TRACK_TYPE_NARROW_GAUGE_RAILTYPE_OHLE]:[TRACK_TYPE_NARROW_GAUGE_RAILTYPE_NONE]],_xlfn.LAMBDA(_xlpm.r,OR(_xlpm.r))),FALSE)</f>
        <v>0</v>
      </c>
      <c r="AG545" s="38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3179</v>
      </c>
      <c r="B546" s="40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8" t="b" cm="1">
        <f t="array" ref="AE546">IFERROR(_xlfn.BYROW(TRACK_TYPES[[#This Row],[TRACK_TYPE_STANDARD_GAUGE_RAILTYPE_OHLE]:[TRACK_TYPE_STANDARD_GAUGE_RAILTYPE_NONE]],_xlfn.LAMBDA(_xlpm.r,OR(_xlpm.r))),FALSE)</f>
        <v>1</v>
      </c>
      <c r="AF546" s="38" t="b" cm="1">
        <f t="array" ref="AF546">IFERROR(_xlfn.BYROW(TRACK_TYPES[[#This Row],[TRACK_TYPE_NARROW_GAUGE_RAILTYPE_OHLE]:[TRACK_TYPE_NARROW_GAUGE_RAILTYPE_NONE]],_xlfn.LAMBDA(_xlpm.r,OR(_xlpm.r))),FALSE)</f>
        <v>0</v>
      </c>
      <c r="AG546" s="38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3444</v>
      </c>
      <c r="B547" s="40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8" t="b" cm="1">
        <f t="array" ref="AE547">IFERROR(_xlfn.BYROW(TRACK_TYPES[[#This Row],[TRACK_TYPE_STANDARD_GAUGE_RAILTYPE_OHLE]:[TRACK_TYPE_STANDARD_GAUGE_RAILTYPE_NONE]],_xlfn.LAMBDA(_xlpm.r,OR(_xlpm.r))),FALSE)</f>
        <v>1</v>
      </c>
      <c r="AF547" s="38" t="b" cm="1">
        <f t="array" ref="AF547">IFERROR(_xlfn.BYROW(TRACK_TYPES[[#This Row],[TRACK_TYPE_NARROW_GAUGE_RAILTYPE_OHLE]:[TRACK_TYPE_NARROW_GAUGE_RAILTYPE_NONE]],_xlfn.LAMBDA(_xlpm.r,OR(_xlpm.r))),FALSE)</f>
        <v>0</v>
      </c>
      <c r="AG547" s="38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3180</v>
      </c>
      <c r="B548" s="40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8" t="b" cm="1">
        <f t="array" ref="AE548">IFERROR(_xlfn.BYROW(TRACK_TYPES[[#This Row],[TRACK_TYPE_STANDARD_GAUGE_RAILTYPE_OHLE]:[TRACK_TYPE_STANDARD_GAUGE_RAILTYPE_NONE]],_xlfn.LAMBDA(_xlpm.r,OR(_xlpm.r))),FALSE)</f>
        <v>1</v>
      </c>
      <c r="AF548" s="38" t="b" cm="1">
        <f t="array" ref="AF548">IFERROR(_xlfn.BYROW(TRACK_TYPES[[#This Row],[TRACK_TYPE_NARROW_GAUGE_RAILTYPE_OHLE]:[TRACK_TYPE_NARROW_GAUGE_RAILTYPE_NONE]],_xlfn.LAMBDA(_xlpm.r,OR(_xlpm.r))),FALSE)</f>
        <v>0</v>
      </c>
      <c r="AG548" s="38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3181</v>
      </c>
      <c r="B549" s="40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8" t="b" cm="1">
        <f t="array" ref="AE549">IFERROR(_xlfn.BYROW(TRACK_TYPES[[#This Row],[TRACK_TYPE_STANDARD_GAUGE_RAILTYPE_OHLE]:[TRACK_TYPE_STANDARD_GAUGE_RAILTYPE_NONE]],_xlfn.LAMBDA(_xlpm.r,OR(_xlpm.r))),FALSE)</f>
        <v>1</v>
      </c>
      <c r="AF549" s="38" t="b" cm="1">
        <f t="array" ref="AF549">IFERROR(_xlfn.BYROW(TRACK_TYPES[[#This Row],[TRACK_TYPE_NARROW_GAUGE_RAILTYPE_OHLE]:[TRACK_TYPE_NARROW_GAUGE_RAILTYPE_NONE]],_xlfn.LAMBDA(_xlpm.r,OR(_xlpm.r))),FALSE)</f>
        <v>0</v>
      </c>
      <c r="AG549" s="38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3182</v>
      </c>
      <c r="B550" s="40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8" t="b" cm="1">
        <f t="array" ref="AE550">IFERROR(_xlfn.BYROW(TRACK_TYPES[[#This Row],[TRACK_TYPE_STANDARD_GAUGE_RAILTYPE_OHLE]:[TRACK_TYPE_STANDARD_GAUGE_RAILTYPE_NONE]],_xlfn.LAMBDA(_xlpm.r,OR(_xlpm.r))),FALSE)</f>
        <v>1</v>
      </c>
      <c r="AF550" s="38" t="b" cm="1">
        <f t="array" ref="AF550">IFERROR(_xlfn.BYROW(TRACK_TYPES[[#This Row],[TRACK_TYPE_NARROW_GAUGE_RAILTYPE_OHLE]:[TRACK_TYPE_NARROW_GAUGE_RAILTYPE_NONE]],_xlfn.LAMBDA(_xlpm.r,OR(_xlpm.r))),FALSE)</f>
        <v>0</v>
      </c>
      <c r="AG550" s="38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3183</v>
      </c>
      <c r="B551" s="40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8" t="b" cm="1">
        <f t="array" ref="AE551">IFERROR(_xlfn.BYROW(TRACK_TYPES[[#This Row],[TRACK_TYPE_STANDARD_GAUGE_RAILTYPE_OHLE]:[TRACK_TYPE_STANDARD_GAUGE_RAILTYPE_NONE]],_xlfn.LAMBDA(_xlpm.r,OR(_xlpm.r))),FALSE)</f>
        <v>1</v>
      </c>
      <c r="AF551" s="38" t="b" cm="1">
        <f t="array" ref="AF551">IFERROR(_xlfn.BYROW(TRACK_TYPES[[#This Row],[TRACK_TYPE_NARROW_GAUGE_RAILTYPE_OHLE]:[TRACK_TYPE_NARROW_GAUGE_RAILTYPE_NONE]],_xlfn.LAMBDA(_xlpm.r,OR(_xlpm.r))),FALSE)</f>
        <v>0</v>
      </c>
      <c r="AG551" s="38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3184</v>
      </c>
      <c r="B552" s="40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8" t="b" cm="1">
        <f t="array" ref="AE552">IFERROR(_xlfn.BYROW(TRACK_TYPES[[#This Row],[TRACK_TYPE_STANDARD_GAUGE_RAILTYPE_OHLE]:[TRACK_TYPE_STANDARD_GAUGE_RAILTYPE_NONE]],_xlfn.LAMBDA(_xlpm.r,OR(_xlpm.r))),FALSE)</f>
        <v>1</v>
      </c>
      <c r="AF552" s="38" t="b" cm="1">
        <f t="array" ref="AF552">IFERROR(_xlfn.BYROW(TRACK_TYPES[[#This Row],[TRACK_TYPE_NARROW_GAUGE_RAILTYPE_OHLE]:[TRACK_TYPE_NARROW_GAUGE_RAILTYPE_NONE]],_xlfn.LAMBDA(_xlpm.r,OR(_xlpm.r))),FALSE)</f>
        <v>0</v>
      </c>
      <c r="AG552" s="38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3185</v>
      </c>
      <c r="B553" s="40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8" t="b" cm="1">
        <f t="array" ref="AE553">IFERROR(_xlfn.BYROW(TRACK_TYPES[[#This Row],[TRACK_TYPE_STANDARD_GAUGE_RAILTYPE_OHLE]:[TRACK_TYPE_STANDARD_GAUGE_RAILTYPE_NONE]],_xlfn.LAMBDA(_xlpm.r,OR(_xlpm.r))),FALSE)</f>
        <v>1</v>
      </c>
      <c r="AF553" s="38" t="b" cm="1">
        <f t="array" ref="AF553">IFERROR(_xlfn.BYROW(TRACK_TYPES[[#This Row],[TRACK_TYPE_NARROW_GAUGE_RAILTYPE_OHLE]:[TRACK_TYPE_NARROW_GAUGE_RAILTYPE_NONE]],_xlfn.LAMBDA(_xlpm.r,OR(_xlpm.r))),FALSE)</f>
        <v>0</v>
      </c>
      <c r="AG553" s="38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3186</v>
      </c>
      <c r="B554" s="40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8" t="b" cm="1">
        <f t="array" ref="AE554">IFERROR(_xlfn.BYROW(TRACK_TYPES[[#This Row],[TRACK_TYPE_STANDARD_GAUGE_RAILTYPE_OHLE]:[TRACK_TYPE_STANDARD_GAUGE_RAILTYPE_NONE]],_xlfn.LAMBDA(_xlpm.r,OR(_xlpm.r))),FALSE)</f>
        <v>1</v>
      </c>
      <c r="AF554" s="38" t="b" cm="1">
        <f t="array" ref="AF554">IFERROR(_xlfn.BYROW(TRACK_TYPES[[#This Row],[TRACK_TYPE_NARROW_GAUGE_RAILTYPE_OHLE]:[TRACK_TYPE_NARROW_GAUGE_RAILTYPE_NONE]],_xlfn.LAMBDA(_xlpm.r,OR(_xlpm.r))),FALSE)</f>
        <v>0</v>
      </c>
      <c r="AG554" s="38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3187</v>
      </c>
      <c r="B555" s="40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8" t="b" cm="1">
        <f t="array" ref="AE555">IFERROR(_xlfn.BYROW(TRACK_TYPES[[#This Row],[TRACK_TYPE_STANDARD_GAUGE_RAILTYPE_OHLE]:[TRACK_TYPE_STANDARD_GAUGE_RAILTYPE_NONE]],_xlfn.LAMBDA(_xlpm.r,OR(_xlpm.r))),FALSE)</f>
        <v>1</v>
      </c>
      <c r="AF555" s="38" t="b" cm="1">
        <f t="array" ref="AF555">IFERROR(_xlfn.BYROW(TRACK_TYPES[[#This Row],[TRACK_TYPE_NARROW_GAUGE_RAILTYPE_OHLE]:[TRACK_TYPE_NARROW_GAUGE_RAILTYPE_NONE]],_xlfn.LAMBDA(_xlpm.r,OR(_xlpm.r))),FALSE)</f>
        <v>0</v>
      </c>
      <c r="AG555" s="38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3188</v>
      </c>
      <c r="B556" s="40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8" t="b" cm="1">
        <f t="array" ref="AE556">IFERROR(_xlfn.BYROW(TRACK_TYPES[[#This Row],[TRACK_TYPE_STANDARD_GAUGE_RAILTYPE_OHLE]:[TRACK_TYPE_STANDARD_GAUGE_RAILTYPE_NONE]],_xlfn.LAMBDA(_xlpm.r,OR(_xlpm.r))),FALSE)</f>
        <v>1</v>
      </c>
      <c r="AF556" s="38" t="b" cm="1">
        <f t="array" ref="AF556">IFERROR(_xlfn.BYROW(TRACK_TYPES[[#This Row],[TRACK_TYPE_NARROW_GAUGE_RAILTYPE_OHLE]:[TRACK_TYPE_NARROW_GAUGE_RAILTYPE_NONE]],_xlfn.LAMBDA(_xlpm.r,OR(_xlpm.r))),FALSE)</f>
        <v>0</v>
      </c>
      <c r="AG556" s="38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3189</v>
      </c>
      <c r="B557" s="40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8" t="b" cm="1">
        <f t="array" ref="AE557">IFERROR(_xlfn.BYROW(TRACK_TYPES[[#This Row],[TRACK_TYPE_STANDARD_GAUGE_RAILTYPE_OHLE]:[TRACK_TYPE_STANDARD_GAUGE_RAILTYPE_NONE]],_xlfn.LAMBDA(_xlpm.r,OR(_xlpm.r))),FALSE)</f>
        <v>1</v>
      </c>
      <c r="AF557" s="38" t="b" cm="1">
        <f t="array" ref="AF557">IFERROR(_xlfn.BYROW(TRACK_TYPES[[#This Row],[TRACK_TYPE_NARROW_GAUGE_RAILTYPE_OHLE]:[TRACK_TYPE_NARROW_GAUGE_RAILTYPE_NONE]],_xlfn.LAMBDA(_xlpm.r,OR(_xlpm.r))),FALSE)</f>
        <v>0</v>
      </c>
      <c r="AG557" s="38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3190</v>
      </c>
      <c r="B558" s="40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8" t="b" cm="1">
        <f t="array" ref="AE558">IFERROR(_xlfn.BYROW(TRACK_TYPES[[#This Row],[TRACK_TYPE_STANDARD_GAUGE_RAILTYPE_OHLE]:[TRACK_TYPE_STANDARD_GAUGE_RAILTYPE_NONE]],_xlfn.LAMBDA(_xlpm.r,OR(_xlpm.r))),FALSE)</f>
        <v>1</v>
      </c>
      <c r="AF558" s="38" t="b" cm="1">
        <f t="array" ref="AF558">IFERROR(_xlfn.BYROW(TRACK_TYPES[[#This Row],[TRACK_TYPE_NARROW_GAUGE_RAILTYPE_OHLE]:[TRACK_TYPE_NARROW_GAUGE_RAILTYPE_NONE]],_xlfn.LAMBDA(_xlpm.r,OR(_xlpm.r))),FALSE)</f>
        <v>0</v>
      </c>
      <c r="AG558" s="38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3191</v>
      </c>
      <c r="B559" s="40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8" t="b" cm="1">
        <f t="array" ref="AE559">IFERROR(_xlfn.BYROW(TRACK_TYPES[[#This Row],[TRACK_TYPE_STANDARD_GAUGE_RAILTYPE_OHLE]:[TRACK_TYPE_STANDARD_GAUGE_RAILTYPE_NONE]],_xlfn.LAMBDA(_xlpm.r,OR(_xlpm.r))),FALSE)</f>
        <v>1</v>
      </c>
      <c r="AF559" s="38" t="b" cm="1">
        <f t="array" ref="AF559">IFERROR(_xlfn.BYROW(TRACK_TYPES[[#This Row],[TRACK_TYPE_NARROW_GAUGE_RAILTYPE_OHLE]:[TRACK_TYPE_NARROW_GAUGE_RAILTYPE_NONE]],_xlfn.LAMBDA(_xlpm.r,OR(_xlpm.r))),FALSE)</f>
        <v>0</v>
      </c>
      <c r="AG559" s="38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3192</v>
      </c>
      <c r="B560" s="40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8" t="b" cm="1">
        <f t="array" ref="AE560">IFERROR(_xlfn.BYROW(TRACK_TYPES[[#This Row],[TRACK_TYPE_STANDARD_GAUGE_RAILTYPE_OHLE]:[TRACK_TYPE_STANDARD_GAUGE_RAILTYPE_NONE]],_xlfn.LAMBDA(_xlpm.r,OR(_xlpm.r))),FALSE)</f>
        <v>1</v>
      </c>
      <c r="AF560" s="38" t="b" cm="1">
        <f t="array" ref="AF560">IFERROR(_xlfn.BYROW(TRACK_TYPES[[#This Row],[TRACK_TYPE_NARROW_GAUGE_RAILTYPE_OHLE]:[TRACK_TYPE_NARROW_GAUGE_RAILTYPE_NONE]],_xlfn.LAMBDA(_xlpm.r,OR(_xlpm.r))),FALSE)</f>
        <v>0</v>
      </c>
      <c r="AG560" s="38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3193</v>
      </c>
      <c r="B561" s="40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8" t="b" cm="1">
        <f t="array" ref="AE561">IFERROR(_xlfn.BYROW(TRACK_TYPES[[#This Row],[TRACK_TYPE_STANDARD_GAUGE_RAILTYPE_OHLE]:[TRACK_TYPE_STANDARD_GAUGE_RAILTYPE_NONE]],_xlfn.LAMBDA(_xlpm.r,OR(_xlpm.r))),FALSE)</f>
        <v>1</v>
      </c>
      <c r="AF561" s="38" t="b" cm="1">
        <f t="array" ref="AF561">IFERROR(_xlfn.BYROW(TRACK_TYPES[[#This Row],[TRACK_TYPE_NARROW_GAUGE_RAILTYPE_OHLE]:[TRACK_TYPE_NARROW_GAUGE_RAILTYPE_NONE]],_xlfn.LAMBDA(_xlpm.r,OR(_xlpm.r))),FALSE)</f>
        <v>0</v>
      </c>
      <c r="AG561" s="38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3194</v>
      </c>
      <c r="B562" s="40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8" t="b" cm="1">
        <f t="array" ref="AE562">IFERROR(_xlfn.BYROW(TRACK_TYPES[[#This Row],[TRACK_TYPE_STANDARD_GAUGE_RAILTYPE_OHLE]:[TRACK_TYPE_STANDARD_GAUGE_RAILTYPE_NONE]],_xlfn.LAMBDA(_xlpm.r,OR(_xlpm.r))),FALSE)</f>
        <v>1</v>
      </c>
      <c r="AF562" s="38" t="b" cm="1">
        <f t="array" ref="AF562">IFERROR(_xlfn.BYROW(TRACK_TYPES[[#This Row],[TRACK_TYPE_NARROW_GAUGE_RAILTYPE_OHLE]:[TRACK_TYPE_NARROW_GAUGE_RAILTYPE_NONE]],_xlfn.LAMBDA(_xlpm.r,OR(_xlpm.r))),FALSE)</f>
        <v>0</v>
      </c>
      <c r="AG562" s="38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3195</v>
      </c>
      <c r="B563" s="40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8" t="b" cm="1">
        <f t="array" ref="AE563">IFERROR(_xlfn.BYROW(TRACK_TYPES[[#This Row],[TRACK_TYPE_STANDARD_GAUGE_RAILTYPE_OHLE]:[TRACK_TYPE_STANDARD_GAUGE_RAILTYPE_NONE]],_xlfn.LAMBDA(_xlpm.r,OR(_xlpm.r))),FALSE)</f>
        <v>1</v>
      </c>
      <c r="AF563" s="38" t="b" cm="1">
        <f t="array" ref="AF563">IFERROR(_xlfn.BYROW(TRACK_TYPES[[#This Row],[TRACK_TYPE_NARROW_GAUGE_RAILTYPE_OHLE]:[TRACK_TYPE_NARROW_GAUGE_RAILTYPE_NONE]],_xlfn.LAMBDA(_xlpm.r,OR(_xlpm.r))),FALSE)</f>
        <v>0</v>
      </c>
      <c r="AG563" s="38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3196</v>
      </c>
      <c r="B564" s="40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8" t="b" cm="1">
        <f t="array" ref="AE564">IFERROR(_xlfn.BYROW(TRACK_TYPES[[#This Row],[TRACK_TYPE_STANDARD_GAUGE_RAILTYPE_OHLE]:[TRACK_TYPE_STANDARD_GAUGE_RAILTYPE_NONE]],_xlfn.LAMBDA(_xlpm.r,OR(_xlpm.r))),FALSE)</f>
        <v>1</v>
      </c>
      <c r="AF564" s="38" t="b" cm="1">
        <f t="array" ref="AF564">IFERROR(_xlfn.BYROW(TRACK_TYPES[[#This Row],[TRACK_TYPE_NARROW_GAUGE_RAILTYPE_OHLE]:[TRACK_TYPE_NARROW_GAUGE_RAILTYPE_NONE]],_xlfn.LAMBDA(_xlpm.r,OR(_xlpm.r))),FALSE)</f>
        <v>0</v>
      </c>
      <c r="AG564" s="38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3197</v>
      </c>
      <c r="B565" s="40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8" t="b" cm="1">
        <f t="array" ref="AE565">IFERROR(_xlfn.BYROW(TRACK_TYPES[[#This Row],[TRACK_TYPE_STANDARD_GAUGE_RAILTYPE_OHLE]:[TRACK_TYPE_STANDARD_GAUGE_RAILTYPE_NONE]],_xlfn.LAMBDA(_xlpm.r,OR(_xlpm.r))),FALSE)</f>
        <v>1</v>
      </c>
      <c r="AF565" s="38" t="b" cm="1">
        <f t="array" ref="AF565">IFERROR(_xlfn.BYROW(TRACK_TYPES[[#This Row],[TRACK_TYPE_NARROW_GAUGE_RAILTYPE_OHLE]:[TRACK_TYPE_NARROW_GAUGE_RAILTYPE_NONE]],_xlfn.LAMBDA(_xlpm.r,OR(_xlpm.r))),FALSE)</f>
        <v>0</v>
      </c>
      <c r="AG565" s="38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3198</v>
      </c>
      <c r="B566" s="40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8" t="b" cm="1">
        <f t="array" ref="AE566">IFERROR(_xlfn.BYROW(TRACK_TYPES[[#This Row],[TRACK_TYPE_STANDARD_GAUGE_RAILTYPE_OHLE]:[TRACK_TYPE_STANDARD_GAUGE_RAILTYPE_NONE]],_xlfn.LAMBDA(_xlpm.r,OR(_xlpm.r))),FALSE)</f>
        <v>1</v>
      </c>
      <c r="AF566" s="38" t="b" cm="1">
        <f t="array" ref="AF566">IFERROR(_xlfn.BYROW(TRACK_TYPES[[#This Row],[TRACK_TYPE_NARROW_GAUGE_RAILTYPE_OHLE]:[TRACK_TYPE_NARROW_GAUGE_RAILTYPE_NONE]],_xlfn.LAMBDA(_xlpm.r,OR(_xlpm.r))),FALSE)</f>
        <v>0</v>
      </c>
      <c r="AG566" s="38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3199</v>
      </c>
      <c r="B567" s="40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8" t="b" cm="1">
        <f t="array" ref="AE567">IFERROR(_xlfn.BYROW(TRACK_TYPES[[#This Row],[TRACK_TYPE_STANDARD_GAUGE_RAILTYPE_OHLE]:[TRACK_TYPE_STANDARD_GAUGE_RAILTYPE_NONE]],_xlfn.LAMBDA(_xlpm.r,OR(_xlpm.r))),FALSE)</f>
        <v>1</v>
      </c>
      <c r="AF567" s="38" t="b" cm="1">
        <f t="array" ref="AF567">IFERROR(_xlfn.BYROW(TRACK_TYPES[[#This Row],[TRACK_TYPE_NARROW_GAUGE_RAILTYPE_OHLE]:[TRACK_TYPE_NARROW_GAUGE_RAILTYPE_NONE]],_xlfn.LAMBDA(_xlpm.r,OR(_xlpm.r))),FALSE)</f>
        <v>0</v>
      </c>
      <c r="AG567" s="38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3200</v>
      </c>
      <c r="B568" s="40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8" t="b" cm="1">
        <f t="array" ref="AE568">IFERROR(_xlfn.BYROW(TRACK_TYPES[[#This Row],[TRACK_TYPE_STANDARD_GAUGE_RAILTYPE_OHLE]:[TRACK_TYPE_STANDARD_GAUGE_RAILTYPE_NONE]],_xlfn.LAMBDA(_xlpm.r,OR(_xlpm.r))),FALSE)</f>
        <v>0</v>
      </c>
      <c r="AF568" s="38" t="b" cm="1">
        <f t="array" ref="AF568">IFERROR(_xlfn.BYROW(TRACK_TYPES[[#This Row],[TRACK_TYPE_NARROW_GAUGE_RAILTYPE_OHLE]:[TRACK_TYPE_NARROW_GAUGE_RAILTYPE_NONE]],_xlfn.LAMBDA(_xlpm.r,OR(_xlpm.r))),FALSE)</f>
        <v>0</v>
      </c>
      <c r="AG568" s="38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3201</v>
      </c>
      <c r="B569" s="40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8" t="b" cm="1">
        <f t="array" ref="AE569">IFERROR(_xlfn.BYROW(TRACK_TYPES[[#This Row],[TRACK_TYPE_STANDARD_GAUGE_RAILTYPE_OHLE]:[TRACK_TYPE_STANDARD_GAUGE_RAILTYPE_NONE]],_xlfn.LAMBDA(_xlpm.r,OR(_xlpm.r))),FALSE)</f>
        <v>0</v>
      </c>
      <c r="AF569" s="38" t="b" cm="1">
        <f t="array" ref="AF569">IFERROR(_xlfn.BYROW(TRACK_TYPES[[#This Row],[TRACK_TYPE_NARROW_GAUGE_RAILTYPE_OHLE]:[TRACK_TYPE_NARROW_GAUGE_RAILTYPE_NONE]],_xlfn.LAMBDA(_xlpm.r,OR(_xlpm.r))),FALSE)</f>
        <v>0</v>
      </c>
      <c r="AG569" s="38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3202</v>
      </c>
      <c r="B570" s="40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8" t="b" cm="1">
        <f t="array" ref="AE570">IFERROR(_xlfn.BYROW(TRACK_TYPES[[#This Row],[TRACK_TYPE_STANDARD_GAUGE_RAILTYPE_OHLE]:[TRACK_TYPE_STANDARD_GAUGE_RAILTYPE_NONE]],_xlfn.LAMBDA(_xlpm.r,OR(_xlpm.r))),FALSE)</f>
        <v>0</v>
      </c>
      <c r="AF570" s="38" t="b" cm="1">
        <f t="array" ref="AF570">IFERROR(_xlfn.BYROW(TRACK_TYPES[[#This Row],[TRACK_TYPE_NARROW_GAUGE_RAILTYPE_OHLE]:[TRACK_TYPE_NARROW_GAUGE_RAILTYPE_NONE]],_xlfn.LAMBDA(_xlpm.r,OR(_xlpm.r))),FALSE)</f>
        <v>0</v>
      </c>
      <c r="AG570" s="38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3203</v>
      </c>
      <c r="B571" s="40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8" t="b" cm="1">
        <f t="array" ref="AE571">IFERROR(_xlfn.BYROW(TRACK_TYPES[[#This Row],[TRACK_TYPE_STANDARD_GAUGE_RAILTYPE_OHLE]:[TRACK_TYPE_STANDARD_GAUGE_RAILTYPE_NONE]],_xlfn.LAMBDA(_xlpm.r,OR(_xlpm.r))),FALSE)</f>
        <v>0</v>
      </c>
      <c r="AF571" s="38" t="b" cm="1">
        <f t="array" ref="AF571">IFERROR(_xlfn.BYROW(TRACK_TYPES[[#This Row],[TRACK_TYPE_NARROW_GAUGE_RAILTYPE_OHLE]:[TRACK_TYPE_NARROW_GAUGE_RAILTYPE_NONE]],_xlfn.LAMBDA(_xlpm.r,OR(_xlpm.r))),FALSE)</f>
        <v>0</v>
      </c>
      <c r="AG571" s="38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227</v>
      </c>
      <c r="B572" s="40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8" t="b" cm="1">
        <f t="array" ref="AE572">IFERROR(_xlfn.BYROW(TRACK_TYPES[[#This Row],[TRACK_TYPE_STANDARD_GAUGE_RAILTYPE_OHLE]:[TRACK_TYPE_STANDARD_GAUGE_RAILTYPE_NONE]],_xlfn.LAMBDA(_xlpm.r,OR(_xlpm.r))),FALSE)</f>
        <v>0</v>
      </c>
      <c r="AF572" s="38" t="b" cm="1">
        <f t="array" ref="AF572">IFERROR(_xlfn.BYROW(TRACK_TYPES[[#This Row],[TRACK_TYPE_NARROW_GAUGE_RAILTYPE_OHLE]:[TRACK_TYPE_NARROW_GAUGE_RAILTYPE_NONE]],_xlfn.LAMBDA(_xlpm.r,OR(_xlpm.r))),FALSE)</f>
        <v>0</v>
      </c>
      <c r="AG572" s="38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211</v>
      </c>
      <c r="B573" s="40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8" t="b" cm="1">
        <f t="array" ref="AE573">IFERROR(_xlfn.BYROW(TRACK_TYPES[[#This Row],[TRACK_TYPE_STANDARD_GAUGE_RAILTYPE_OHLE]:[TRACK_TYPE_STANDARD_GAUGE_RAILTYPE_NONE]],_xlfn.LAMBDA(_xlpm.r,OR(_xlpm.r))),FALSE)</f>
        <v>0</v>
      </c>
      <c r="AF573" s="38" t="b" cm="1">
        <f t="array" ref="AF573">IFERROR(_xlfn.BYROW(TRACK_TYPES[[#This Row],[TRACK_TYPE_NARROW_GAUGE_RAILTYPE_OHLE]:[TRACK_TYPE_NARROW_GAUGE_RAILTYPE_NONE]],_xlfn.LAMBDA(_xlpm.r,OR(_xlpm.r))),FALSE)</f>
        <v>0</v>
      </c>
      <c r="AG573" s="38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212</v>
      </c>
      <c r="B574" s="40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8" t="b" cm="1">
        <f t="array" ref="AE574">IFERROR(_xlfn.BYROW(TRACK_TYPES[[#This Row],[TRACK_TYPE_STANDARD_GAUGE_RAILTYPE_OHLE]:[TRACK_TYPE_STANDARD_GAUGE_RAILTYPE_NONE]],_xlfn.LAMBDA(_xlpm.r,OR(_xlpm.r))),FALSE)</f>
        <v>0</v>
      </c>
      <c r="AF574" s="38" t="b" cm="1">
        <f t="array" ref="AF574">IFERROR(_xlfn.BYROW(TRACK_TYPES[[#This Row],[TRACK_TYPE_NARROW_GAUGE_RAILTYPE_OHLE]:[TRACK_TYPE_NARROW_GAUGE_RAILTYPE_NONE]],_xlfn.LAMBDA(_xlpm.r,OR(_xlpm.r))),FALSE)</f>
        <v>0</v>
      </c>
      <c r="AG574" s="38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213</v>
      </c>
      <c r="B575" s="40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8" t="b" cm="1">
        <f t="array" ref="AE575">IFERROR(_xlfn.BYROW(TRACK_TYPES[[#This Row],[TRACK_TYPE_STANDARD_GAUGE_RAILTYPE_OHLE]:[TRACK_TYPE_STANDARD_GAUGE_RAILTYPE_NONE]],_xlfn.LAMBDA(_xlpm.r,OR(_xlpm.r))),FALSE)</f>
        <v>0</v>
      </c>
      <c r="AF575" s="38" t="b" cm="1">
        <f t="array" ref="AF575">IFERROR(_xlfn.BYROW(TRACK_TYPES[[#This Row],[TRACK_TYPE_NARROW_GAUGE_RAILTYPE_OHLE]:[TRACK_TYPE_NARROW_GAUGE_RAILTYPE_NONE]],_xlfn.LAMBDA(_xlpm.r,OR(_xlpm.r))),FALSE)</f>
        <v>0</v>
      </c>
      <c r="AG575" s="38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214</v>
      </c>
      <c r="B576" s="40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8" t="b" cm="1">
        <f t="array" ref="AE576">IFERROR(_xlfn.BYROW(TRACK_TYPES[[#This Row],[TRACK_TYPE_STANDARD_GAUGE_RAILTYPE_OHLE]:[TRACK_TYPE_STANDARD_GAUGE_RAILTYPE_NONE]],_xlfn.LAMBDA(_xlpm.r,OR(_xlpm.r))),FALSE)</f>
        <v>0</v>
      </c>
      <c r="AF576" s="38" t="b" cm="1">
        <f t="array" ref="AF576">IFERROR(_xlfn.BYROW(TRACK_TYPES[[#This Row],[TRACK_TYPE_NARROW_GAUGE_RAILTYPE_OHLE]:[TRACK_TYPE_NARROW_GAUGE_RAILTYPE_NONE]],_xlfn.LAMBDA(_xlpm.r,OR(_xlpm.r))),FALSE)</f>
        <v>0</v>
      </c>
      <c r="AG576" s="38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215</v>
      </c>
      <c r="B577" s="40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8" t="b" cm="1">
        <f t="array" ref="AE577">IFERROR(_xlfn.BYROW(TRACK_TYPES[[#This Row],[TRACK_TYPE_STANDARD_GAUGE_RAILTYPE_OHLE]:[TRACK_TYPE_STANDARD_GAUGE_RAILTYPE_NONE]],_xlfn.LAMBDA(_xlpm.r,OR(_xlpm.r))),FALSE)</f>
        <v>0</v>
      </c>
      <c r="AF577" s="38" t="b" cm="1">
        <f t="array" ref="AF577">IFERROR(_xlfn.BYROW(TRACK_TYPES[[#This Row],[TRACK_TYPE_NARROW_GAUGE_RAILTYPE_OHLE]:[TRACK_TYPE_NARROW_GAUGE_RAILTYPE_NONE]],_xlfn.LAMBDA(_xlpm.r,OR(_xlpm.r))),FALSE)</f>
        <v>0</v>
      </c>
      <c r="AG577" s="38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216</v>
      </c>
      <c r="B578" s="40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8" t="b" cm="1">
        <f t="array" ref="AE578">IFERROR(_xlfn.BYROW(TRACK_TYPES[[#This Row],[TRACK_TYPE_STANDARD_GAUGE_RAILTYPE_OHLE]:[TRACK_TYPE_STANDARD_GAUGE_RAILTYPE_NONE]],_xlfn.LAMBDA(_xlpm.r,OR(_xlpm.r))),FALSE)</f>
        <v>0</v>
      </c>
      <c r="AF578" s="38" t="b" cm="1">
        <f t="array" ref="AF578">IFERROR(_xlfn.BYROW(TRACK_TYPES[[#This Row],[TRACK_TYPE_NARROW_GAUGE_RAILTYPE_OHLE]:[TRACK_TYPE_NARROW_GAUGE_RAILTYPE_NONE]],_xlfn.LAMBDA(_xlpm.r,OR(_xlpm.r))),FALSE)</f>
        <v>0</v>
      </c>
      <c r="AG578" s="38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217</v>
      </c>
      <c r="B579" s="40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8" t="b" cm="1">
        <f t="array" ref="AE579">IFERROR(_xlfn.BYROW(TRACK_TYPES[[#This Row],[TRACK_TYPE_STANDARD_GAUGE_RAILTYPE_OHLE]:[TRACK_TYPE_STANDARD_GAUGE_RAILTYPE_NONE]],_xlfn.LAMBDA(_xlpm.r,OR(_xlpm.r))),FALSE)</f>
        <v>0</v>
      </c>
      <c r="AF579" s="38" t="b" cm="1">
        <f t="array" ref="AF579">IFERROR(_xlfn.BYROW(TRACK_TYPES[[#This Row],[TRACK_TYPE_NARROW_GAUGE_RAILTYPE_OHLE]:[TRACK_TYPE_NARROW_GAUGE_RAILTYPE_NONE]],_xlfn.LAMBDA(_xlpm.r,OR(_xlpm.r))),FALSE)</f>
        <v>0</v>
      </c>
      <c r="AG579" s="38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218</v>
      </c>
      <c r="B580" s="40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8" t="b" cm="1">
        <f t="array" ref="AE580">IFERROR(_xlfn.BYROW(TRACK_TYPES[[#This Row],[TRACK_TYPE_STANDARD_GAUGE_RAILTYPE_OHLE]:[TRACK_TYPE_STANDARD_GAUGE_RAILTYPE_NONE]],_xlfn.LAMBDA(_xlpm.r,OR(_xlpm.r))),FALSE)</f>
        <v>0</v>
      </c>
      <c r="AF580" s="38" t="b" cm="1">
        <f t="array" ref="AF580">IFERROR(_xlfn.BYROW(TRACK_TYPES[[#This Row],[TRACK_TYPE_NARROW_GAUGE_RAILTYPE_OHLE]:[TRACK_TYPE_NARROW_GAUGE_RAILTYPE_NONE]],_xlfn.LAMBDA(_xlpm.r,OR(_xlpm.r))),FALSE)</f>
        <v>0</v>
      </c>
      <c r="AG580" s="38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219</v>
      </c>
      <c r="B581" s="40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8" t="b" cm="1">
        <f t="array" ref="AE581">IFERROR(_xlfn.BYROW(TRACK_TYPES[[#This Row],[TRACK_TYPE_STANDARD_GAUGE_RAILTYPE_OHLE]:[TRACK_TYPE_STANDARD_GAUGE_RAILTYPE_NONE]],_xlfn.LAMBDA(_xlpm.r,OR(_xlpm.r))),FALSE)</f>
        <v>0</v>
      </c>
      <c r="AF581" s="38" t="b" cm="1">
        <f t="array" ref="AF581">IFERROR(_xlfn.BYROW(TRACK_TYPES[[#This Row],[TRACK_TYPE_NARROW_GAUGE_RAILTYPE_OHLE]:[TRACK_TYPE_NARROW_GAUGE_RAILTYPE_NONE]],_xlfn.LAMBDA(_xlpm.r,OR(_xlpm.r))),FALSE)</f>
        <v>0</v>
      </c>
      <c r="AG581" s="38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220</v>
      </c>
      <c r="B582" s="40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8" t="b" cm="1">
        <f t="array" ref="AE582">IFERROR(_xlfn.BYROW(TRACK_TYPES[[#This Row],[TRACK_TYPE_STANDARD_GAUGE_RAILTYPE_OHLE]:[TRACK_TYPE_STANDARD_GAUGE_RAILTYPE_NONE]],_xlfn.LAMBDA(_xlpm.r,OR(_xlpm.r))),FALSE)</f>
        <v>0</v>
      </c>
      <c r="AF582" s="38" t="b" cm="1">
        <f t="array" ref="AF582">IFERROR(_xlfn.BYROW(TRACK_TYPES[[#This Row],[TRACK_TYPE_NARROW_GAUGE_RAILTYPE_OHLE]:[TRACK_TYPE_NARROW_GAUGE_RAILTYPE_NONE]],_xlfn.LAMBDA(_xlpm.r,OR(_xlpm.r))),FALSE)</f>
        <v>0</v>
      </c>
      <c r="AG582" s="38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221</v>
      </c>
      <c r="B583" s="40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8" t="b" cm="1">
        <f t="array" ref="AE583">IFERROR(_xlfn.BYROW(TRACK_TYPES[[#This Row],[TRACK_TYPE_STANDARD_GAUGE_RAILTYPE_OHLE]:[TRACK_TYPE_STANDARD_GAUGE_RAILTYPE_NONE]],_xlfn.LAMBDA(_xlpm.r,OR(_xlpm.r))),FALSE)</f>
        <v>0</v>
      </c>
      <c r="AF583" s="38" t="b" cm="1">
        <f t="array" ref="AF583">IFERROR(_xlfn.BYROW(TRACK_TYPES[[#This Row],[TRACK_TYPE_NARROW_GAUGE_RAILTYPE_OHLE]:[TRACK_TYPE_NARROW_GAUGE_RAILTYPE_NONE]],_xlfn.LAMBDA(_xlpm.r,OR(_xlpm.r))),FALSE)</f>
        <v>0</v>
      </c>
      <c r="AG583" s="38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222</v>
      </c>
      <c r="B584" s="40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8" t="b" cm="1">
        <f t="array" ref="AE584">IFERROR(_xlfn.BYROW(TRACK_TYPES[[#This Row],[TRACK_TYPE_STANDARD_GAUGE_RAILTYPE_OHLE]:[TRACK_TYPE_STANDARD_GAUGE_RAILTYPE_NONE]],_xlfn.LAMBDA(_xlpm.r,OR(_xlpm.r))),FALSE)</f>
        <v>0</v>
      </c>
      <c r="AF584" s="38" t="b" cm="1">
        <f t="array" ref="AF584">IFERROR(_xlfn.BYROW(TRACK_TYPES[[#This Row],[TRACK_TYPE_NARROW_GAUGE_RAILTYPE_OHLE]:[TRACK_TYPE_NARROW_GAUGE_RAILTYPE_NONE]],_xlfn.LAMBDA(_xlpm.r,OR(_xlpm.r))),FALSE)</f>
        <v>0</v>
      </c>
      <c r="AG584" s="38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223</v>
      </c>
      <c r="B585" s="40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8" t="b" cm="1">
        <f t="array" ref="AE585">IFERROR(_xlfn.BYROW(TRACK_TYPES[[#This Row],[TRACK_TYPE_STANDARD_GAUGE_RAILTYPE_OHLE]:[TRACK_TYPE_STANDARD_GAUGE_RAILTYPE_NONE]],_xlfn.LAMBDA(_xlpm.r,OR(_xlpm.r))),FALSE)</f>
        <v>0</v>
      </c>
      <c r="AF585" s="38" t="b" cm="1">
        <f t="array" ref="AF585">IFERROR(_xlfn.BYROW(TRACK_TYPES[[#This Row],[TRACK_TYPE_NARROW_GAUGE_RAILTYPE_OHLE]:[TRACK_TYPE_NARROW_GAUGE_RAILTYPE_NONE]],_xlfn.LAMBDA(_xlpm.r,OR(_xlpm.r))),FALSE)</f>
        <v>0</v>
      </c>
      <c r="AG585" s="38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224</v>
      </c>
      <c r="B586" s="40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8" t="b" cm="1">
        <f t="array" ref="AE586">IFERROR(_xlfn.BYROW(TRACK_TYPES[[#This Row],[TRACK_TYPE_STANDARD_GAUGE_RAILTYPE_OHLE]:[TRACK_TYPE_STANDARD_GAUGE_RAILTYPE_NONE]],_xlfn.LAMBDA(_xlpm.r,OR(_xlpm.r))),FALSE)</f>
        <v>0</v>
      </c>
      <c r="AF586" s="38" t="b" cm="1">
        <f t="array" ref="AF586">IFERROR(_xlfn.BYROW(TRACK_TYPES[[#This Row],[TRACK_TYPE_NARROW_GAUGE_RAILTYPE_OHLE]:[TRACK_TYPE_NARROW_GAUGE_RAILTYPE_NONE]],_xlfn.LAMBDA(_xlpm.r,OR(_xlpm.r))),FALSE)</f>
        <v>0</v>
      </c>
      <c r="AG586" s="38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3204</v>
      </c>
      <c r="B587" s="40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8" t="b" cm="1">
        <f t="array" ref="AE587">IFERROR(_xlfn.BYROW(TRACK_TYPES[[#This Row],[TRACK_TYPE_STANDARD_GAUGE_RAILTYPE_OHLE]:[TRACK_TYPE_STANDARD_GAUGE_RAILTYPE_NONE]],_xlfn.LAMBDA(_xlpm.r,OR(_xlpm.r))),FALSE)</f>
        <v>0</v>
      </c>
      <c r="AF587" s="38" t="b" cm="1">
        <f t="array" ref="AF587">IFERROR(_xlfn.BYROW(TRACK_TYPES[[#This Row],[TRACK_TYPE_NARROW_GAUGE_RAILTYPE_OHLE]:[TRACK_TYPE_NARROW_GAUGE_RAILTYPE_NONE]],_xlfn.LAMBDA(_xlpm.r,OR(_xlpm.r))),FALSE)</f>
        <v>1</v>
      </c>
      <c r="AG587" s="38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3205</v>
      </c>
      <c r="B588" s="40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8" t="b" cm="1">
        <f t="array" ref="AE588">IFERROR(_xlfn.BYROW(TRACK_TYPES[[#This Row],[TRACK_TYPE_STANDARD_GAUGE_RAILTYPE_OHLE]:[TRACK_TYPE_STANDARD_GAUGE_RAILTYPE_NONE]],_xlfn.LAMBDA(_xlpm.r,OR(_xlpm.r))),FALSE)</f>
        <v>0</v>
      </c>
      <c r="AF588" s="38" t="b" cm="1">
        <f t="array" ref="AF588">IFERROR(_xlfn.BYROW(TRACK_TYPES[[#This Row],[TRACK_TYPE_NARROW_GAUGE_RAILTYPE_OHLE]:[TRACK_TYPE_NARROW_GAUGE_RAILTYPE_NONE]],_xlfn.LAMBDA(_xlpm.r,OR(_xlpm.r))),FALSE)</f>
        <v>1</v>
      </c>
      <c r="AG588" s="38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3206</v>
      </c>
      <c r="B589" s="40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8" t="b" cm="1">
        <f t="array" ref="AE589">IFERROR(_xlfn.BYROW(TRACK_TYPES[[#This Row],[TRACK_TYPE_STANDARD_GAUGE_RAILTYPE_OHLE]:[TRACK_TYPE_STANDARD_GAUGE_RAILTYPE_NONE]],_xlfn.LAMBDA(_xlpm.r,OR(_xlpm.r))),FALSE)</f>
        <v>0</v>
      </c>
      <c r="AF589" s="38" t="b" cm="1">
        <f t="array" ref="AF589">IFERROR(_xlfn.BYROW(TRACK_TYPES[[#This Row],[TRACK_TYPE_NARROW_GAUGE_RAILTYPE_OHLE]:[TRACK_TYPE_NARROW_GAUGE_RAILTYPE_NONE]],_xlfn.LAMBDA(_xlpm.r,OR(_xlpm.r))),FALSE)</f>
        <v>1</v>
      </c>
      <c r="AG589" s="38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3207</v>
      </c>
      <c r="B590" s="40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8" t="b" cm="1">
        <f t="array" ref="AE590">IFERROR(_xlfn.BYROW(TRACK_TYPES[[#This Row],[TRACK_TYPE_STANDARD_GAUGE_RAILTYPE_OHLE]:[TRACK_TYPE_STANDARD_GAUGE_RAILTYPE_NONE]],_xlfn.LAMBDA(_xlpm.r,OR(_xlpm.r))),FALSE)</f>
        <v>0</v>
      </c>
      <c r="AF590" s="38" t="b" cm="1">
        <f t="array" ref="AF590">IFERROR(_xlfn.BYROW(TRACK_TYPES[[#This Row],[TRACK_TYPE_NARROW_GAUGE_RAILTYPE_OHLE]:[TRACK_TYPE_NARROW_GAUGE_RAILTYPE_NONE]],_xlfn.LAMBDA(_xlpm.r,OR(_xlpm.r))),FALSE)</f>
        <v>1</v>
      </c>
      <c r="AG590" s="38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3208</v>
      </c>
      <c r="B591" s="40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8" t="b" cm="1">
        <f t="array" ref="AE591">IFERROR(_xlfn.BYROW(TRACK_TYPES[[#This Row],[TRACK_TYPE_STANDARD_GAUGE_RAILTYPE_OHLE]:[TRACK_TYPE_STANDARD_GAUGE_RAILTYPE_NONE]],_xlfn.LAMBDA(_xlpm.r,OR(_xlpm.r))),FALSE)</f>
        <v>0</v>
      </c>
      <c r="AF591" s="38" t="b" cm="1">
        <f t="array" ref="AF591">IFERROR(_xlfn.BYROW(TRACK_TYPES[[#This Row],[TRACK_TYPE_NARROW_GAUGE_RAILTYPE_OHLE]:[TRACK_TYPE_NARROW_GAUGE_RAILTYPE_NONE]],_xlfn.LAMBDA(_xlpm.r,OR(_xlpm.r))),FALSE)</f>
        <v>1</v>
      </c>
      <c r="AG591" s="38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3209</v>
      </c>
      <c r="B592" s="40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8" t="b" cm="1">
        <f t="array" ref="AE592">IFERROR(_xlfn.BYROW(TRACK_TYPES[[#This Row],[TRACK_TYPE_STANDARD_GAUGE_RAILTYPE_OHLE]:[TRACK_TYPE_STANDARD_GAUGE_RAILTYPE_NONE]],_xlfn.LAMBDA(_xlpm.r,OR(_xlpm.r))),FALSE)</f>
        <v>0</v>
      </c>
      <c r="AF592" s="38" t="b" cm="1">
        <f t="array" ref="AF592">IFERROR(_xlfn.BYROW(TRACK_TYPES[[#This Row],[TRACK_TYPE_NARROW_GAUGE_RAILTYPE_OHLE]:[TRACK_TYPE_NARROW_GAUGE_RAILTYPE_NONE]],_xlfn.LAMBDA(_xlpm.r,OR(_xlpm.r))),FALSE)</f>
        <v>1</v>
      </c>
      <c r="AG592" s="38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3210</v>
      </c>
      <c r="B593" s="40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8" t="b" cm="1">
        <f t="array" ref="AE593">IFERROR(_xlfn.BYROW(TRACK_TYPES[[#This Row],[TRACK_TYPE_STANDARD_GAUGE_RAILTYPE_OHLE]:[TRACK_TYPE_STANDARD_GAUGE_RAILTYPE_NONE]],_xlfn.LAMBDA(_xlpm.r,OR(_xlpm.r))),FALSE)</f>
        <v>0</v>
      </c>
      <c r="AF593" s="38" t="b" cm="1">
        <f t="array" ref="AF593">IFERROR(_xlfn.BYROW(TRACK_TYPES[[#This Row],[TRACK_TYPE_NARROW_GAUGE_RAILTYPE_OHLE]:[TRACK_TYPE_NARROW_GAUGE_RAILTYPE_NONE]],_xlfn.LAMBDA(_xlpm.r,OR(_xlpm.r))),FALSE)</f>
        <v>1</v>
      </c>
      <c r="AG593" s="38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3211</v>
      </c>
      <c r="B594" s="40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8" t="b" cm="1">
        <f t="array" ref="AE594">IFERROR(_xlfn.BYROW(TRACK_TYPES[[#This Row],[TRACK_TYPE_STANDARD_GAUGE_RAILTYPE_OHLE]:[TRACK_TYPE_STANDARD_GAUGE_RAILTYPE_NONE]],_xlfn.LAMBDA(_xlpm.r,OR(_xlpm.r))),FALSE)</f>
        <v>0</v>
      </c>
      <c r="AF594" s="38" t="b" cm="1">
        <f t="array" ref="AF594">IFERROR(_xlfn.BYROW(TRACK_TYPES[[#This Row],[TRACK_TYPE_NARROW_GAUGE_RAILTYPE_OHLE]:[TRACK_TYPE_NARROW_GAUGE_RAILTYPE_NONE]],_xlfn.LAMBDA(_xlpm.r,OR(_xlpm.r))),FALSE)</f>
        <v>1</v>
      </c>
      <c r="AG594" s="38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3212</v>
      </c>
      <c r="B595" s="40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8" t="b" cm="1">
        <f t="array" ref="AE595">IFERROR(_xlfn.BYROW(TRACK_TYPES[[#This Row],[TRACK_TYPE_STANDARD_GAUGE_RAILTYPE_OHLE]:[TRACK_TYPE_STANDARD_GAUGE_RAILTYPE_NONE]],_xlfn.LAMBDA(_xlpm.r,OR(_xlpm.r))),FALSE)</f>
        <v>0</v>
      </c>
      <c r="AF595" s="38" t="b" cm="1">
        <f t="array" ref="AF595">IFERROR(_xlfn.BYROW(TRACK_TYPES[[#This Row],[TRACK_TYPE_NARROW_GAUGE_RAILTYPE_OHLE]:[TRACK_TYPE_NARROW_GAUGE_RAILTYPE_NONE]],_xlfn.LAMBDA(_xlpm.r,OR(_xlpm.r))),FALSE)</f>
        <v>1</v>
      </c>
      <c r="AG595" s="38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3213</v>
      </c>
      <c r="B596" s="40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8" t="b" cm="1">
        <f t="array" ref="AE596">IFERROR(_xlfn.BYROW(TRACK_TYPES[[#This Row],[TRACK_TYPE_STANDARD_GAUGE_RAILTYPE_OHLE]:[TRACK_TYPE_STANDARD_GAUGE_RAILTYPE_NONE]],_xlfn.LAMBDA(_xlpm.r,OR(_xlpm.r))),FALSE)</f>
        <v>0</v>
      </c>
      <c r="AF596" s="38" t="b" cm="1">
        <f t="array" ref="AF596">IFERROR(_xlfn.BYROW(TRACK_TYPES[[#This Row],[TRACK_TYPE_NARROW_GAUGE_RAILTYPE_OHLE]:[TRACK_TYPE_NARROW_GAUGE_RAILTYPE_NONE]],_xlfn.LAMBDA(_xlpm.r,OR(_xlpm.r))),FALSE)</f>
        <v>1</v>
      </c>
      <c r="AG596" s="38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3214</v>
      </c>
      <c r="B597" s="40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8" t="b" cm="1">
        <f t="array" ref="AE597">IFERROR(_xlfn.BYROW(TRACK_TYPES[[#This Row],[TRACK_TYPE_STANDARD_GAUGE_RAILTYPE_OHLE]:[TRACK_TYPE_STANDARD_GAUGE_RAILTYPE_NONE]],_xlfn.LAMBDA(_xlpm.r,OR(_xlpm.r))),FALSE)</f>
        <v>0</v>
      </c>
      <c r="AF597" s="38" t="b" cm="1">
        <f t="array" ref="AF597">IFERROR(_xlfn.BYROW(TRACK_TYPES[[#This Row],[TRACK_TYPE_NARROW_GAUGE_RAILTYPE_OHLE]:[TRACK_TYPE_NARROW_GAUGE_RAILTYPE_NONE]],_xlfn.LAMBDA(_xlpm.r,OR(_xlpm.r))),FALSE)</f>
        <v>1</v>
      </c>
      <c r="AG597" s="38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3215</v>
      </c>
      <c r="B598" s="40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8" t="b" cm="1">
        <f t="array" ref="AE598">IFERROR(_xlfn.BYROW(TRACK_TYPES[[#This Row],[TRACK_TYPE_STANDARD_GAUGE_RAILTYPE_OHLE]:[TRACK_TYPE_STANDARD_GAUGE_RAILTYPE_NONE]],_xlfn.LAMBDA(_xlpm.r,OR(_xlpm.r))),FALSE)</f>
        <v>0</v>
      </c>
      <c r="AF598" s="38" t="b" cm="1">
        <f t="array" ref="AF598">IFERROR(_xlfn.BYROW(TRACK_TYPES[[#This Row],[TRACK_TYPE_NARROW_GAUGE_RAILTYPE_OHLE]:[TRACK_TYPE_NARROW_GAUGE_RAILTYPE_NONE]],_xlfn.LAMBDA(_xlpm.r,OR(_xlpm.r))),FALSE)</f>
        <v>1</v>
      </c>
      <c r="AG598" s="38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3216</v>
      </c>
      <c r="B599" s="40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8" t="b" cm="1">
        <f t="array" ref="AE599">IFERROR(_xlfn.BYROW(TRACK_TYPES[[#This Row],[TRACK_TYPE_STANDARD_GAUGE_RAILTYPE_OHLE]:[TRACK_TYPE_STANDARD_GAUGE_RAILTYPE_NONE]],_xlfn.LAMBDA(_xlpm.r,OR(_xlpm.r))),FALSE)</f>
        <v>0</v>
      </c>
      <c r="AF599" s="38" t="b" cm="1">
        <f t="array" ref="AF599">IFERROR(_xlfn.BYROW(TRACK_TYPES[[#This Row],[TRACK_TYPE_NARROW_GAUGE_RAILTYPE_OHLE]:[TRACK_TYPE_NARROW_GAUGE_RAILTYPE_NONE]],_xlfn.LAMBDA(_xlpm.r,OR(_xlpm.r))),FALSE)</f>
        <v>1</v>
      </c>
      <c r="AG599" s="38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3217</v>
      </c>
      <c r="B600" s="40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8" t="b" cm="1">
        <f t="array" ref="AE600">IFERROR(_xlfn.BYROW(TRACK_TYPES[[#This Row],[TRACK_TYPE_STANDARD_GAUGE_RAILTYPE_OHLE]:[TRACK_TYPE_STANDARD_GAUGE_RAILTYPE_NONE]],_xlfn.LAMBDA(_xlpm.r,OR(_xlpm.r))),FALSE)</f>
        <v>0</v>
      </c>
      <c r="AF600" s="38" t="b" cm="1">
        <f t="array" ref="AF600">IFERROR(_xlfn.BYROW(TRACK_TYPES[[#This Row],[TRACK_TYPE_NARROW_GAUGE_RAILTYPE_OHLE]:[TRACK_TYPE_NARROW_GAUGE_RAILTYPE_NONE]],_xlfn.LAMBDA(_xlpm.r,OR(_xlpm.r))),FALSE)</f>
        <v>1</v>
      </c>
      <c r="AG600" s="38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3218</v>
      </c>
      <c r="B601" s="40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8" t="b" cm="1">
        <f t="array" ref="AE601">IFERROR(_xlfn.BYROW(TRACK_TYPES[[#This Row],[TRACK_TYPE_STANDARD_GAUGE_RAILTYPE_OHLE]:[TRACK_TYPE_STANDARD_GAUGE_RAILTYPE_NONE]],_xlfn.LAMBDA(_xlpm.r,OR(_xlpm.r))),FALSE)</f>
        <v>0</v>
      </c>
      <c r="AF601" s="38" t="b" cm="1">
        <f t="array" ref="AF601">IFERROR(_xlfn.BYROW(TRACK_TYPES[[#This Row],[TRACK_TYPE_NARROW_GAUGE_RAILTYPE_OHLE]:[TRACK_TYPE_NARROW_GAUGE_RAILTYPE_NONE]],_xlfn.LAMBDA(_xlpm.r,OR(_xlpm.r))),FALSE)</f>
        <v>1</v>
      </c>
      <c r="AG601" s="38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3219</v>
      </c>
      <c r="B602" s="40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8" t="b" cm="1">
        <f t="array" ref="AE602">IFERROR(_xlfn.BYROW(TRACK_TYPES[[#This Row],[TRACK_TYPE_STANDARD_GAUGE_RAILTYPE_OHLE]:[TRACK_TYPE_STANDARD_GAUGE_RAILTYPE_NONE]],_xlfn.LAMBDA(_xlpm.r,OR(_xlpm.r))),FALSE)</f>
        <v>0</v>
      </c>
      <c r="AF602" s="38" t="b" cm="1">
        <f t="array" ref="AF602">IFERROR(_xlfn.BYROW(TRACK_TYPES[[#This Row],[TRACK_TYPE_NARROW_GAUGE_RAILTYPE_OHLE]:[TRACK_TYPE_NARROW_GAUGE_RAILTYPE_NONE]],_xlfn.LAMBDA(_xlpm.r,OR(_xlpm.r))),FALSE)</f>
        <v>1</v>
      </c>
      <c r="AG602" s="38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3220</v>
      </c>
      <c r="B603" s="40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8" t="b" cm="1">
        <f t="array" ref="AE603">IFERROR(_xlfn.BYROW(TRACK_TYPES[[#This Row],[TRACK_TYPE_STANDARD_GAUGE_RAILTYPE_OHLE]:[TRACK_TYPE_STANDARD_GAUGE_RAILTYPE_NONE]],_xlfn.LAMBDA(_xlpm.r,OR(_xlpm.r))),FALSE)</f>
        <v>0</v>
      </c>
      <c r="AF603" s="38" t="b" cm="1">
        <f t="array" ref="AF603">IFERROR(_xlfn.BYROW(TRACK_TYPES[[#This Row],[TRACK_TYPE_NARROW_GAUGE_RAILTYPE_OHLE]:[TRACK_TYPE_NARROW_GAUGE_RAILTYPE_NONE]],_xlfn.LAMBDA(_xlpm.r,OR(_xlpm.r))),FALSE)</f>
        <v>1</v>
      </c>
      <c r="AG603" s="38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3221</v>
      </c>
      <c r="B604" s="40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8" t="b" cm="1">
        <f t="array" ref="AE604">IFERROR(_xlfn.BYROW(TRACK_TYPES[[#This Row],[TRACK_TYPE_STANDARD_GAUGE_RAILTYPE_OHLE]:[TRACK_TYPE_STANDARD_GAUGE_RAILTYPE_NONE]],_xlfn.LAMBDA(_xlpm.r,OR(_xlpm.r))),FALSE)</f>
        <v>0</v>
      </c>
      <c r="AF604" s="38" t="b" cm="1">
        <f t="array" ref="AF604">IFERROR(_xlfn.BYROW(TRACK_TYPES[[#This Row],[TRACK_TYPE_NARROW_GAUGE_RAILTYPE_OHLE]:[TRACK_TYPE_NARROW_GAUGE_RAILTYPE_NONE]],_xlfn.LAMBDA(_xlpm.r,OR(_xlpm.r))),FALSE)</f>
        <v>1</v>
      </c>
      <c r="AG604" s="38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3222</v>
      </c>
      <c r="B605" s="40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8" t="b" cm="1">
        <f t="array" ref="AE605">IFERROR(_xlfn.BYROW(TRACK_TYPES[[#This Row],[TRACK_TYPE_STANDARD_GAUGE_RAILTYPE_OHLE]:[TRACK_TYPE_STANDARD_GAUGE_RAILTYPE_NONE]],_xlfn.LAMBDA(_xlpm.r,OR(_xlpm.r))),FALSE)</f>
        <v>0</v>
      </c>
      <c r="AF605" s="38" t="b" cm="1">
        <f t="array" ref="AF605">IFERROR(_xlfn.BYROW(TRACK_TYPES[[#This Row],[TRACK_TYPE_NARROW_GAUGE_RAILTYPE_OHLE]:[TRACK_TYPE_NARROW_GAUGE_RAILTYPE_NONE]],_xlfn.LAMBDA(_xlpm.r,OR(_xlpm.r))),FALSE)</f>
        <v>1</v>
      </c>
      <c r="AG605" s="38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3223</v>
      </c>
      <c r="B606" s="40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8" t="b" cm="1">
        <f t="array" ref="AE606">IFERROR(_xlfn.BYROW(TRACK_TYPES[[#This Row],[TRACK_TYPE_STANDARD_GAUGE_RAILTYPE_OHLE]:[TRACK_TYPE_STANDARD_GAUGE_RAILTYPE_NONE]],_xlfn.LAMBDA(_xlpm.r,OR(_xlpm.r))),FALSE)</f>
        <v>0</v>
      </c>
      <c r="AF606" s="38" t="b" cm="1">
        <f t="array" ref="AF606">IFERROR(_xlfn.BYROW(TRACK_TYPES[[#This Row],[TRACK_TYPE_NARROW_GAUGE_RAILTYPE_OHLE]:[TRACK_TYPE_NARROW_GAUGE_RAILTYPE_NONE]],_xlfn.LAMBDA(_xlpm.r,OR(_xlpm.r))),FALSE)</f>
        <v>1</v>
      </c>
      <c r="AG606" s="38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3224</v>
      </c>
      <c r="B607" s="40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8" t="b" cm="1">
        <f t="array" ref="AE607">IFERROR(_xlfn.BYROW(TRACK_TYPES[[#This Row],[TRACK_TYPE_STANDARD_GAUGE_RAILTYPE_OHLE]:[TRACK_TYPE_STANDARD_GAUGE_RAILTYPE_NONE]],_xlfn.LAMBDA(_xlpm.r,OR(_xlpm.r))),FALSE)</f>
        <v>0</v>
      </c>
      <c r="AF607" s="38" t="b" cm="1">
        <f t="array" ref="AF607">IFERROR(_xlfn.BYROW(TRACK_TYPES[[#This Row],[TRACK_TYPE_NARROW_GAUGE_RAILTYPE_OHLE]:[TRACK_TYPE_NARROW_GAUGE_RAILTYPE_NONE]],_xlfn.LAMBDA(_xlpm.r,OR(_xlpm.r))),FALSE)</f>
        <v>1</v>
      </c>
      <c r="AG607" s="38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3225</v>
      </c>
      <c r="B608" s="40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8" t="b" cm="1">
        <f t="array" ref="AE608">IFERROR(_xlfn.BYROW(TRACK_TYPES[[#This Row],[TRACK_TYPE_STANDARD_GAUGE_RAILTYPE_OHLE]:[TRACK_TYPE_STANDARD_GAUGE_RAILTYPE_NONE]],_xlfn.LAMBDA(_xlpm.r,OR(_xlpm.r))),FALSE)</f>
        <v>0</v>
      </c>
      <c r="AF608" s="38" t="b" cm="1">
        <f t="array" ref="AF608">IFERROR(_xlfn.BYROW(TRACK_TYPES[[#This Row],[TRACK_TYPE_NARROW_GAUGE_RAILTYPE_OHLE]:[TRACK_TYPE_NARROW_GAUGE_RAILTYPE_NONE]],_xlfn.LAMBDA(_xlpm.r,OR(_xlpm.r))),FALSE)</f>
        <v>1</v>
      </c>
      <c r="AG608" s="38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3226</v>
      </c>
      <c r="B609" s="40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8" t="b" cm="1">
        <f t="array" ref="AE609">IFERROR(_xlfn.BYROW(TRACK_TYPES[[#This Row],[TRACK_TYPE_STANDARD_GAUGE_RAILTYPE_OHLE]:[TRACK_TYPE_STANDARD_GAUGE_RAILTYPE_NONE]],_xlfn.LAMBDA(_xlpm.r,OR(_xlpm.r))),FALSE)</f>
        <v>0</v>
      </c>
      <c r="AF609" s="38" t="b" cm="1">
        <f t="array" ref="AF609">IFERROR(_xlfn.BYROW(TRACK_TYPES[[#This Row],[TRACK_TYPE_NARROW_GAUGE_RAILTYPE_OHLE]:[TRACK_TYPE_NARROW_GAUGE_RAILTYPE_NONE]],_xlfn.LAMBDA(_xlpm.r,OR(_xlpm.r))),FALSE)</f>
        <v>1</v>
      </c>
      <c r="AG609" s="38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3227</v>
      </c>
      <c r="B610" s="40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8" t="b" cm="1">
        <f t="array" ref="AE610">IFERROR(_xlfn.BYROW(TRACK_TYPES[[#This Row],[TRACK_TYPE_STANDARD_GAUGE_RAILTYPE_OHLE]:[TRACK_TYPE_STANDARD_GAUGE_RAILTYPE_NONE]],_xlfn.LAMBDA(_xlpm.r,OR(_xlpm.r))),FALSE)</f>
        <v>0</v>
      </c>
      <c r="AF610" s="38" t="b" cm="1">
        <f t="array" ref="AF610">IFERROR(_xlfn.BYROW(TRACK_TYPES[[#This Row],[TRACK_TYPE_NARROW_GAUGE_RAILTYPE_OHLE]:[TRACK_TYPE_NARROW_GAUGE_RAILTYPE_NONE]],_xlfn.LAMBDA(_xlpm.r,OR(_xlpm.r))),FALSE)</f>
        <v>1</v>
      </c>
      <c r="AG610" s="38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3228</v>
      </c>
      <c r="B611" s="40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8" t="b" cm="1">
        <f t="array" ref="AE611">IFERROR(_xlfn.BYROW(TRACK_TYPES[[#This Row],[TRACK_TYPE_STANDARD_GAUGE_RAILTYPE_OHLE]:[TRACK_TYPE_STANDARD_GAUGE_RAILTYPE_NONE]],_xlfn.LAMBDA(_xlpm.r,OR(_xlpm.r))),FALSE)</f>
        <v>0</v>
      </c>
      <c r="AF611" s="38" t="b" cm="1">
        <f t="array" ref="AF611">IFERROR(_xlfn.BYROW(TRACK_TYPES[[#This Row],[TRACK_TYPE_NARROW_GAUGE_RAILTYPE_OHLE]:[TRACK_TYPE_NARROW_GAUGE_RAILTYPE_NONE]],_xlfn.LAMBDA(_xlpm.r,OR(_xlpm.r))),FALSE)</f>
        <v>1</v>
      </c>
      <c r="AG611" s="38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3229</v>
      </c>
      <c r="B612" s="40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8" t="b" cm="1">
        <f t="array" ref="AE612">IFERROR(_xlfn.BYROW(TRACK_TYPES[[#This Row],[TRACK_TYPE_STANDARD_GAUGE_RAILTYPE_OHLE]:[TRACK_TYPE_STANDARD_GAUGE_RAILTYPE_NONE]],_xlfn.LAMBDA(_xlpm.r,OR(_xlpm.r))),FALSE)</f>
        <v>0</v>
      </c>
      <c r="AF612" s="38" t="b" cm="1">
        <f t="array" ref="AF612">IFERROR(_xlfn.BYROW(TRACK_TYPES[[#This Row],[TRACK_TYPE_NARROW_GAUGE_RAILTYPE_OHLE]:[TRACK_TYPE_NARROW_GAUGE_RAILTYPE_NONE]],_xlfn.LAMBDA(_xlpm.r,OR(_xlpm.r))),FALSE)</f>
        <v>1</v>
      </c>
      <c r="AG612" s="38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3230</v>
      </c>
      <c r="B613" s="40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8" t="b" cm="1">
        <f t="array" ref="AE613">IFERROR(_xlfn.BYROW(TRACK_TYPES[[#This Row],[TRACK_TYPE_STANDARD_GAUGE_RAILTYPE_OHLE]:[TRACK_TYPE_STANDARD_GAUGE_RAILTYPE_NONE]],_xlfn.LAMBDA(_xlpm.r,OR(_xlpm.r))),FALSE)</f>
        <v>0</v>
      </c>
      <c r="AF613" s="38" t="b" cm="1">
        <f t="array" ref="AF613">IFERROR(_xlfn.BYROW(TRACK_TYPES[[#This Row],[TRACK_TYPE_NARROW_GAUGE_RAILTYPE_OHLE]:[TRACK_TYPE_NARROW_GAUGE_RAILTYPE_NONE]],_xlfn.LAMBDA(_xlpm.r,OR(_xlpm.r))),FALSE)</f>
        <v>1</v>
      </c>
      <c r="AG613" s="38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3231</v>
      </c>
      <c r="B614" s="40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8" t="b" cm="1">
        <f t="array" ref="AE614">IFERROR(_xlfn.BYROW(TRACK_TYPES[[#This Row],[TRACK_TYPE_STANDARD_GAUGE_RAILTYPE_OHLE]:[TRACK_TYPE_STANDARD_GAUGE_RAILTYPE_NONE]],_xlfn.LAMBDA(_xlpm.r,OR(_xlpm.r))),FALSE)</f>
        <v>0</v>
      </c>
      <c r="AF614" s="38" t="b" cm="1">
        <f t="array" ref="AF614">IFERROR(_xlfn.BYROW(TRACK_TYPES[[#This Row],[TRACK_TYPE_NARROW_GAUGE_RAILTYPE_OHLE]:[TRACK_TYPE_NARROW_GAUGE_RAILTYPE_NONE]],_xlfn.LAMBDA(_xlpm.r,OR(_xlpm.r))),FALSE)</f>
        <v>0</v>
      </c>
      <c r="AG614" s="38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3232</v>
      </c>
      <c r="B615" s="40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8" t="b" cm="1">
        <f t="array" ref="AE615">IFERROR(_xlfn.BYROW(TRACK_TYPES[[#This Row],[TRACK_TYPE_STANDARD_GAUGE_RAILTYPE_OHLE]:[TRACK_TYPE_STANDARD_GAUGE_RAILTYPE_NONE]],_xlfn.LAMBDA(_xlpm.r,OR(_xlpm.r))),FALSE)</f>
        <v>0</v>
      </c>
      <c r="AF615" s="38" t="b" cm="1">
        <f t="array" ref="AF615">IFERROR(_xlfn.BYROW(TRACK_TYPES[[#This Row],[TRACK_TYPE_NARROW_GAUGE_RAILTYPE_OHLE]:[TRACK_TYPE_NARROW_GAUGE_RAILTYPE_NONE]],_xlfn.LAMBDA(_xlpm.r,OR(_xlpm.r))),FALSE)</f>
        <v>1</v>
      </c>
      <c r="AG615" s="38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3233</v>
      </c>
      <c r="B616" s="40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8" t="b" cm="1">
        <f t="array" ref="AE616">IFERROR(_xlfn.BYROW(TRACK_TYPES[[#This Row],[TRACK_TYPE_STANDARD_GAUGE_RAILTYPE_OHLE]:[TRACK_TYPE_STANDARD_GAUGE_RAILTYPE_NONE]],_xlfn.LAMBDA(_xlpm.r,OR(_xlpm.r))),FALSE)</f>
        <v>0</v>
      </c>
      <c r="AF616" s="38" t="b" cm="1">
        <f t="array" ref="AF616">IFERROR(_xlfn.BYROW(TRACK_TYPES[[#This Row],[TRACK_TYPE_NARROW_GAUGE_RAILTYPE_OHLE]:[TRACK_TYPE_NARROW_GAUGE_RAILTYPE_NONE]],_xlfn.LAMBDA(_xlpm.r,OR(_xlpm.r))),FALSE)</f>
        <v>1</v>
      </c>
      <c r="AG616" s="38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3234</v>
      </c>
      <c r="B617" s="40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8" t="b" cm="1">
        <f t="array" ref="AE617">IFERROR(_xlfn.BYROW(TRACK_TYPES[[#This Row],[TRACK_TYPE_STANDARD_GAUGE_RAILTYPE_OHLE]:[TRACK_TYPE_STANDARD_GAUGE_RAILTYPE_NONE]],_xlfn.LAMBDA(_xlpm.r,OR(_xlpm.r))),FALSE)</f>
        <v>0</v>
      </c>
      <c r="AF617" s="38" t="b" cm="1">
        <f t="array" ref="AF617">IFERROR(_xlfn.BYROW(TRACK_TYPES[[#This Row],[TRACK_TYPE_NARROW_GAUGE_RAILTYPE_OHLE]:[TRACK_TYPE_NARROW_GAUGE_RAILTYPE_NONE]],_xlfn.LAMBDA(_xlpm.r,OR(_xlpm.r))),FALSE)</f>
        <v>1</v>
      </c>
      <c r="AG617" s="38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3235</v>
      </c>
      <c r="B618" s="40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8" t="b" cm="1">
        <f t="array" ref="AE618">IFERROR(_xlfn.BYROW(TRACK_TYPES[[#This Row],[TRACK_TYPE_STANDARD_GAUGE_RAILTYPE_OHLE]:[TRACK_TYPE_STANDARD_GAUGE_RAILTYPE_NONE]],_xlfn.LAMBDA(_xlpm.r,OR(_xlpm.r))),FALSE)</f>
        <v>0</v>
      </c>
      <c r="AF618" s="38" t="b" cm="1">
        <f t="array" ref="AF618">IFERROR(_xlfn.BYROW(TRACK_TYPES[[#This Row],[TRACK_TYPE_NARROW_GAUGE_RAILTYPE_OHLE]:[TRACK_TYPE_NARROW_GAUGE_RAILTYPE_NONE]],_xlfn.LAMBDA(_xlpm.r,OR(_xlpm.r))),FALSE)</f>
        <v>1</v>
      </c>
      <c r="AG618" s="38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3236</v>
      </c>
      <c r="B619" s="40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8" t="b" cm="1">
        <f t="array" ref="AE619">IFERROR(_xlfn.BYROW(TRACK_TYPES[[#This Row],[TRACK_TYPE_STANDARD_GAUGE_RAILTYPE_OHLE]:[TRACK_TYPE_STANDARD_GAUGE_RAILTYPE_NONE]],_xlfn.LAMBDA(_xlpm.r,OR(_xlpm.r))),FALSE)</f>
        <v>0</v>
      </c>
      <c r="AF619" s="38" t="b" cm="1">
        <f t="array" ref="AF619">IFERROR(_xlfn.BYROW(TRACK_TYPES[[#This Row],[TRACK_TYPE_NARROW_GAUGE_RAILTYPE_OHLE]:[TRACK_TYPE_NARROW_GAUGE_RAILTYPE_NONE]],_xlfn.LAMBDA(_xlpm.r,OR(_xlpm.r))),FALSE)</f>
        <v>1</v>
      </c>
      <c r="AG619" s="38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3237</v>
      </c>
      <c r="B620" s="40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8" t="b" cm="1">
        <f t="array" ref="AE620">IFERROR(_xlfn.BYROW(TRACK_TYPES[[#This Row],[TRACK_TYPE_STANDARD_GAUGE_RAILTYPE_OHLE]:[TRACK_TYPE_STANDARD_GAUGE_RAILTYPE_NONE]],_xlfn.LAMBDA(_xlpm.r,OR(_xlpm.r))),FALSE)</f>
        <v>1</v>
      </c>
      <c r="AF620" s="38" t="b" cm="1">
        <f t="array" ref="AF620">IFERROR(_xlfn.BYROW(TRACK_TYPES[[#This Row],[TRACK_TYPE_NARROW_GAUGE_RAILTYPE_OHLE]:[TRACK_TYPE_NARROW_GAUGE_RAILTYPE_NONE]],_xlfn.LAMBDA(_xlpm.r,OR(_xlpm.r))),FALSE)</f>
        <v>0</v>
      </c>
      <c r="AG620" s="38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3238</v>
      </c>
      <c r="B621" s="40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8" t="b" cm="1">
        <f t="array" ref="AE621">IFERROR(_xlfn.BYROW(TRACK_TYPES[[#This Row],[TRACK_TYPE_STANDARD_GAUGE_RAILTYPE_OHLE]:[TRACK_TYPE_STANDARD_GAUGE_RAILTYPE_NONE]],_xlfn.LAMBDA(_xlpm.r,OR(_xlpm.r))),FALSE)</f>
        <v>1</v>
      </c>
      <c r="AF621" s="38" t="b" cm="1">
        <f t="array" ref="AF621">IFERROR(_xlfn.BYROW(TRACK_TYPES[[#This Row],[TRACK_TYPE_NARROW_GAUGE_RAILTYPE_OHLE]:[TRACK_TYPE_NARROW_GAUGE_RAILTYPE_NONE]],_xlfn.LAMBDA(_xlpm.r,OR(_xlpm.r))),FALSE)</f>
        <v>0</v>
      </c>
      <c r="AG621" s="38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3239</v>
      </c>
      <c r="B622" s="40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8" t="b" cm="1">
        <f t="array" ref="AE622">IFERROR(_xlfn.BYROW(TRACK_TYPES[[#This Row],[TRACK_TYPE_STANDARD_GAUGE_RAILTYPE_OHLE]:[TRACK_TYPE_STANDARD_GAUGE_RAILTYPE_NONE]],_xlfn.LAMBDA(_xlpm.r,OR(_xlpm.r))),FALSE)</f>
        <v>0</v>
      </c>
      <c r="AF622" s="38" t="b" cm="1">
        <f t="array" ref="AF622">IFERROR(_xlfn.BYROW(TRACK_TYPES[[#This Row],[TRACK_TYPE_NARROW_GAUGE_RAILTYPE_OHLE]:[TRACK_TYPE_NARROW_GAUGE_RAILTYPE_NONE]],_xlfn.LAMBDA(_xlpm.r,OR(_xlpm.r))),FALSE)</f>
        <v>0</v>
      </c>
      <c r="AG622" s="38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3478</v>
      </c>
      <c r="B623" s="40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8" t="b" cm="1">
        <f t="array" ref="AE623">IFERROR(_xlfn.BYROW(TRACK_TYPES[[#This Row],[TRACK_TYPE_STANDARD_GAUGE_RAILTYPE_OHLE]:[TRACK_TYPE_STANDARD_GAUGE_RAILTYPE_NONE]],_xlfn.LAMBDA(_xlpm.r,OR(_xlpm.r))),FALSE)</f>
        <v>0</v>
      </c>
      <c r="AF623" s="38" t="b" cm="1">
        <f t="array" ref="AF623">IFERROR(_xlfn.BYROW(TRACK_TYPES[[#This Row],[TRACK_TYPE_NARROW_GAUGE_RAILTYPE_OHLE]:[TRACK_TYPE_NARROW_GAUGE_RAILTYPE_NONE]],_xlfn.LAMBDA(_xlpm.r,OR(_xlpm.r))),FALSE)</f>
        <v>1</v>
      </c>
      <c r="AG623" s="38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3241</v>
      </c>
      <c r="B624" s="40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8" t="b" cm="1">
        <f t="array" ref="AE624">IFERROR(_xlfn.BYROW(TRACK_TYPES[[#This Row],[TRACK_TYPE_STANDARD_GAUGE_RAILTYPE_OHLE]:[TRACK_TYPE_STANDARD_GAUGE_RAILTYPE_NONE]],_xlfn.LAMBDA(_xlpm.r,OR(_xlpm.r))),FALSE)</f>
        <v>0</v>
      </c>
      <c r="AF624" s="38" t="b" cm="1">
        <f t="array" ref="AF624">IFERROR(_xlfn.BYROW(TRACK_TYPES[[#This Row],[TRACK_TYPE_NARROW_GAUGE_RAILTYPE_OHLE]:[TRACK_TYPE_NARROW_GAUGE_RAILTYPE_NONE]],_xlfn.LAMBDA(_xlpm.r,OR(_xlpm.r))),FALSE)</f>
        <v>1</v>
      </c>
      <c r="AG624" s="38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3242</v>
      </c>
      <c r="B625" s="40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8" t="b" cm="1">
        <f t="array" ref="AE625">IFERROR(_xlfn.BYROW(TRACK_TYPES[[#This Row],[TRACK_TYPE_STANDARD_GAUGE_RAILTYPE_OHLE]:[TRACK_TYPE_STANDARD_GAUGE_RAILTYPE_NONE]],_xlfn.LAMBDA(_xlpm.r,OR(_xlpm.r))),FALSE)</f>
        <v>0</v>
      </c>
      <c r="AF625" s="38" t="b" cm="1">
        <f t="array" ref="AF625">IFERROR(_xlfn.BYROW(TRACK_TYPES[[#This Row],[TRACK_TYPE_NARROW_GAUGE_RAILTYPE_OHLE]:[TRACK_TYPE_NARROW_GAUGE_RAILTYPE_NONE]],_xlfn.LAMBDA(_xlpm.r,OR(_xlpm.r))),FALSE)</f>
        <v>0</v>
      </c>
      <c r="AG625" s="38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3243</v>
      </c>
      <c r="B626" s="40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8" t="b" cm="1">
        <f t="array" ref="AE626">IFERROR(_xlfn.BYROW(TRACK_TYPES[[#This Row],[TRACK_TYPE_STANDARD_GAUGE_RAILTYPE_OHLE]:[TRACK_TYPE_STANDARD_GAUGE_RAILTYPE_NONE]],_xlfn.LAMBDA(_xlpm.r,OR(_xlpm.r))),FALSE)</f>
        <v>0</v>
      </c>
      <c r="AF626" s="38" t="b" cm="1">
        <f t="array" ref="AF626">IFERROR(_xlfn.BYROW(TRACK_TYPES[[#This Row],[TRACK_TYPE_NARROW_GAUGE_RAILTYPE_OHLE]:[TRACK_TYPE_NARROW_GAUGE_RAILTYPE_NONE]],_xlfn.LAMBDA(_xlpm.r,OR(_xlpm.r))),FALSE)</f>
        <v>0</v>
      </c>
      <c r="AG626" s="38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3244</v>
      </c>
      <c r="B627" s="40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8" t="b" cm="1">
        <f t="array" ref="AE627">IFERROR(_xlfn.BYROW(TRACK_TYPES[[#This Row],[TRACK_TYPE_STANDARD_GAUGE_RAILTYPE_OHLE]:[TRACK_TYPE_STANDARD_GAUGE_RAILTYPE_NONE]],_xlfn.LAMBDA(_xlpm.r,OR(_xlpm.r))),FALSE)</f>
        <v>0</v>
      </c>
      <c r="AF627" s="38" t="b" cm="1">
        <f t="array" ref="AF627">IFERROR(_xlfn.BYROW(TRACK_TYPES[[#This Row],[TRACK_TYPE_NARROW_GAUGE_RAILTYPE_OHLE]:[TRACK_TYPE_NARROW_GAUGE_RAILTYPE_NONE]],_xlfn.LAMBDA(_xlpm.r,OR(_xlpm.r))),FALSE)</f>
        <v>1</v>
      </c>
      <c r="AG627" s="38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3245</v>
      </c>
      <c r="B628" s="40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8" t="b" cm="1">
        <f t="array" ref="AE628">IFERROR(_xlfn.BYROW(TRACK_TYPES[[#This Row],[TRACK_TYPE_STANDARD_GAUGE_RAILTYPE_OHLE]:[TRACK_TYPE_STANDARD_GAUGE_RAILTYPE_NONE]],_xlfn.LAMBDA(_xlpm.r,OR(_xlpm.r))),FALSE)</f>
        <v>0</v>
      </c>
      <c r="AF628" s="38" t="b" cm="1">
        <f t="array" ref="AF628">IFERROR(_xlfn.BYROW(TRACK_TYPES[[#This Row],[TRACK_TYPE_NARROW_GAUGE_RAILTYPE_OHLE]:[TRACK_TYPE_NARROW_GAUGE_RAILTYPE_NONE]],_xlfn.LAMBDA(_xlpm.r,OR(_xlpm.r))),FALSE)</f>
        <v>1</v>
      </c>
      <c r="AG628" s="38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3246</v>
      </c>
      <c r="B629" s="40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8" t="b" cm="1">
        <f t="array" ref="AE629">IFERROR(_xlfn.BYROW(TRACK_TYPES[[#This Row],[TRACK_TYPE_STANDARD_GAUGE_RAILTYPE_OHLE]:[TRACK_TYPE_STANDARD_GAUGE_RAILTYPE_NONE]],_xlfn.LAMBDA(_xlpm.r,OR(_xlpm.r))),FALSE)</f>
        <v>0</v>
      </c>
      <c r="AF629" s="38" t="b" cm="1">
        <f t="array" ref="AF629">IFERROR(_xlfn.BYROW(TRACK_TYPES[[#This Row],[TRACK_TYPE_NARROW_GAUGE_RAILTYPE_OHLE]:[TRACK_TYPE_NARROW_GAUGE_RAILTYPE_NONE]],_xlfn.LAMBDA(_xlpm.r,OR(_xlpm.r))),FALSE)</f>
        <v>0</v>
      </c>
      <c r="AG629" s="38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3247</v>
      </c>
      <c r="B630" s="40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8" t="b" cm="1">
        <f t="array" ref="AE630">IFERROR(_xlfn.BYROW(TRACK_TYPES[[#This Row],[TRACK_TYPE_STANDARD_GAUGE_RAILTYPE_OHLE]:[TRACK_TYPE_STANDARD_GAUGE_RAILTYPE_NONE]],_xlfn.LAMBDA(_xlpm.r,OR(_xlpm.r))),FALSE)</f>
        <v>0</v>
      </c>
      <c r="AF630" s="38" t="b" cm="1">
        <f t="array" ref="AF630">IFERROR(_xlfn.BYROW(TRACK_TYPES[[#This Row],[TRACK_TYPE_NARROW_GAUGE_RAILTYPE_OHLE]:[TRACK_TYPE_NARROW_GAUGE_RAILTYPE_NONE]],_xlfn.LAMBDA(_xlpm.r,OR(_xlpm.r))),FALSE)</f>
        <v>0</v>
      </c>
      <c r="AG630" s="38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3248</v>
      </c>
      <c r="B631" s="40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8" t="b" cm="1">
        <f t="array" ref="AE631">IFERROR(_xlfn.BYROW(TRACK_TYPES[[#This Row],[TRACK_TYPE_STANDARD_GAUGE_RAILTYPE_OHLE]:[TRACK_TYPE_STANDARD_GAUGE_RAILTYPE_NONE]],_xlfn.LAMBDA(_xlpm.r,OR(_xlpm.r))),FALSE)</f>
        <v>0</v>
      </c>
      <c r="AF631" s="38" t="b" cm="1">
        <f t="array" ref="AF631">IFERROR(_xlfn.BYROW(TRACK_TYPES[[#This Row],[TRACK_TYPE_NARROW_GAUGE_RAILTYPE_OHLE]:[TRACK_TYPE_NARROW_GAUGE_RAILTYPE_NONE]],_xlfn.LAMBDA(_xlpm.r,OR(_xlpm.r))),FALSE)</f>
        <v>0</v>
      </c>
      <c r="AG631" s="38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3249</v>
      </c>
      <c r="B632" s="40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8" t="b" cm="1">
        <f t="array" ref="AE632">IFERROR(_xlfn.BYROW(TRACK_TYPES[[#This Row],[TRACK_TYPE_STANDARD_GAUGE_RAILTYPE_OHLE]:[TRACK_TYPE_STANDARD_GAUGE_RAILTYPE_NONE]],_xlfn.LAMBDA(_xlpm.r,OR(_xlpm.r))),FALSE)</f>
        <v>0</v>
      </c>
      <c r="AF632" s="38" t="b" cm="1">
        <f t="array" ref="AF632">IFERROR(_xlfn.BYROW(TRACK_TYPES[[#This Row],[TRACK_TYPE_NARROW_GAUGE_RAILTYPE_OHLE]:[TRACK_TYPE_NARROW_GAUGE_RAILTYPE_NONE]],_xlfn.LAMBDA(_xlpm.r,OR(_xlpm.r))),FALSE)</f>
        <v>0</v>
      </c>
      <c r="AG632" s="38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3250</v>
      </c>
      <c r="B633" s="40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8" t="b" cm="1">
        <f t="array" ref="AE633">IFERROR(_xlfn.BYROW(TRACK_TYPES[[#This Row],[TRACK_TYPE_STANDARD_GAUGE_RAILTYPE_OHLE]:[TRACK_TYPE_STANDARD_GAUGE_RAILTYPE_NONE]],_xlfn.LAMBDA(_xlpm.r,OR(_xlpm.r))),FALSE)</f>
        <v>1</v>
      </c>
      <c r="AF633" s="38" t="b" cm="1">
        <f t="array" ref="AF633">IFERROR(_xlfn.BYROW(TRACK_TYPES[[#This Row],[TRACK_TYPE_NARROW_GAUGE_RAILTYPE_OHLE]:[TRACK_TYPE_NARROW_GAUGE_RAILTYPE_NONE]],_xlfn.LAMBDA(_xlpm.r,OR(_xlpm.r))),FALSE)</f>
        <v>0</v>
      </c>
      <c r="AG633" s="38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3251</v>
      </c>
      <c r="B634" s="40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8" t="b" cm="1">
        <f t="array" ref="AE634">IFERROR(_xlfn.BYROW(TRACK_TYPES[[#This Row],[TRACK_TYPE_STANDARD_GAUGE_RAILTYPE_OHLE]:[TRACK_TYPE_STANDARD_GAUGE_RAILTYPE_NONE]],_xlfn.LAMBDA(_xlpm.r,OR(_xlpm.r))),FALSE)</f>
        <v>0</v>
      </c>
      <c r="AF634" s="38" t="b" cm="1">
        <f t="array" ref="AF634">IFERROR(_xlfn.BYROW(TRACK_TYPES[[#This Row],[TRACK_TYPE_NARROW_GAUGE_RAILTYPE_OHLE]:[TRACK_TYPE_NARROW_GAUGE_RAILTYPE_NONE]],_xlfn.LAMBDA(_xlpm.r,OR(_xlpm.r))),FALSE)</f>
        <v>0</v>
      </c>
      <c r="AG634" s="38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3252</v>
      </c>
      <c r="B635" s="40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8" t="b" cm="1">
        <f t="array" ref="AE635">IFERROR(_xlfn.BYROW(TRACK_TYPES[[#This Row],[TRACK_TYPE_STANDARD_GAUGE_RAILTYPE_OHLE]:[TRACK_TYPE_STANDARD_GAUGE_RAILTYPE_NONE]],_xlfn.LAMBDA(_xlpm.r,OR(_xlpm.r))),FALSE)</f>
        <v>0</v>
      </c>
      <c r="AF635" s="38" t="b" cm="1">
        <f t="array" ref="AF635">IFERROR(_xlfn.BYROW(TRACK_TYPES[[#This Row],[TRACK_TYPE_NARROW_GAUGE_RAILTYPE_OHLE]:[TRACK_TYPE_NARROW_GAUGE_RAILTYPE_NONE]],_xlfn.LAMBDA(_xlpm.r,OR(_xlpm.r))),FALSE)</f>
        <v>0</v>
      </c>
      <c r="AG635" s="38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3253</v>
      </c>
      <c r="B636" s="40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8" t="b" cm="1">
        <f t="array" ref="AE636">IFERROR(_xlfn.BYROW(TRACK_TYPES[[#This Row],[TRACK_TYPE_STANDARD_GAUGE_RAILTYPE_OHLE]:[TRACK_TYPE_STANDARD_GAUGE_RAILTYPE_NONE]],_xlfn.LAMBDA(_xlpm.r,OR(_xlpm.r))),FALSE)</f>
        <v>0</v>
      </c>
      <c r="AF636" s="38" t="b" cm="1">
        <f t="array" ref="AF636">IFERROR(_xlfn.BYROW(TRACK_TYPES[[#This Row],[TRACK_TYPE_NARROW_GAUGE_RAILTYPE_OHLE]:[TRACK_TYPE_NARROW_GAUGE_RAILTYPE_NONE]],_xlfn.LAMBDA(_xlpm.r,OR(_xlpm.r))),FALSE)</f>
        <v>0</v>
      </c>
      <c r="AG636" s="38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3254</v>
      </c>
      <c r="B637" s="40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8" t="b" cm="1">
        <f t="array" ref="AE637">IFERROR(_xlfn.BYROW(TRACK_TYPES[[#This Row],[TRACK_TYPE_STANDARD_GAUGE_RAILTYPE_OHLE]:[TRACK_TYPE_STANDARD_GAUGE_RAILTYPE_NONE]],_xlfn.LAMBDA(_xlpm.r,OR(_xlpm.r))),FALSE)</f>
        <v>0</v>
      </c>
      <c r="AF637" s="38" t="b" cm="1">
        <f t="array" ref="AF637">IFERROR(_xlfn.BYROW(TRACK_TYPES[[#This Row],[TRACK_TYPE_NARROW_GAUGE_RAILTYPE_OHLE]:[TRACK_TYPE_NARROW_GAUGE_RAILTYPE_NONE]],_xlfn.LAMBDA(_xlpm.r,OR(_xlpm.r))),FALSE)</f>
        <v>0</v>
      </c>
      <c r="AG637" s="38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3255</v>
      </c>
      <c r="B638" s="40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8" t="b" cm="1">
        <f t="array" ref="AE638">IFERROR(_xlfn.BYROW(TRACK_TYPES[[#This Row],[TRACK_TYPE_STANDARD_GAUGE_RAILTYPE_OHLE]:[TRACK_TYPE_STANDARD_GAUGE_RAILTYPE_NONE]],_xlfn.LAMBDA(_xlpm.r,OR(_xlpm.r))),FALSE)</f>
        <v>0</v>
      </c>
      <c r="AF638" s="38" t="b" cm="1">
        <f t="array" ref="AF638">IFERROR(_xlfn.BYROW(TRACK_TYPES[[#This Row],[TRACK_TYPE_NARROW_GAUGE_RAILTYPE_OHLE]:[TRACK_TYPE_NARROW_GAUGE_RAILTYPE_NONE]],_xlfn.LAMBDA(_xlpm.r,OR(_xlpm.r))),FALSE)</f>
        <v>0</v>
      </c>
      <c r="AG638" s="38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3256</v>
      </c>
      <c r="B639" s="40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8" t="b" cm="1">
        <f t="array" ref="AE639">IFERROR(_xlfn.BYROW(TRACK_TYPES[[#This Row],[TRACK_TYPE_STANDARD_GAUGE_RAILTYPE_OHLE]:[TRACK_TYPE_STANDARD_GAUGE_RAILTYPE_NONE]],_xlfn.LAMBDA(_xlpm.r,OR(_xlpm.r))),FALSE)</f>
        <v>0</v>
      </c>
      <c r="AF639" s="38" t="b" cm="1">
        <f t="array" ref="AF639">IFERROR(_xlfn.BYROW(TRACK_TYPES[[#This Row],[TRACK_TYPE_NARROW_GAUGE_RAILTYPE_OHLE]:[TRACK_TYPE_NARROW_GAUGE_RAILTYPE_NONE]],_xlfn.LAMBDA(_xlpm.r,OR(_xlpm.r))),FALSE)</f>
        <v>0</v>
      </c>
      <c r="AG639" s="38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3257</v>
      </c>
      <c r="B640" s="40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8" t="b" cm="1">
        <f t="array" ref="AE640">IFERROR(_xlfn.BYROW(TRACK_TYPES[[#This Row],[TRACK_TYPE_STANDARD_GAUGE_RAILTYPE_OHLE]:[TRACK_TYPE_STANDARD_GAUGE_RAILTYPE_NONE]],_xlfn.LAMBDA(_xlpm.r,OR(_xlpm.r))),FALSE)</f>
        <v>0</v>
      </c>
      <c r="AF640" s="38" t="b" cm="1">
        <f t="array" ref="AF640">IFERROR(_xlfn.BYROW(TRACK_TYPES[[#This Row],[TRACK_TYPE_NARROW_GAUGE_RAILTYPE_OHLE]:[TRACK_TYPE_NARROW_GAUGE_RAILTYPE_NONE]],_xlfn.LAMBDA(_xlpm.r,OR(_xlpm.r))),FALSE)</f>
        <v>0</v>
      </c>
      <c r="AG640" s="38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3258</v>
      </c>
      <c r="B641" s="40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8" t="b" cm="1">
        <f t="array" ref="AE641">IFERROR(_xlfn.BYROW(TRACK_TYPES[[#This Row],[TRACK_TYPE_STANDARD_GAUGE_RAILTYPE_OHLE]:[TRACK_TYPE_STANDARD_GAUGE_RAILTYPE_NONE]],_xlfn.LAMBDA(_xlpm.r,OR(_xlpm.r))),FALSE)</f>
        <v>0</v>
      </c>
      <c r="AF641" s="38" t="b" cm="1">
        <f t="array" ref="AF641">IFERROR(_xlfn.BYROW(TRACK_TYPES[[#This Row],[TRACK_TYPE_NARROW_GAUGE_RAILTYPE_OHLE]:[TRACK_TYPE_NARROW_GAUGE_RAILTYPE_NONE]],_xlfn.LAMBDA(_xlpm.r,OR(_xlpm.r))),FALSE)</f>
        <v>0</v>
      </c>
      <c r="AG641" s="38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3259</v>
      </c>
      <c r="B642" s="40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8" t="b" cm="1">
        <f t="array" ref="AE642">IFERROR(_xlfn.BYROW(TRACK_TYPES[[#This Row],[TRACK_TYPE_STANDARD_GAUGE_RAILTYPE_OHLE]:[TRACK_TYPE_STANDARD_GAUGE_RAILTYPE_NONE]],_xlfn.LAMBDA(_xlpm.r,OR(_xlpm.r))),FALSE)</f>
        <v>0</v>
      </c>
      <c r="AF642" s="38" t="b" cm="1">
        <f t="array" ref="AF642">IFERROR(_xlfn.BYROW(TRACK_TYPES[[#This Row],[TRACK_TYPE_NARROW_GAUGE_RAILTYPE_OHLE]:[TRACK_TYPE_NARROW_GAUGE_RAILTYPE_NONE]],_xlfn.LAMBDA(_xlpm.r,OR(_xlpm.r))),FALSE)</f>
        <v>0</v>
      </c>
      <c r="AG642" s="38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3260</v>
      </c>
      <c r="B643" s="40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8" t="b" cm="1">
        <f t="array" ref="AE643">IFERROR(_xlfn.BYROW(TRACK_TYPES[[#This Row],[TRACK_TYPE_STANDARD_GAUGE_RAILTYPE_OHLE]:[TRACK_TYPE_STANDARD_GAUGE_RAILTYPE_NONE]],_xlfn.LAMBDA(_xlpm.r,OR(_xlpm.r))),FALSE)</f>
        <v>0</v>
      </c>
      <c r="AF643" s="38" t="b" cm="1">
        <f t="array" ref="AF643">IFERROR(_xlfn.BYROW(TRACK_TYPES[[#This Row],[TRACK_TYPE_NARROW_GAUGE_RAILTYPE_OHLE]:[TRACK_TYPE_NARROW_GAUGE_RAILTYPE_NONE]],_xlfn.LAMBDA(_xlpm.r,OR(_xlpm.r))),FALSE)</f>
        <v>0</v>
      </c>
      <c r="AG643" s="38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3261</v>
      </c>
      <c r="B644" s="40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8" t="b" cm="1">
        <f t="array" ref="AE644">IFERROR(_xlfn.BYROW(TRACK_TYPES[[#This Row],[TRACK_TYPE_STANDARD_GAUGE_RAILTYPE_OHLE]:[TRACK_TYPE_STANDARD_GAUGE_RAILTYPE_NONE]],_xlfn.LAMBDA(_xlpm.r,OR(_xlpm.r))),FALSE)</f>
        <v>0</v>
      </c>
      <c r="AF644" s="38" t="b" cm="1">
        <f t="array" ref="AF644">IFERROR(_xlfn.BYROW(TRACK_TYPES[[#This Row],[TRACK_TYPE_NARROW_GAUGE_RAILTYPE_OHLE]:[TRACK_TYPE_NARROW_GAUGE_RAILTYPE_NONE]],_xlfn.LAMBDA(_xlpm.r,OR(_xlpm.r))),FALSE)</f>
        <v>0</v>
      </c>
      <c r="AG644" s="38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3262</v>
      </c>
      <c r="B645" s="40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8" t="b" cm="1">
        <f t="array" ref="AE645">IFERROR(_xlfn.BYROW(TRACK_TYPES[[#This Row],[TRACK_TYPE_STANDARD_GAUGE_RAILTYPE_OHLE]:[TRACK_TYPE_STANDARD_GAUGE_RAILTYPE_NONE]],_xlfn.LAMBDA(_xlpm.r,OR(_xlpm.r))),FALSE)</f>
        <v>0</v>
      </c>
      <c r="AF645" s="38" t="b" cm="1">
        <f t="array" ref="AF645">IFERROR(_xlfn.BYROW(TRACK_TYPES[[#This Row],[TRACK_TYPE_NARROW_GAUGE_RAILTYPE_OHLE]:[TRACK_TYPE_NARROW_GAUGE_RAILTYPE_NONE]],_xlfn.LAMBDA(_xlpm.r,OR(_xlpm.r))),FALSE)</f>
        <v>0</v>
      </c>
      <c r="AG645" s="38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3263</v>
      </c>
      <c r="B646" s="40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8" t="b" cm="1">
        <f t="array" ref="AE646">IFERROR(_xlfn.BYROW(TRACK_TYPES[[#This Row],[TRACK_TYPE_STANDARD_GAUGE_RAILTYPE_OHLE]:[TRACK_TYPE_STANDARD_GAUGE_RAILTYPE_NONE]],_xlfn.LAMBDA(_xlpm.r,OR(_xlpm.r))),FALSE)</f>
        <v>0</v>
      </c>
      <c r="AF646" s="38" t="b" cm="1">
        <f t="array" ref="AF646">IFERROR(_xlfn.BYROW(TRACK_TYPES[[#This Row],[TRACK_TYPE_NARROW_GAUGE_RAILTYPE_OHLE]:[TRACK_TYPE_NARROW_GAUGE_RAILTYPE_NONE]],_xlfn.LAMBDA(_xlpm.r,OR(_xlpm.r))),FALSE)</f>
        <v>0</v>
      </c>
      <c r="AG646" s="38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3264</v>
      </c>
      <c r="B647" s="40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8" t="b" cm="1">
        <f t="array" ref="AE647">IFERROR(_xlfn.BYROW(TRACK_TYPES[[#This Row],[TRACK_TYPE_STANDARD_GAUGE_RAILTYPE_OHLE]:[TRACK_TYPE_STANDARD_GAUGE_RAILTYPE_NONE]],_xlfn.LAMBDA(_xlpm.r,OR(_xlpm.r))),FALSE)</f>
        <v>1</v>
      </c>
      <c r="AF647" s="38" t="b" cm="1">
        <f t="array" ref="AF647">IFERROR(_xlfn.BYROW(TRACK_TYPES[[#This Row],[TRACK_TYPE_NARROW_GAUGE_RAILTYPE_OHLE]:[TRACK_TYPE_NARROW_GAUGE_RAILTYPE_NONE]],_xlfn.LAMBDA(_xlpm.r,OR(_xlpm.r))),FALSE)</f>
        <v>0</v>
      </c>
      <c r="AG647" s="38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3265</v>
      </c>
      <c r="B648" s="40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8" t="b" cm="1">
        <f t="array" ref="AE648">IFERROR(_xlfn.BYROW(TRACK_TYPES[[#This Row],[TRACK_TYPE_STANDARD_GAUGE_RAILTYPE_OHLE]:[TRACK_TYPE_STANDARD_GAUGE_RAILTYPE_NONE]],_xlfn.LAMBDA(_xlpm.r,OR(_xlpm.r))),FALSE)</f>
        <v>0</v>
      </c>
      <c r="AF648" s="38" t="b" cm="1">
        <f t="array" ref="AF648">IFERROR(_xlfn.BYROW(TRACK_TYPES[[#This Row],[TRACK_TYPE_NARROW_GAUGE_RAILTYPE_OHLE]:[TRACK_TYPE_NARROW_GAUGE_RAILTYPE_NONE]],_xlfn.LAMBDA(_xlpm.r,OR(_xlpm.r))),FALSE)</f>
        <v>0</v>
      </c>
      <c r="AG648" s="38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74</v>
      </c>
      <c r="B649" s="40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8" t="b" cm="1">
        <f t="array" ref="AE649">IFERROR(_xlfn.BYROW(TRACK_TYPES[[#This Row],[TRACK_TYPE_STANDARD_GAUGE_RAILTYPE_OHLE]:[TRACK_TYPE_STANDARD_GAUGE_RAILTYPE_NONE]],_xlfn.LAMBDA(_xlpm.r,OR(_xlpm.r))),FALSE)</f>
        <v>1</v>
      </c>
      <c r="AF649" s="38" t="b" cm="1">
        <f t="array" ref="AF649">IFERROR(_xlfn.BYROW(TRACK_TYPES[[#This Row],[TRACK_TYPE_NARROW_GAUGE_RAILTYPE_OHLE]:[TRACK_TYPE_NARROW_GAUGE_RAILTYPE_NONE]],_xlfn.LAMBDA(_xlpm.r,OR(_xlpm.r))),FALSE)</f>
        <v>1</v>
      </c>
      <c r="AG649" s="38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73</v>
      </c>
      <c r="B650" s="40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8" t="b" cm="1">
        <f t="array" ref="AE650">IFERROR(_xlfn.BYROW(TRACK_TYPES[[#This Row],[TRACK_TYPE_STANDARD_GAUGE_RAILTYPE_OHLE]:[TRACK_TYPE_STANDARD_GAUGE_RAILTYPE_NONE]],_xlfn.LAMBDA(_xlpm.r,OR(_xlpm.r))),FALSE)</f>
        <v>1</v>
      </c>
      <c r="AF650" s="38" t="b" cm="1">
        <f t="array" ref="AF650">IFERROR(_xlfn.BYROW(TRACK_TYPES[[#This Row],[TRACK_TYPE_NARROW_GAUGE_RAILTYPE_OHLE]:[TRACK_TYPE_NARROW_GAUGE_RAILTYPE_NONE]],_xlfn.LAMBDA(_xlpm.r,OR(_xlpm.r))),FALSE)</f>
        <v>1</v>
      </c>
      <c r="AG650" s="38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75</v>
      </c>
      <c r="B651" s="40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8" t="b" cm="1">
        <f t="array" ref="AE651">IFERROR(_xlfn.BYROW(TRACK_TYPES[[#This Row],[TRACK_TYPE_STANDARD_GAUGE_RAILTYPE_OHLE]:[TRACK_TYPE_STANDARD_GAUGE_RAILTYPE_NONE]],_xlfn.LAMBDA(_xlpm.r,OR(_xlpm.r))),FALSE)</f>
        <v>1</v>
      </c>
      <c r="AF651" s="38" t="b" cm="1">
        <f t="array" ref="AF651">IFERROR(_xlfn.BYROW(TRACK_TYPES[[#This Row],[TRACK_TYPE_NARROW_GAUGE_RAILTYPE_OHLE]:[TRACK_TYPE_NARROW_GAUGE_RAILTYPE_NONE]],_xlfn.LAMBDA(_xlpm.r,OR(_xlpm.r))),FALSE)</f>
        <v>1</v>
      </c>
      <c r="AG651" s="38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76</v>
      </c>
      <c r="B652" s="40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8" t="b" cm="1">
        <f t="array" ref="AE652">IFERROR(_xlfn.BYROW(TRACK_TYPES[[#This Row],[TRACK_TYPE_STANDARD_GAUGE_RAILTYPE_OHLE]:[TRACK_TYPE_STANDARD_GAUGE_RAILTYPE_NONE]],_xlfn.LAMBDA(_xlpm.r,OR(_xlpm.r))),FALSE)</f>
        <v>1</v>
      </c>
      <c r="AF652" s="38" t="b" cm="1">
        <f t="array" ref="AF652">IFERROR(_xlfn.BYROW(TRACK_TYPES[[#This Row],[TRACK_TYPE_NARROW_GAUGE_RAILTYPE_OHLE]:[TRACK_TYPE_NARROW_GAUGE_RAILTYPE_NONE]],_xlfn.LAMBDA(_xlpm.r,OR(_xlpm.r))),FALSE)</f>
        <v>1</v>
      </c>
      <c r="AG652" s="38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77</v>
      </c>
      <c r="B653" s="40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8" t="b" cm="1">
        <f t="array" ref="AE653">IFERROR(_xlfn.BYROW(TRACK_TYPES[[#This Row],[TRACK_TYPE_STANDARD_GAUGE_RAILTYPE_OHLE]:[TRACK_TYPE_STANDARD_GAUGE_RAILTYPE_NONE]],_xlfn.LAMBDA(_xlpm.r,OR(_xlpm.r))),FALSE)</f>
        <v>1</v>
      </c>
      <c r="AF653" s="38" t="b" cm="1">
        <f t="array" ref="AF653">IFERROR(_xlfn.BYROW(TRACK_TYPES[[#This Row],[TRACK_TYPE_NARROW_GAUGE_RAILTYPE_OHLE]:[TRACK_TYPE_NARROW_GAUGE_RAILTYPE_NONE]],_xlfn.LAMBDA(_xlpm.r,OR(_xlpm.r))),FALSE)</f>
        <v>1</v>
      </c>
      <c r="AG653" s="38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78</v>
      </c>
      <c r="B654" s="40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8" t="b" cm="1">
        <f t="array" ref="AE654">IFERROR(_xlfn.BYROW(TRACK_TYPES[[#This Row],[TRACK_TYPE_STANDARD_GAUGE_RAILTYPE_OHLE]:[TRACK_TYPE_STANDARD_GAUGE_RAILTYPE_NONE]],_xlfn.LAMBDA(_xlpm.r,OR(_xlpm.r))),FALSE)</f>
        <v>1</v>
      </c>
      <c r="AF654" s="38" t="b" cm="1">
        <f t="array" ref="AF654">IFERROR(_xlfn.BYROW(TRACK_TYPES[[#This Row],[TRACK_TYPE_NARROW_GAUGE_RAILTYPE_OHLE]:[TRACK_TYPE_NARROW_GAUGE_RAILTYPE_NONE]],_xlfn.LAMBDA(_xlpm.r,OR(_xlpm.r))),FALSE)</f>
        <v>1</v>
      </c>
      <c r="AG654" s="38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79</v>
      </c>
      <c r="B655" s="40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8" t="b" cm="1">
        <f t="array" ref="AE655">IFERROR(_xlfn.BYROW(TRACK_TYPES[[#This Row],[TRACK_TYPE_STANDARD_GAUGE_RAILTYPE_OHLE]:[TRACK_TYPE_STANDARD_GAUGE_RAILTYPE_NONE]],_xlfn.LAMBDA(_xlpm.r,OR(_xlpm.r))),FALSE)</f>
        <v>1</v>
      </c>
      <c r="AF655" s="38" t="b" cm="1">
        <f t="array" ref="AF655">IFERROR(_xlfn.BYROW(TRACK_TYPES[[#This Row],[TRACK_TYPE_NARROW_GAUGE_RAILTYPE_OHLE]:[TRACK_TYPE_NARROW_GAUGE_RAILTYPE_NONE]],_xlfn.LAMBDA(_xlpm.r,OR(_xlpm.r))),FALSE)</f>
        <v>1</v>
      </c>
      <c r="AG655" s="38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80</v>
      </c>
      <c r="B656" s="40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8" t="b" cm="1">
        <f t="array" ref="AE656">IFERROR(_xlfn.BYROW(TRACK_TYPES[[#This Row],[TRACK_TYPE_STANDARD_GAUGE_RAILTYPE_OHLE]:[TRACK_TYPE_STANDARD_GAUGE_RAILTYPE_NONE]],_xlfn.LAMBDA(_xlpm.r,OR(_xlpm.r))),FALSE)</f>
        <v>1</v>
      </c>
      <c r="AF656" s="38" t="b" cm="1">
        <f t="array" ref="AF656">IFERROR(_xlfn.BYROW(TRACK_TYPES[[#This Row],[TRACK_TYPE_NARROW_GAUGE_RAILTYPE_OHLE]:[TRACK_TYPE_NARROW_GAUGE_RAILTYPE_NONE]],_xlfn.LAMBDA(_xlpm.r,OR(_xlpm.r))),FALSE)</f>
        <v>1</v>
      </c>
      <c r="AG656" s="38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81</v>
      </c>
      <c r="B657" s="40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8" t="b" cm="1">
        <f t="array" ref="AE657">IFERROR(_xlfn.BYROW(TRACK_TYPES[[#This Row],[TRACK_TYPE_STANDARD_GAUGE_RAILTYPE_OHLE]:[TRACK_TYPE_STANDARD_GAUGE_RAILTYPE_NONE]],_xlfn.LAMBDA(_xlpm.r,OR(_xlpm.r))),FALSE)</f>
        <v>1</v>
      </c>
      <c r="AF657" s="38" t="b" cm="1">
        <f t="array" ref="AF657">IFERROR(_xlfn.BYROW(TRACK_TYPES[[#This Row],[TRACK_TYPE_NARROW_GAUGE_RAILTYPE_OHLE]:[TRACK_TYPE_NARROW_GAUGE_RAILTYPE_NONE]],_xlfn.LAMBDA(_xlpm.r,OR(_xlpm.r))),FALSE)</f>
        <v>1</v>
      </c>
      <c r="AG657" s="38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82</v>
      </c>
      <c r="B658" s="40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8" t="b" cm="1">
        <f t="array" ref="AE658">IFERROR(_xlfn.BYROW(TRACK_TYPES[[#This Row],[TRACK_TYPE_STANDARD_GAUGE_RAILTYPE_OHLE]:[TRACK_TYPE_STANDARD_GAUGE_RAILTYPE_NONE]],_xlfn.LAMBDA(_xlpm.r,OR(_xlpm.r))),FALSE)</f>
        <v>1</v>
      </c>
      <c r="AF658" s="38" t="b" cm="1">
        <f t="array" ref="AF658">IFERROR(_xlfn.BYROW(TRACK_TYPES[[#This Row],[TRACK_TYPE_NARROW_GAUGE_RAILTYPE_OHLE]:[TRACK_TYPE_NARROW_GAUGE_RAILTYPE_NONE]],_xlfn.LAMBDA(_xlpm.r,OR(_xlpm.r))),FALSE)</f>
        <v>1</v>
      </c>
      <c r="AG658" s="38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153</v>
      </c>
      <c r="B659" s="40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8" t="b" cm="1">
        <f t="array" ref="AE659">IFERROR(_xlfn.BYROW(TRACK_TYPES[[#This Row],[TRACK_TYPE_STANDARD_GAUGE_RAILTYPE_OHLE]:[TRACK_TYPE_STANDARD_GAUGE_RAILTYPE_NONE]],_xlfn.LAMBDA(_xlpm.r,OR(_xlpm.r))),FALSE)</f>
        <v>1</v>
      </c>
      <c r="AF659" s="38" t="b" cm="1">
        <f t="array" ref="AF659">IFERROR(_xlfn.BYROW(TRACK_TYPES[[#This Row],[TRACK_TYPE_NARROW_GAUGE_RAILTYPE_OHLE]:[TRACK_TYPE_NARROW_GAUGE_RAILTYPE_NONE]],_xlfn.LAMBDA(_xlpm.r,OR(_xlpm.r))),FALSE)</f>
        <v>1</v>
      </c>
      <c r="AG659" s="38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154</v>
      </c>
      <c r="B660" s="40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8" t="b" cm="1">
        <f t="array" ref="AE660">IFERROR(_xlfn.BYROW(TRACK_TYPES[[#This Row],[TRACK_TYPE_STANDARD_GAUGE_RAILTYPE_OHLE]:[TRACK_TYPE_STANDARD_GAUGE_RAILTYPE_NONE]],_xlfn.LAMBDA(_xlpm.r,OR(_xlpm.r))),FALSE)</f>
        <v>1</v>
      </c>
      <c r="AF660" s="38" t="b" cm="1">
        <f t="array" ref="AF660">IFERROR(_xlfn.BYROW(TRACK_TYPES[[#This Row],[TRACK_TYPE_NARROW_GAUGE_RAILTYPE_OHLE]:[TRACK_TYPE_NARROW_GAUGE_RAILTYPE_NONE]],_xlfn.LAMBDA(_xlpm.r,OR(_xlpm.r))),FALSE)</f>
        <v>1</v>
      </c>
      <c r="AG660" s="38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155</v>
      </c>
      <c r="B661" s="40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8" t="b" cm="1">
        <f t="array" ref="AE661">IFERROR(_xlfn.BYROW(TRACK_TYPES[[#This Row],[TRACK_TYPE_STANDARD_GAUGE_RAILTYPE_OHLE]:[TRACK_TYPE_STANDARD_GAUGE_RAILTYPE_NONE]],_xlfn.LAMBDA(_xlpm.r,OR(_xlpm.r))),FALSE)</f>
        <v>1</v>
      </c>
      <c r="AF661" s="38" t="b" cm="1">
        <f t="array" ref="AF661">IFERROR(_xlfn.BYROW(TRACK_TYPES[[#This Row],[TRACK_TYPE_NARROW_GAUGE_RAILTYPE_OHLE]:[TRACK_TYPE_NARROW_GAUGE_RAILTYPE_NONE]],_xlfn.LAMBDA(_xlpm.r,OR(_xlpm.r))),FALSE)</f>
        <v>1</v>
      </c>
      <c r="AG661" s="38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156</v>
      </c>
      <c r="B662" s="40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8" t="b" cm="1">
        <f t="array" ref="AE662">IFERROR(_xlfn.BYROW(TRACK_TYPES[[#This Row],[TRACK_TYPE_STANDARD_GAUGE_RAILTYPE_OHLE]:[TRACK_TYPE_STANDARD_GAUGE_RAILTYPE_NONE]],_xlfn.LAMBDA(_xlpm.r,OR(_xlpm.r))),FALSE)</f>
        <v>1</v>
      </c>
      <c r="AF662" s="38" t="b" cm="1">
        <f t="array" ref="AF662">IFERROR(_xlfn.BYROW(TRACK_TYPES[[#This Row],[TRACK_TYPE_NARROW_GAUGE_RAILTYPE_OHLE]:[TRACK_TYPE_NARROW_GAUGE_RAILTYPE_NONE]],_xlfn.LAMBDA(_xlpm.r,OR(_xlpm.r))),FALSE)</f>
        <v>1</v>
      </c>
      <c r="AG662" s="38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157</v>
      </c>
      <c r="B663" s="40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8" t="b" cm="1">
        <f t="array" ref="AE663">IFERROR(_xlfn.BYROW(TRACK_TYPES[[#This Row],[TRACK_TYPE_STANDARD_GAUGE_RAILTYPE_OHLE]:[TRACK_TYPE_STANDARD_GAUGE_RAILTYPE_NONE]],_xlfn.LAMBDA(_xlpm.r,OR(_xlpm.r))),FALSE)</f>
        <v>1</v>
      </c>
      <c r="AF663" s="38" t="b" cm="1">
        <f t="array" ref="AF663">IFERROR(_xlfn.BYROW(TRACK_TYPES[[#This Row],[TRACK_TYPE_NARROW_GAUGE_RAILTYPE_OHLE]:[TRACK_TYPE_NARROW_GAUGE_RAILTYPE_NONE]],_xlfn.LAMBDA(_xlpm.r,OR(_xlpm.r))),FALSE)</f>
        <v>1</v>
      </c>
      <c r="AG663" s="38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158</v>
      </c>
      <c r="B664" s="40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8" t="b" cm="1">
        <f t="array" ref="AE664">IFERROR(_xlfn.BYROW(TRACK_TYPES[[#This Row],[TRACK_TYPE_STANDARD_GAUGE_RAILTYPE_OHLE]:[TRACK_TYPE_STANDARD_GAUGE_RAILTYPE_NONE]],_xlfn.LAMBDA(_xlpm.r,OR(_xlpm.r))),FALSE)</f>
        <v>1</v>
      </c>
      <c r="AF664" s="38" t="b" cm="1">
        <f t="array" ref="AF664">IFERROR(_xlfn.BYROW(TRACK_TYPES[[#This Row],[TRACK_TYPE_NARROW_GAUGE_RAILTYPE_OHLE]:[TRACK_TYPE_NARROW_GAUGE_RAILTYPE_NONE]],_xlfn.LAMBDA(_xlpm.r,OR(_xlpm.r))),FALSE)</f>
        <v>1</v>
      </c>
      <c r="AG664" s="38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159</v>
      </c>
      <c r="B665" s="40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8" t="b" cm="1">
        <f t="array" ref="AE665">IFERROR(_xlfn.BYROW(TRACK_TYPES[[#This Row],[TRACK_TYPE_STANDARD_GAUGE_RAILTYPE_OHLE]:[TRACK_TYPE_STANDARD_GAUGE_RAILTYPE_NONE]],_xlfn.LAMBDA(_xlpm.r,OR(_xlpm.r))),FALSE)</f>
        <v>1</v>
      </c>
      <c r="AF665" s="38" t="b" cm="1">
        <f t="array" ref="AF665">IFERROR(_xlfn.BYROW(TRACK_TYPES[[#This Row],[TRACK_TYPE_NARROW_GAUGE_RAILTYPE_OHLE]:[TRACK_TYPE_NARROW_GAUGE_RAILTYPE_NONE]],_xlfn.LAMBDA(_xlpm.r,OR(_xlpm.r))),FALSE)</f>
        <v>1</v>
      </c>
      <c r="AG665" s="38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160</v>
      </c>
      <c r="B666" s="40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8" t="b" cm="1">
        <f t="array" ref="AE666">IFERROR(_xlfn.BYROW(TRACK_TYPES[[#This Row],[TRACK_TYPE_STANDARD_GAUGE_RAILTYPE_OHLE]:[TRACK_TYPE_STANDARD_GAUGE_RAILTYPE_NONE]],_xlfn.LAMBDA(_xlpm.r,OR(_xlpm.r))),FALSE)</f>
        <v>1</v>
      </c>
      <c r="AF666" s="38" t="b" cm="1">
        <f t="array" ref="AF666">IFERROR(_xlfn.BYROW(TRACK_TYPES[[#This Row],[TRACK_TYPE_NARROW_GAUGE_RAILTYPE_OHLE]:[TRACK_TYPE_NARROW_GAUGE_RAILTYPE_NONE]],_xlfn.LAMBDA(_xlpm.r,OR(_xlpm.r))),FALSE)</f>
        <v>1</v>
      </c>
      <c r="AG666" s="38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161</v>
      </c>
      <c r="B667" s="40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8" t="b" cm="1">
        <f t="array" ref="AE667">IFERROR(_xlfn.BYROW(TRACK_TYPES[[#This Row],[TRACK_TYPE_STANDARD_GAUGE_RAILTYPE_OHLE]:[TRACK_TYPE_STANDARD_GAUGE_RAILTYPE_NONE]],_xlfn.LAMBDA(_xlpm.r,OR(_xlpm.r))),FALSE)</f>
        <v>1</v>
      </c>
      <c r="AF667" s="38" t="b" cm="1">
        <f t="array" ref="AF667">IFERROR(_xlfn.BYROW(TRACK_TYPES[[#This Row],[TRACK_TYPE_NARROW_GAUGE_RAILTYPE_OHLE]:[TRACK_TYPE_NARROW_GAUGE_RAILTYPE_NONE]],_xlfn.LAMBDA(_xlpm.r,OR(_xlpm.r))),FALSE)</f>
        <v>1</v>
      </c>
      <c r="AG667" s="38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162</v>
      </c>
      <c r="B668" s="40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8" t="b" cm="1">
        <f t="array" ref="AE668">IFERROR(_xlfn.BYROW(TRACK_TYPES[[#This Row],[TRACK_TYPE_STANDARD_GAUGE_RAILTYPE_OHLE]:[TRACK_TYPE_STANDARD_GAUGE_RAILTYPE_NONE]],_xlfn.LAMBDA(_xlpm.r,OR(_xlpm.r))),FALSE)</f>
        <v>1</v>
      </c>
      <c r="AF668" s="38" t="b" cm="1">
        <f t="array" ref="AF668">IFERROR(_xlfn.BYROW(TRACK_TYPES[[#This Row],[TRACK_TYPE_NARROW_GAUGE_RAILTYPE_OHLE]:[TRACK_TYPE_NARROW_GAUGE_RAILTYPE_NONE]],_xlfn.LAMBDA(_xlpm.r,OR(_xlpm.r))),FALSE)</f>
        <v>1</v>
      </c>
      <c r="AG668" s="38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163</v>
      </c>
      <c r="B669" s="40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8" t="b" cm="1">
        <f t="array" ref="AE669">IFERROR(_xlfn.BYROW(TRACK_TYPES[[#This Row],[TRACK_TYPE_STANDARD_GAUGE_RAILTYPE_OHLE]:[TRACK_TYPE_STANDARD_GAUGE_RAILTYPE_NONE]],_xlfn.LAMBDA(_xlpm.r,OR(_xlpm.r))),FALSE)</f>
        <v>1</v>
      </c>
      <c r="AF669" s="38" t="b" cm="1">
        <f t="array" ref="AF669">IFERROR(_xlfn.BYROW(TRACK_TYPES[[#This Row],[TRACK_TYPE_NARROW_GAUGE_RAILTYPE_OHLE]:[TRACK_TYPE_NARROW_GAUGE_RAILTYPE_NONE]],_xlfn.LAMBDA(_xlpm.r,OR(_xlpm.r))),FALSE)</f>
        <v>1</v>
      </c>
      <c r="AG669" s="38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164</v>
      </c>
      <c r="B670" s="40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8" t="b" cm="1">
        <f t="array" ref="AE670">IFERROR(_xlfn.BYROW(TRACK_TYPES[[#This Row],[TRACK_TYPE_STANDARD_GAUGE_RAILTYPE_OHLE]:[TRACK_TYPE_STANDARD_GAUGE_RAILTYPE_NONE]],_xlfn.LAMBDA(_xlpm.r,OR(_xlpm.r))),FALSE)</f>
        <v>1</v>
      </c>
      <c r="AF670" s="38" t="b" cm="1">
        <f t="array" ref="AF670">IFERROR(_xlfn.BYROW(TRACK_TYPES[[#This Row],[TRACK_TYPE_NARROW_GAUGE_RAILTYPE_OHLE]:[TRACK_TYPE_NARROW_GAUGE_RAILTYPE_NONE]],_xlfn.LAMBDA(_xlpm.r,OR(_xlpm.r))),FALSE)</f>
        <v>1</v>
      </c>
      <c r="AG670" s="38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165</v>
      </c>
      <c r="B671" s="40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8" t="b" cm="1">
        <f t="array" ref="AE671">IFERROR(_xlfn.BYROW(TRACK_TYPES[[#This Row],[TRACK_TYPE_STANDARD_GAUGE_RAILTYPE_OHLE]:[TRACK_TYPE_STANDARD_GAUGE_RAILTYPE_NONE]],_xlfn.LAMBDA(_xlpm.r,OR(_xlpm.r))),FALSE)</f>
        <v>1</v>
      </c>
      <c r="AF671" s="38" t="b" cm="1">
        <f t="array" ref="AF671">IFERROR(_xlfn.BYROW(TRACK_TYPES[[#This Row],[TRACK_TYPE_NARROW_GAUGE_RAILTYPE_OHLE]:[TRACK_TYPE_NARROW_GAUGE_RAILTYPE_NONE]],_xlfn.LAMBDA(_xlpm.r,OR(_xlpm.r))),FALSE)</f>
        <v>1</v>
      </c>
      <c r="AG671" s="38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166</v>
      </c>
      <c r="B672" s="40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8" t="b" cm="1">
        <f t="array" ref="AE672">IFERROR(_xlfn.BYROW(TRACK_TYPES[[#This Row],[TRACK_TYPE_STANDARD_GAUGE_RAILTYPE_OHLE]:[TRACK_TYPE_STANDARD_GAUGE_RAILTYPE_NONE]],_xlfn.LAMBDA(_xlpm.r,OR(_xlpm.r))),FALSE)</f>
        <v>1</v>
      </c>
      <c r="AF672" s="38" t="b" cm="1">
        <f t="array" ref="AF672">IFERROR(_xlfn.BYROW(TRACK_TYPES[[#This Row],[TRACK_TYPE_NARROW_GAUGE_RAILTYPE_OHLE]:[TRACK_TYPE_NARROW_GAUGE_RAILTYPE_NONE]],_xlfn.LAMBDA(_xlpm.r,OR(_xlpm.r))),FALSE)</f>
        <v>1</v>
      </c>
      <c r="AG672" s="38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167</v>
      </c>
      <c r="B673" s="40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8" t="b" cm="1">
        <f t="array" ref="AE673">IFERROR(_xlfn.BYROW(TRACK_TYPES[[#This Row],[TRACK_TYPE_STANDARD_GAUGE_RAILTYPE_OHLE]:[TRACK_TYPE_STANDARD_GAUGE_RAILTYPE_NONE]],_xlfn.LAMBDA(_xlpm.r,OR(_xlpm.r))),FALSE)</f>
        <v>1</v>
      </c>
      <c r="AF673" s="38" t="b" cm="1">
        <f t="array" ref="AF673">IFERROR(_xlfn.BYROW(TRACK_TYPES[[#This Row],[TRACK_TYPE_NARROW_GAUGE_RAILTYPE_OHLE]:[TRACK_TYPE_NARROW_GAUGE_RAILTYPE_NONE]],_xlfn.LAMBDA(_xlpm.r,OR(_xlpm.r))),FALSE)</f>
        <v>1</v>
      </c>
      <c r="AG673" s="38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168</v>
      </c>
      <c r="B674" s="40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8" t="b" cm="1">
        <f t="array" ref="AE674">IFERROR(_xlfn.BYROW(TRACK_TYPES[[#This Row],[TRACK_TYPE_STANDARD_GAUGE_RAILTYPE_OHLE]:[TRACK_TYPE_STANDARD_GAUGE_RAILTYPE_NONE]],_xlfn.LAMBDA(_xlpm.r,OR(_xlpm.r))),FALSE)</f>
        <v>1</v>
      </c>
      <c r="AF674" s="38" t="b" cm="1">
        <f t="array" ref="AF674">IFERROR(_xlfn.BYROW(TRACK_TYPES[[#This Row],[TRACK_TYPE_NARROW_GAUGE_RAILTYPE_OHLE]:[TRACK_TYPE_NARROW_GAUGE_RAILTYPE_NONE]],_xlfn.LAMBDA(_xlpm.r,OR(_xlpm.r))),FALSE)</f>
        <v>1</v>
      </c>
      <c r="AG674" s="38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169</v>
      </c>
      <c r="B675" s="40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8" t="b" cm="1">
        <f t="array" ref="AE675">IFERROR(_xlfn.BYROW(TRACK_TYPES[[#This Row],[TRACK_TYPE_STANDARD_GAUGE_RAILTYPE_OHLE]:[TRACK_TYPE_STANDARD_GAUGE_RAILTYPE_NONE]],_xlfn.LAMBDA(_xlpm.r,OR(_xlpm.r))),FALSE)</f>
        <v>1</v>
      </c>
      <c r="AF675" s="38" t="b" cm="1">
        <f t="array" ref="AF675">IFERROR(_xlfn.BYROW(TRACK_TYPES[[#This Row],[TRACK_TYPE_NARROW_GAUGE_RAILTYPE_OHLE]:[TRACK_TYPE_NARROW_GAUGE_RAILTYPE_NONE]],_xlfn.LAMBDA(_xlpm.r,OR(_xlpm.r))),FALSE)</f>
        <v>1</v>
      </c>
      <c r="AG675" s="38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170</v>
      </c>
      <c r="B676" s="40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8" t="b" cm="1">
        <f t="array" ref="AE676">IFERROR(_xlfn.BYROW(TRACK_TYPES[[#This Row],[TRACK_TYPE_STANDARD_GAUGE_RAILTYPE_OHLE]:[TRACK_TYPE_STANDARD_GAUGE_RAILTYPE_NONE]],_xlfn.LAMBDA(_xlpm.r,OR(_xlpm.r))),FALSE)</f>
        <v>1</v>
      </c>
      <c r="AF676" s="38" t="b" cm="1">
        <f t="array" ref="AF676">IFERROR(_xlfn.BYROW(TRACK_TYPES[[#This Row],[TRACK_TYPE_NARROW_GAUGE_RAILTYPE_OHLE]:[TRACK_TYPE_NARROW_GAUGE_RAILTYPE_NONE]],_xlfn.LAMBDA(_xlpm.r,OR(_xlpm.r))),FALSE)</f>
        <v>1</v>
      </c>
      <c r="AG676" s="38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171</v>
      </c>
      <c r="B677" s="40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8" t="b" cm="1">
        <f t="array" ref="AE677">IFERROR(_xlfn.BYROW(TRACK_TYPES[[#This Row],[TRACK_TYPE_STANDARD_GAUGE_RAILTYPE_OHLE]:[TRACK_TYPE_STANDARD_GAUGE_RAILTYPE_NONE]],_xlfn.LAMBDA(_xlpm.r,OR(_xlpm.r))),FALSE)</f>
        <v>1</v>
      </c>
      <c r="AF677" s="38" t="b" cm="1">
        <f t="array" ref="AF677">IFERROR(_xlfn.BYROW(TRACK_TYPES[[#This Row],[TRACK_TYPE_NARROW_GAUGE_RAILTYPE_OHLE]:[TRACK_TYPE_NARROW_GAUGE_RAILTYPE_NONE]],_xlfn.LAMBDA(_xlpm.r,OR(_xlpm.r))),FALSE)</f>
        <v>1</v>
      </c>
      <c r="AG677" s="38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172</v>
      </c>
      <c r="B678" s="40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8" t="b" cm="1">
        <f t="array" ref="AE678">IFERROR(_xlfn.BYROW(TRACK_TYPES[[#This Row],[TRACK_TYPE_STANDARD_GAUGE_RAILTYPE_OHLE]:[TRACK_TYPE_STANDARD_GAUGE_RAILTYPE_NONE]],_xlfn.LAMBDA(_xlpm.r,OR(_xlpm.r))),FALSE)</f>
        <v>1</v>
      </c>
      <c r="AF678" s="38" t="b" cm="1">
        <f t="array" ref="AF678">IFERROR(_xlfn.BYROW(TRACK_TYPES[[#This Row],[TRACK_TYPE_NARROW_GAUGE_RAILTYPE_OHLE]:[TRACK_TYPE_NARROW_GAUGE_RAILTYPE_NONE]],_xlfn.LAMBDA(_xlpm.r,OR(_xlpm.r))),FALSE)</f>
        <v>1</v>
      </c>
      <c r="AG678" s="38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173</v>
      </c>
      <c r="B679" s="40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8" t="b" cm="1">
        <f t="array" ref="AE679">IFERROR(_xlfn.BYROW(TRACK_TYPES[[#This Row],[TRACK_TYPE_STANDARD_GAUGE_RAILTYPE_OHLE]:[TRACK_TYPE_STANDARD_GAUGE_RAILTYPE_NONE]],_xlfn.LAMBDA(_xlpm.r,OR(_xlpm.r))),FALSE)</f>
        <v>1</v>
      </c>
      <c r="AF679" s="38" t="b" cm="1">
        <f t="array" ref="AF679">IFERROR(_xlfn.BYROW(TRACK_TYPES[[#This Row],[TRACK_TYPE_NARROW_GAUGE_RAILTYPE_OHLE]:[TRACK_TYPE_NARROW_GAUGE_RAILTYPE_NONE]],_xlfn.LAMBDA(_xlpm.r,OR(_xlpm.r))),FALSE)</f>
        <v>1</v>
      </c>
      <c r="AG679" s="38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174</v>
      </c>
      <c r="B680" s="40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8" t="b" cm="1">
        <f t="array" ref="AE680">IFERROR(_xlfn.BYROW(TRACK_TYPES[[#This Row],[TRACK_TYPE_STANDARD_GAUGE_RAILTYPE_OHLE]:[TRACK_TYPE_STANDARD_GAUGE_RAILTYPE_NONE]],_xlfn.LAMBDA(_xlpm.r,OR(_xlpm.r))),FALSE)</f>
        <v>1</v>
      </c>
      <c r="AF680" s="38" t="b" cm="1">
        <f t="array" ref="AF680">IFERROR(_xlfn.BYROW(TRACK_TYPES[[#This Row],[TRACK_TYPE_NARROW_GAUGE_RAILTYPE_OHLE]:[TRACK_TYPE_NARROW_GAUGE_RAILTYPE_NONE]],_xlfn.LAMBDA(_xlpm.r,OR(_xlpm.r))),FALSE)</f>
        <v>1</v>
      </c>
      <c r="AG680" s="38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175</v>
      </c>
      <c r="B681" s="40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8" t="b" cm="1">
        <f t="array" ref="AE681">IFERROR(_xlfn.BYROW(TRACK_TYPES[[#This Row],[TRACK_TYPE_STANDARD_GAUGE_RAILTYPE_OHLE]:[TRACK_TYPE_STANDARD_GAUGE_RAILTYPE_NONE]],_xlfn.LAMBDA(_xlpm.r,OR(_xlpm.r))),FALSE)</f>
        <v>1</v>
      </c>
      <c r="AF681" s="38" t="b" cm="1">
        <f t="array" ref="AF681">IFERROR(_xlfn.BYROW(TRACK_TYPES[[#This Row],[TRACK_TYPE_NARROW_GAUGE_RAILTYPE_OHLE]:[TRACK_TYPE_NARROW_GAUGE_RAILTYPE_NONE]],_xlfn.LAMBDA(_xlpm.r,OR(_xlpm.r))),FALSE)</f>
        <v>1</v>
      </c>
      <c r="AG681" s="38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176</v>
      </c>
      <c r="B682" s="40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8" t="b" cm="1">
        <f t="array" ref="AE682">IFERROR(_xlfn.BYROW(TRACK_TYPES[[#This Row],[TRACK_TYPE_STANDARD_GAUGE_RAILTYPE_OHLE]:[TRACK_TYPE_STANDARD_GAUGE_RAILTYPE_NONE]],_xlfn.LAMBDA(_xlpm.r,OR(_xlpm.r))),FALSE)</f>
        <v>1</v>
      </c>
      <c r="AF682" s="38" t="b" cm="1">
        <f t="array" ref="AF682">IFERROR(_xlfn.BYROW(TRACK_TYPES[[#This Row],[TRACK_TYPE_NARROW_GAUGE_RAILTYPE_OHLE]:[TRACK_TYPE_NARROW_GAUGE_RAILTYPE_NONE]],_xlfn.LAMBDA(_xlpm.r,OR(_xlpm.r))),FALSE)</f>
        <v>1</v>
      </c>
      <c r="AG682" s="38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177</v>
      </c>
      <c r="B683" s="40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8" t="b" cm="1">
        <f t="array" ref="AE683">IFERROR(_xlfn.BYROW(TRACK_TYPES[[#This Row],[TRACK_TYPE_STANDARD_GAUGE_RAILTYPE_OHLE]:[TRACK_TYPE_STANDARD_GAUGE_RAILTYPE_NONE]],_xlfn.LAMBDA(_xlpm.r,OR(_xlpm.r))),FALSE)</f>
        <v>1</v>
      </c>
      <c r="AF683" s="38" t="b" cm="1">
        <f t="array" ref="AF683">IFERROR(_xlfn.BYROW(TRACK_TYPES[[#This Row],[TRACK_TYPE_NARROW_GAUGE_RAILTYPE_OHLE]:[TRACK_TYPE_NARROW_GAUGE_RAILTYPE_NONE]],_xlfn.LAMBDA(_xlpm.r,OR(_xlpm.r))),FALSE)</f>
        <v>1</v>
      </c>
      <c r="AG683" s="38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178</v>
      </c>
      <c r="B684" s="40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8" t="b" cm="1">
        <f t="array" ref="AE684">IFERROR(_xlfn.BYROW(TRACK_TYPES[[#This Row],[TRACK_TYPE_STANDARD_GAUGE_RAILTYPE_OHLE]:[TRACK_TYPE_STANDARD_GAUGE_RAILTYPE_NONE]],_xlfn.LAMBDA(_xlpm.r,OR(_xlpm.r))),FALSE)</f>
        <v>1</v>
      </c>
      <c r="AF684" s="38" t="b" cm="1">
        <f t="array" ref="AF684">IFERROR(_xlfn.BYROW(TRACK_TYPES[[#This Row],[TRACK_TYPE_NARROW_GAUGE_RAILTYPE_OHLE]:[TRACK_TYPE_NARROW_GAUGE_RAILTYPE_NONE]],_xlfn.LAMBDA(_xlpm.r,OR(_xlpm.r))),FALSE)</f>
        <v>1</v>
      </c>
      <c r="AG684" s="38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179</v>
      </c>
      <c r="B685" s="40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8" t="b" cm="1">
        <f t="array" ref="AE685">IFERROR(_xlfn.BYROW(TRACK_TYPES[[#This Row],[TRACK_TYPE_STANDARD_GAUGE_RAILTYPE_OHLE]:[TRACK_TYPE_STANDARD_GAUGE_RAILTYPE_NONE]],_xlfn.LAMBDA(_xlpm.r,OR(_xlpm.r))),FALSE)</f>
        <v>1</v>
      </c>
      <c r="AF685" s="38" t="b" cm="1">
        <f t="array" ref="AF685">IFERROR(_xlfn.BYROW(TRACK_TYPES[[#This Row],[TRACK_TYPE_NARROW_GAUGE_RAILTYPE_OHLE]:[TRACK_TYPE_NARROW_GAUGE_RAILTYPE_NONE]],_xlfn.LAMBDA(_xlpm.r,OR(_xlpm.r))),FALSE)</f>
        <v>1</v>
      </c>
      <c r="AG685" s="38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180</v>
      </c>
      <c r="B686" s="40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8" t="b" cm="1">
        <f t="array" ref="AE686">IFERROR(_xlfn.BYROW(TRACK_TYPES[[#This Row],[TRACK_TYPE_STANDARD_GAUGE_RAILTYPE_OHLE]:[TRACK_TYPE_STANDARD_GAUGE_RAILTYPE_NONE]],_xlfn.LAMBDA(_xlpm.r,OR(_xlpm.r))),FALSE)</f>
        <v>1</v>
      </c>
      <c r="AF686" s="38" t="b" cm="1">
        <f t="array" ref="AF686">IFERROR(_xlfn.BYROW(TRACK_TYPES[[#This Row],[TRACK_TYPE_NARROW_GAUGE_RAILTYPE_OHLE]:[TRACK_TYPE_NARROW_GAUGE_RAILTYPE_NONE]],_xlfn.LAMBDA(_xlpm.r,OR(_xlpm.r))),FALSE)</f>
        <v>1</v>
      </c>
      <c r="AG686" s="38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181</v>
      </c>
      <c r="B687" s="40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8" t="b" cm="1">
        <f t="array" ref="AE687">IFERROR(_xlfn.BYROW(TRACK_TYPES[[#This Row],[TRACK_TYPE_STANDARD_GAUGE_RAILTYPE_OHLE]:[TRACK_TYPE_STANDARD_GAUGE_RAILTYPE_NONE]],_xlfn.LAMBDA(_xlpm.r,OR(_xlpm.r))),FALSE)</f>
        <v>1</v>
      </c>
      <c r="AF687" s="38" t="b" cm="1">
        <f t="array" ref="AF687">IFERROR(_xlfn.BYROW(TRACK_TYPES[[#This Row],[TRACK_TYPE_NARROW_GAUGE_RAILTYPE_OHLE]:[TRACK_TYPE_NARROW_GAUGE_RAILTYPE_NONE]],_xlfn.LAMBDA(_xlpm.r,OR(_xlpm.r))),FALSE)</f>
        <v>1</v>
      </c>
      <c r="AG687" s="38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182</v>
      </c>
      <c r="B688" s="40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8" t="b" cm="1">
        <f t="array" ref="AE688">IFERROR(_xlfn.BYROW(TRACK_TYPES[[#This Row],[TRACK_TYPE_STANDARD_GAUGE_RAILTYPE_OHLE]:[TRACK_TYPE_STANDARD_GAUGE_RAILTYPE_NONE]],_xlfn.LAMBDA(_xlpm.r,OR(_xlpm.r))),FALSE)</f>
        <v>1</v>
      </c>
      <c r="AF688" s="38" t="b" cm="1">
        <f t="array" ref="AF688">IFERROR(_xlfn.BYROW(TRACK_TYPES[[#This Row],[TRACK_TYPE_NARROW_GAUGE_RAILTYPE_OHLE]:[TRACK_TYPE_NARROW_GAUGE_RAILTYPE_NONE]],_xlfn.LAMBDA(_xlpm.r,OR(_xlpm.r))),FALSE)</f>
        <v>1</v>
      </c>
      <c r="AG688" s="38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183</v>
      </c>
      <c r="B689" s="40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8" t="b" cm="1">
        <f t="array" ref="AE689">IFERROR(_xlfn.BYROW(TRACK_TYPES[[#This Row],[TRACK_TYPE_STANDARD_GAUGE_RAILTYPE_OHLE]:[TRACK_TYPE_STANDARD_GAUGE_RAILTYPE_NONE]],_xlfn.LAMBDA(_xlpm.r,OR(_xlpm.r))),FALSE)</f>
        <v>1</v>
      </c>
      <c r="AF689" s="38" t="b" cm="1">
        <f t="array" ref="AF689">IFERROR(_xlfn.BYROW(TRACK_TYPES[[#This Row],[TRACK_TYPE_NARROW_GAUGE_RAILTYPE_OHLE]:[TRACK_TYPE_NARROW_GAUGE_RAILTYPE_NONE]],_xlfn.LAMBDA(_xlpm.r,OR(_xlpm.r))),FALSE)</f>
        <v>1</v>
      </c>
      <c r="AG689" s="38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184</v>
      </c>
      <c r="B690" s="40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8" t="b" cm="1">
        <f t="array" ref="AE690">IFERROR(_xlfn.BYROW(TRACK_TYPES[[#This Row],[TRACK_TYPE_STANDARD_GAUGE_RAILTYPE_OHLE]:[TRACK_TYPE_STANDARD_GAUGE_RAILTYPE_NONE]],_xlfn.LAMBDA(_xlpm.r,OR(_xlpm.r))),FALSE)</f>
        <v>1</v>
      </c>
      <c r="AF690" s="38" t="b" cm="1">
        <f t="array" ref="AF690">IFERROR(_xlfn.BYROW(TRACK_TYPES[[#This Row],[TRACK_TYPE_NARROW_GAUGE_RAILTYPE_OHLE]:[TRACK_TYPE_NARROW_GAUGE_RAILTYPE_NONE]],_xlfn.LAMBDA(_xlpm.r,OR(_xlpm.r))),FALSE)</f>
        <v>1</v>
      </c>
      <c r="AG690" s="38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185</v>
      </c>
      <c r="B691" s="40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8" t="b" cm="1">
        <f t="array" ref="AE691">IFERROR(_xlfn.BYROW(TRACK_TYPES[[#This Row],[TRACK_TYPE_STANDARD_GAUGE_RAILTYPE_OHLE]:[TRACK_TYPE_STANDARD_GAUGE_RAILTYPE_NONE]],_xlfn.LAMBDA(_xlpm.r,OR(_xlpm.r))),FALSE)</f>
        <v>1</v>
      </c>
      <c r="AF691" s="38" t="b" cm="1">
        <f t="array" ref="AF691">IFERROR(_xlfn.BYROW(TRACK_TYPES[[#This Row],[TRACK_TYPE_NARROW_GAUGE_RAILTYPE_OHLE]:[TRACK_TYPE_NARROW_GAUGE_RAILTYPE_NONE]],_xlfn.LAMBDA(_xlpm.r,OR(_xlpm.r))),FALSE)</f>
        <v>1</v>
      </c>
      <c r="AG691" s="38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186</v>
      </c>
      <c r="B692" s="40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8" t="b" cm="1">
        <f t="array" ref="AE692">IFERROR(_xlfn.BYROW(TRACK_TYPES[[#This Row],[TRACK_TYPE_STANDARD_GAUGE_RAILTYPE_OHLE]:[TRACK_TYPE_STANDARD_GAUGE_RAILTYPE_NONE]],_xlfn.LAMBDA(_xlpm.r,OR(_xlpm.r))),FALSE)</f>
        <v>1</v>
      </c>
      <c r="AF692" s="38" t="b" cm="1">
        <f t="array" ref="AF692">IFERROR(_xlfn.BYROW(TRACK_TYPES[[#This Row],[TRACK_TYPE_NARROW_GAUGE_RAILTYPE_OHLE]:[TRACK_TYPE_NARROW_GAUGE_RAILTYPE_NONE]],_xlfn.LAMBDA(_xlpm.r,OR(_xlpm.r))),FALSE)</f>
        <v>1</v>
      </c>
      <c r="AG692" s="38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187</v>
      </c>
      <c r="B693" s="40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8" t="b" cm="1">
        <f t="array" ref="AE693">IFERROR(_xlfn.BYROW(TRACK_TYPES[[#This Row],[TRACK_TYPE_STANDARD_GAUGE_RAILTYPE_OHLE]:[TRACK_TYPE_STANDARD_GAUGE_RAILTYPE_NONE]],_xlfn.LAMBDA(_xlpm.r,OR(_xlpm.r))),FALSE)</f>
        <v>1</v>
      </c>
      <c r="AF693" s="38" t="b" cm="1">
        <f t="array" ref="AF693">IFERROR(_xlfn.BYROW(TRACK_TYPES[[#This Row],[TRACK_TYPE_NARROW_GAUGE_RAILTYPE_OHLE]:[TRACK_TYPE_NARROW_GAUGE_RAILTYPE_NONE]],_xlfn.LAMBDA(_xlpm.r,OR(_xlpm.r))),FALSE)</f>
        <v>1</v>
      </c>
      <c r="AG693" s="38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188</v>
      </c>
      <c r="B694" s="40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8" t="b" cm="1">
        <f t="array" ref="AE694">IFERROR(_xlfn.BYROW(TRACK_TYPES[[#This Row],[TRACK_TYPE_STANDARD_GAUGE_RAILTYPE_OHLE]:[TRACK_TYPE_STANDARD_GAUGE_RAILTYPE_NONE]],_xlfn.LAMBDA(_xlpm.r,OR(_xlpm.r))),FALSE)</f>
        <v>1</v>
      </c>
      <c r="AF694" s="38" t="b" cm="1">
        <f t="array" ref="AF694">IFERROR(_xlfn.BYROW(TRACK_TYPES[[#This Row],[TRACK_TYPE_NARROW_GAUGE_RAILTYPE_OHLE]:[TRACK_TYPE_NARROW_GAUGE_RAILTYPE_NONE]],_xlfn.LAMBDA(_xlpm.r,OR(_xlpm.r))),FALSE)</f>
        <v>1</v>
      </c>
      <c r="AG694" s="38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189</v>
      </c>
      <c r="B695" s="40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8" t="b" cm="1">
        <f t="array" ref="AE695">IFERROR(_xlfn.BYROW(TRACK_TYPES[[#This Row],[TRACK_TYPE_STANDARD_GAUGE_RAILTYPE_OHLE]:[TRACK_TYPE_STANDARD_GAUGE_RAILTYPE_NONE]],_xlfn.LAMBDA(_xlpm.r,OR(_xlpm.r))),FALSE)</f>
        <v>1</v>
      </c>
      <c r="AF695" s="38" t="b" cm="1">
        <f t="array" ref="AF695">IFERROR(_xlfn.BYROW(TRACK_TYPES[[#This Row],[TRACK_TYPE_NARROW_GAUGE_RAILTYPE_OHLE]:[TRACK_TYPE_NARROW_GAUGE_RAILTYPE_NONE]],_xlfn.LAMBDA(_xlpm.r,OR(_xlpm.r))),FALSE)</f>
        <v>1</v>
      </c>
      <c r="AG695" s="38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190</v>
      </c>
      <c r="B696" s="40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8" t="b" cm="1">
        <f t="array" ref="AE696">IFERROR(_xlfn.BYROW(TRACK_TYPES[[#This Row],[TRACK_TYPE_STANDARD_GAUGE_RAILTYPE_OHLE]:[TRACK_TYPE_STANDARD_GAUGE_RAILTYPE_NONE]],_xlfn.LAMBDA(_xlpm.r,OR(_xlpm.r))),FALSE)</f>
        <v>1</v>
      </c>
      <c r="AF696" s="38" t="b" cm="1">
        <f t="array" ref="AF696">IFERROR(_xlfn.BYROW(TRACK_TYPES[[#This Row],[TRACK_TYPE_NARROW_GAUGE_RAILTYPE_OHLE]:[TRACK_TYPE_NARROW_GAUGE_RAILTYPE_NONE]],_xlfn.LAMBDA(_xlpm.r,OR(_xlpm.r))),FALSE)</f>
        <v>1</v>
      </c>
      <c r="AG696" s="38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191</v>
      </c>
      <c r="B697" s="40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8" t="b" cm="1">
        <f t="array" ref="AE697">IFERROR(_xlfn.BYROW(TRACK_TYPES[[#This Row],[TRACK_TYPE_STANDARD_GAUGE_RAILTYPE_OHLE]:[TRACK_TYPE_STANDARD_GAUGE_RAILTYPE_NONE]],_xlfn.LAMBDA(_xlpm.r,OR(_xlpm.r))),FALSE)</f>
        <v>1</v>
      </c>
      <c r="AF697" s="38" t="b" cm="1">
        <f t="array" ref="AF697">IFERROR(_xlfn.BYROW(TRACK_TYPES[[#This Row],[TRACK_TYPE_NARROW_GAUGE_RAILTYPE_OHLE]:[TRACK_TYPE_NARROW_GAUGE_RAILTYPE_NONE]],_xlfn.LAMBDA(_xlpm.r,OR(_xlpm.r))),FALSE)</f>
        <v>1</v>
      </c>
      <c r="AG697" s="38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192</v>
      </c>
      <c r="B698" s="40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8" t="b" cm="1">
        <f t="array" ref="AE698">IFERROR(_xlfn.BYROW(TRACK_TYPES[[#This Row],[TRACK_TYPE_STANDARD_GAUGE_RAILTYPE_OHLE]:[TRACK_TYPE_STANDARD_GAUGE_RAILTYPE_NONE]],_xlfn.LAMBDA(_xlpm.r,OR(_xlpm.r))),FALSE)</f>
        <v>1</v>
      </c>
      <c r="AF698" s="38" t="b" cm="1">
        <f t="array" ref="AF698">IFERROR(_xlfn.BYROW(TRACK_TYPES[[#This Row],[TRACK_TYPE_NARROW_GAUGE_RAILTYPE_OHLE]:[TRACK_TYPE_NARROW_GAUGE_RAILTYPE_NONE]],_xlfn.LAMBDA(_xlpm.r,OR(_xlpm.r))),FALSE)</f>
        <v>1</v>
      </c>
      <c r="AG698" s="38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193</v>
      </c>
      <c r="B699" s="40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8" t="b" cm="1">
        <f t="array" ref="AE699">IFERROR(_xlfn.BYROW(TRACK_TYPES[[#This Row],[TRACK_TYPE_STANDARD_GAUGE_RAILTYPE_OHLE]:[TRACK_TYPE_STANDARD_GAUGE_RAILTYPE_NONE]],_xlfn.LAMBDA(_xlpm.r,OR(_xlpm.r))),FALSE)</f>
        <v>1</v>
      </c>
      <c r="AF699" s="38" t="b" cm="1">
        <f t="array" ref="AF699">IFERROR(_xlfn.BYROW(TRACK_TYPES[[#This Row],[TRACK_TYPE_NARROW_GAUGE_RAILTYPE_OHLE]:[TRACK_TYPE_NARROW_GAUGE_RAILTYPE_NONE]],_xlfn.LAMBDA(_xlpm.r,OR(_xlpm.r))),FALSE)</f>
        <v>1</v>
      </c>
      <c r="AG699" s="38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194</v>
      </c>
      <c r="B700" s="40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8" t="b" cm="1">
        <f t="array" ref="AE700">IFERROR(_xlfn.BYROW(TRACK_TYPES[[#This Row],[TRACK_TYPE_STANDARD_GAUGE_RAILTYPE_OHLE]:[TRACK_TYPE_STANDARD_GAUGE_RAILTYPE_NONE]],_xlfn.LAMBDA(_xlpm.r,OR(_xlpm.r))),FALSE)</f>
        <v>1</v>
      </c>
      <c r="AF700" s="38" t="b" cm="1">
        <f t="array" ref="AF700">IFERROR(_xlfn.BYROW(TRACK_TYPES[[#This Row],[TRACK_TYPE_NARROW_GAUGE_RAILTYPE_OHLE]:[TRACK_TYPE_NARROW_GAUGE_RAILTYPE_NONE]],_xlfn.LAMBDA(_xlpm.r,OR(_xlpm.r))),FALSE)</f>
        <v>1</v>
      </c>
      <c r="AG700" s="38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195</v>
      </c>
      <c r="B701" s="40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8" t="b" cm="1">
        <f t="array" ref="AE701">IFERROR(_xlfn.BYROW(TRACK_TYPES[[#This Row],[TRACK_TYPE_STANDARD_GAUGE_RAILTYPE_OHLE]:[TRACK_TYPE_STANDARD_GAUGE_RAILTYPE_NONE]],_xlfn.LAMBDA(_xlpm.r,OR(_xlpm.r))),FALSE)</f>
        <v>1</v>
      </c>
      <c r="AF701" s="38" t="b" cm="1">
        <f t="array" ref="AF701">IFERROR(_xlfn.BYROW(TRACK_TYPES[[#This Row],[TRACK_TYPE_NARROW_GAUGE_RAILTYPE_OHLE]:[TRACK_TYPE_NARROW_GAUGE_RAILTYPE_NONE]],_xlfn.LAMBDA(_xlpm.r,OR(_xlpm.r))),FALSE)</f>
        <v>1</v>
      </c>
      <c r="AG701" s="38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196</v>
      </c>
      <c r="B702" s="40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8" t="b" cm="1">
        <f t="array" ref="AE702">IFERROR(_xlfn.BYROW(TRACK_TYPES[[#This Row],[TRACK_TYPE_STANDARD_GAUGE_RAILTYPE_OHLE]:[TRACK_TYPE_STANDARD_GAUGE_RAILTYPE_NONE]],_xlfn.LAMBDA(_xlpm.r,OR(_xlpm.r))),FALSE)</f>
        <v>1</v>
      </c>
      <c r="AF702" s="38" t="b" cm="1">
        <f t="array" ref="AF702">IFERROR(_xlfn.BYROW(TRACK_TYPES[[#This Row],[TRACK_TYPE_NARROW_GAUGE_RAILTYPE_OHLE]:[TRACK_TYPE_NARROW_GAUGE_RAILTYPE_NONE]],_xlfn.LAMBDA(_xlpm.r,OR(_xlpm.r))),FALSE)</f>
        <v>1</v>
      </c>
      <c r="AG702" s="38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197</v>
      </c>
      <c r="B703" s="40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8" t="b" cm="1">
        <f t="array" ref="AE703">IFERROR(_xlfn.BYROW(TRACK_TYPES[[#This Row],[TRACK_TYPE_STANDARD_GAUGE_RAILTYPE_OHLE]:[TRACK_TYPE_STANDARD_GAUGE_RAILTYPE_NONE]],_xlfn.LAMBDA(_xlpm.r,OR(_xlpm.r))),FALSE)</f>
        <v>1</v>
      </c>
      <c r="AF703" s="38" t="b" cm="1">
        <f t="array" ref="AF703">IFERROR(_xlfn.BYROW(TRACK_TYPES[[#This Row],[TRACK_TYPE_NARROW_GAUGE_RAILTYPE_OHLE]:[TRACK_TYPE_NARROW_GAUGE_RAILTYPE_NONE]],_xlfn.LAMBDA(_xlpm.r,OR(_xlpm.r))),FALSE)</f>
        <v>1</v>
      </c>
      <c r="AG703" s="38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198</v>
      </c>
      <c r="B704" s="40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8" t="b" cm="1">
        <f t="array" ref="AE704">IFERROR(_xlfn.BYROW(TRACK_TYPES[[#This Row],[TRACK_TYPE_STANDARD_GAUGE_RAILTYPE_OHLE]:[TRACK_TYPE_STANDARD_GAUGE_RAILTYPE_NONE]],_xlfn.LAMBDA(_xlpm.r,OR(_xlpm.r))),FALSE)</f>
        <v>1</v>
      </c>
      <c r="AF704" s="38" t="b" cm="1">
        <f t="array" ref="AF704">IFERROR(_xlfn.BYROW(TRACK_TYPES[[#This Row],[TRACK_TYPE_NARROW_GAUGE_RAILTYPE_OHLE]:[TRACK_TYPE_NARROW_GAUGE_RAILTYPE_NONE]],_xlfn.LAMBDA(_xlpm.r,OR(_xlpm.r))),FALSE)</f>
        <v>1</v>
      </c>
      <c r="AG704" s="38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199</v>
      </c>
      <c r="B705" s="40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8" t="b" cm="1">
        <f t="array" ref="AE705">IFERROR(_xlfn.BYROW(TRACK_TYPES[[#This Row],[TRACK_TYPE_STANDARD_GAUGE_RAILTYPE_OHLE]:[TRACK_TYPE_STANDARD_GAUGE_RAILTYPE_NONE]],_xlfn.LAMBDA(_xlpm.r,OR(_xlpm.r))),FALSE)</f>
        <v>1</v>
      </c>
      <c r="AF705" s="38" t="b" cm="1">
        <f t="array" ref="AF705">IFERROR(_xlfn.BYROW(TRACK_TYPES[[#This Row],[TRACK_TYPE_NARROW_GAUGE_RAILTYPE_OHLE]:[TRACK_TYPE_NARROW_GAUGE_RAILTYPE_NONE]],_xlfn.LAMBDA(_xlpm.r,OR(_xlpm.r))),FALSE)</f>
        <v>1</v>
      </c>
      <c r="AG705" s="38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200</v>
      </c>
      <c r="B706" s="40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8" t="b" cm="1">
        <f t="array" ref="AE706">IFERROR(_xlfn.BYROW(TRACK_TYPES[[#This Row],[TRACK_TYPE_STANDARD_GAUGE_RAILTYPE_OHLE]:[TRACK_TYPE_STANDARD_GAUGE_RAILTYPE_NONE]],_xlfn.LAMBDA(_xlpm.r,OR(_xlpm.r))),FALSE)</f>
        <v>1</v>
      </c>
      <c r="AF706" s="38" t="b" cm="1">
        <f t="array" ref="AF706">IFERROR(_xlfn.BYROW(TRACK_TYPES[[#This Row],[TRACK_TYPE_NARROW_GAUGE_RAILTYPE_OHLE]:[TRACK_TYPE_NARROW_GAUGE_RAILTYPE_NONE]],_xlfn.LAMBDA(_xlpm.r,OR(_xlpm.r))),FALSE)</f>
        <v>1</v>
      </c>
      <c r="AG706" s="38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201</v>
      </c>
      <c r="B707" s="40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8" t="b" cm="1">
        <f t="array" ref="AE707">IFERROR(_xlfn.BYROW(TRACK_TYPES[[#This Row],[TRACK_TYPE_STANDARD_GAUGE_RAILTYPE_OHLE]:[TRACK_TYPE_STANDARD_GAUGE_RAILTYPE_NONE]],_xlfn.LAMBDA(_xlpm.r,OR(_xlpm.r))),FALSE)</f>
        <v>1</v>
      </c>
      <c r="AF707" s="38" t="b" cm="1">
        <f t="array" ref="AF707">IFERROR(_xlfn.BYROW(TRACK_TYPES[[#This Row],[TRACK_TYPE_NARROW_GAUGE_RAILTYPE_OHLE]:[TRACK_TYPE_NARROW_GAUGE_RAILTYPE_NONE]],_xlfn.LAMBDA(_xlpm.r,OR(_xlpm.r))),FALSE)</f>
        <v>1</v>
      </c>
      <c r="AG707" s="38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202</v>
      </c>
      <c r="B708" s="40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8" t="b" cm="1">
        <f t="array" ref="AE708">IFERROR(_xlfn.BYROW(TRACK_TYPES[[#This Row],[TRACK_TYPE_STANDARD_GAUGE_RAILTYPE_OHLE]:[TRACK_TYPE_STANDARD_GAUGE_RAILTYPE_NONE]],_xlfn.LAMBDA(_xlpm.r,OR(_xlpm.r))),FALSE)</f>
        <v>1</v>
      </c>
      <c r="AF708" s="38" t="b" cm="1">
        <f t="array" ref="AF708">IFERROR(_xlfn.BYROW(TRACK_TYPES[[#This Row],[TRACK_TYPE_NARROW_GAUGE_RAILTYPE_OHLE]:[TRACK_TYPE_NARROW_GAUGE_RAILTYPE_NONE]],_xlfn.LAMBDA(_xlpm.r,OR(_xlpm.r))),FALSE)</f>
        <v>1</v>
      </c>
      <c r="AG708" s="38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203</v>
      </c>
      <c r="B709" s="40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8" t="b" cm="1">
        <f t="array" ref="AE709">IFERROR(_xlfn.BYROW(TRACK_TYPES[[#This Row],[TRACK_TYPE_STANDARD_GAUGE_RAILTYPE_OHLE]:[TRACK_TYPE_STANDARD_GAUGE_RAILTYPE_NONE]],_xlfn.LAMBDA(_xlpm.r,OR(_xlpm.r))),FALSE)</f>
        <v>1</v>
      </c>
      <c r="AF709" s="38" t="b" cm="1">
        <f t="array" ref="AF709">IFERROR(_xlfn.BYROW(TRACK_TYPES[[#This Row],[TRACK_TYPE_NARROW_GAUGE_RAILTYPE_OHLE]:[TRACK_TYPE_NARROW_GAUGE_RAILTYPE_NONE]],_xlfn.LAMBDA(_xlpm.r,OR(_xlpm.r))),FALSE)</f>
        <v>1</v>
      </c>
      <c r="AG709" s="38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204</v>
      </c>
      <c r="B710" s="40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8" t="b" cm="1">
        <f t="array" ref="AE710">IFERROR(_xlfn.BYROW(TRACK_TYPES[[#This Row],[TRACK_TYPE_STANDARD_GAUGE_RAILTYPE_OHLE]:[TRACK_TYPE_STANDARD_GAUGE_RAILTYPE_NONE]],_xlfn.LAMBDA(_xlpm.r,OR(_xlpm.r))),FALSE)</f>
        <v>1</v>
      </c>
      <c r="AF710" s="38" t="b" cm="1">
        <f t="array" ref="AF710">IFERROR(_xlfn.BYROW(TRACK_TYPES[[#This Row],[TRACK_TYPE_NARROW_GAUGE_RAILTYPE_OHLE]:[TRACK_TYPE_NARROW_GAUGE_RAILTYPE_NONE]],_xlfn.LAMBDA(_xlpm.r,OR(_xlpm.r))),FALSE)</f>
        <v>1</v>
      </c>
      <c r="AG710" s="38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205</v>
      </c>
      <c r="B711" s="40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8" t="b" cm="1">
        <f t="array" ref="AE711">IFERROR(_xlfn.BYROW(TRACK_TYPES[[#This Row],[TRACK_TYPE_STANDARD_GAUGE_RAILTYPE_OHLE]:[TRACK_TYPE_STANDARD_GAUGE_RAILTYPE_NONE]],_xlfn.LAMBDA(_xlpm.r,OR(_xlpm.r))),FALSE)</f>
        <v>1</v>
      </c>
      <c r="AF711" s="38" t="b" cm="1">
        <f t="array" ref="AF711">IFERROR(_xlfn.BYROW(TRACK_TYPES[[#This Row],[TRACK_TYPE_NARROW_GAUGE_RAILTYPE_OHLE]:[TRACK_TYPE_NARROW_GAUGE_RAILTYPE_NONE]],_xlfn.LAMBDA(_xlpm.r,OR(_xlpm.r))),FALSE)</f>
        <v>1</v>
      </c>
      <c r="AG711" s="38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206</v>
      </c>
      <c r="B712" s="40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8" t="b" cm="1">
        <f t="array" ref="AE712">IFERROR(_xlfn.BYROW(TRACK_TYPES[[#This Row],[TRACK_TYPE_STANDARD_GAUGE_RAILTYPE_OHLE]:[TRACK_TYPE_STANDARD_GAUGE_RAILTYPE_NONE]],_xlfn.LAMBDA(_xlpm.r,OR(_xlpm.r))),FALSE)</f>
        <v>1</v>
      </c>
      <c r="AF712" s="38" t="b" cm="1">
        <f t="array" ref="AF712">IFERROR(_xlfn.BYROW(TRACK_TYPES[[#This Row],[TRACK_TYPE_NARROW_GAUGE_RAILTYPE_OHLE]:[TRACK_TYPE_NARROW_GAUGE_RAILTYPE_NONE]],_xlfn.LAMBDA(_xlpm.r,OR(_xlpm.r))),FALSE)</f>
        <v>1</v>
      </c>
      <c r="AG712" s="38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207</v>
      </c>
      <c r="B713" s="40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8" t="b" cm="1">
        <f t="array" ref="AE713">IFERROR(_xlfn.BYROW(TRACK_TYPES[[#This Row],[TRACK_TYPE_STANDARD_GAUGE_RAILTYPE_OHLE]:[TRACK_TYPE_STANDARD_GAUGE_RAILTYPE_NONE]],_xlfn.LAMBDA(_xlpm.r,OR(_xlpm.r))),FALSE)</f>
        <v>1</v>
      </c>
      <c r="AF713" s="38" t="b" cm="1">
        <f t="array" ref="AF713">IFERROR(_xlfn.BYROW(TRACK_TYPES[[#This Row],[TRACK_TYPE_NARROW_GAUGE_RAILTYPE_OHLE]:[TRACK_TYPE_NARROW_GAUGE_RAILTYPE_NONE]],_xlfn.LAMBDA(_xlpm.r,OR(_xlpm.r))),FALSE)</f>
        <v>1</v>
      </c>
      <c r="AG713" s="38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208</v>
      </c>
      <c r="B714" s="40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8" t="b" cm="1">
        <f t="array" ref="AE714">IFERROR(_xlfn.BYROW(TRACK_TYPES[[#This Row],[TRACK_TYPE_STANDARD_GAUGE_RAILTYPE_OHLE]:[TRACK_TYPE_STANDARD_GAUGE_RAILTYPE_NONE]],_xlfn.LAMBDA(_xlpm.r,OR(_xlpm.r))),FALSE)</f>
        <v>1</v>
      </c>
      <c r="AF714" s="38" t="b" cm="1">
        <f t="array" ref="AF714">IFERROR(_xlfn.BYROW(TRACK_TYPES[[#This Row],[TRACK_TYPE_NARROW_GAUGE_RAILTYPE_OHLE]:[TRACK_TYPE_NARROW_GAUGE_RAILTYPE_NONE]],_xlfn.LAMBDA(_xlpm.r,OR(_xlpm.r))),FALSE)</f>
        <v>1</v>
      </c>
      <c r="AG714" s="38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209</v>
      </c>
      <c r="B715" s="40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8" t="b" cm="1">
        <f t="array" ref="AE715">IFERROR(_xlfn.BYROW(TRACK_TYPES[[#This Row],[TRACK_TYPE_STANDARD_GAUGE_RAILTYPE_OHLE]:[TRACK_TYPE_STANDARD_GAUGE_RAILTYPE_NONE]],_xlfn.LAMBDA(_xlpm.r,OR(_xlpm.r))),FALSE)</f>
        <v>1</v>
      </c>
      <c r="AF715" s="38" t="b" cm="1">
        <f t="array" ref="AF715">IFERROR(_xlfn.BYROW(TRACK_TYPES[[#This Row],[TRACK_TYPE_NARROW_GAUGE_RAILTYPE_OHLE]:[TRACK_TYPE_NARROW_GAUGE_RAILTYPE_NONE]],_xlfn.LAMBDA(_xlpm.r,OR(_xlpm.r))),FALSE)</f>
        <v>1</v>
      </c>
      <c r="AG715" s="38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210</v>
      </c>
      <c r="B716" s="40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8" t="b" cm="1">
        <f t="array" ref="AE716">IFERROR(_xlfn.BYROW(TRACK_TYPES[[#This Row],[TRACK_TYPE_STANDARD_GAUGE_RAILTYPE_OHLE]:[TRACK_TYPE_STANDARD_GAUGE_RAILTYPE_NONE]],_xlfn.LAMBDA(_xlpm.r,OR(_xlpm.r))),FALSE)</f>
        <v>1</v>
      </c>
      <c r="AF716" s="38" t="b" cm="1">
        <f t="array" ref="AF716">IFERROR(_xlfn.BYROW(TRACK_TYPES[[#This Row],[TRACK_TYPE_NARROW_GAUGE_RAILTYPE_OHLE]:[TRACK_TYPE_NARROW_GAUGE_RAILTYPE_NONE]],_xlfn.LAMBDA(_xlpm.r,OR(_xlpm.r))),FALSE)</f>
        <v>1</v>
      </c>
      <c r="AG716" s="38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225</v>
      </c>
      <c r="B717" s="40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8" t="b" cm="1">
        <f t="array" ref="AE717">IFERROR(_xlfn.BYROW(TRACK_TYPES[[#This Row],[TRACK_TYPE_STANDARD_GAUGE_RAILTYPE_OHLE]:[TRACK_TYPE_STANDARD_GAUGE_RAILTYPE_NONE]],_xlfn.LAMBDA(_xlpm.r,OR(_xlpm.r))),FALSE)</f>
        <v>1</v>
      </c>
      <c r="AF717" s="38" t="b" cm="1">
        <f t="array" ref="AF717">IFERROR(_xlfn.BYROW(TRACK_TYPES[[#This Row],[TRACK_TYPE_NARROW_GAUGE_RAILTYPE_OHLE]:[TRACK_TYPE_NARROW_GAUGE_RAILTYPE_NONE]],_xlfn.LAMBDA(_xlpm.r,OR(_xlpm.r))),FALSE)</f>
        <v>1</v>
      </c>
      <c r="AG717" s="38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226</v>
      </c>
      <c r="B718" s="40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8" t="b" cm="1">
        <f t="array" ref="AE718">IFERROR(_xlfn.BYROW(TRACK_TYPES[[#This Row],[TRACK_TYPE_STANDARD_GAUGE_RAILTYPE_OHLE]:[TRACK_TYPE_STANDARD_GAUGE_RAILTYPE_NONE]],_xlfn.LAMBDA(_xlpm.r,OR(_xlpm.r))),FALSE)</f>
        <v>1</v>
      </c>
      <c r="AF718" s="38" t="b" cm="1">
        <f t="array" ref="AF718">IFERROR(_xlfn.BYROW(TRACK_TYPES[[#This Row],[TRACK_TYPE_NARROW_GAUGE_RAILTYPE_OHLE]:[TRACK_TYPE_NARROW_GAUGE_RAILTYPE_NONE]],_xlfn.LAMBDA(_xlpm.r,OR(_xlpm.r))),FALSE)</f>
        <v>1</v>
      </c>
      <c r="AG718" s="38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83</v>
      </c>
      <c r="B719" s="40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8" t="b" cm="1">
        <f t="array" ref="AE719">IFERROR(_xlfn.BYROW(TRACK_TYPES[[#This Row],[TRACK_TYPE_STANDARD_GAUGE_RAILTYPE_OHLE]:[TRACK_TYPE_STANDARD_GAUGE_RAILTYPE_NONE]],_xlfn.LAMBDA(_xlpm.r,OR(_xlpm.r))),FALSE)</f>
        <v>1</v>
      </c>
      <c r="AF719" s="38" t="b" cm="1">
        <f t="array" ref="AF719">IFERROR(_xlfn.BYROW(TRACK_TYPES[[#This Row],[TRACK_TYPE_NARROW_GAUGE_RAILTYPE_OHLE]:[TRACK_TYPE_NARROW_GAUGE_RAILTYPE_NONE]],_xlfn.LAMBDA(_xlpm.r,OR(_xlpm.r))),FALSE)</f>
        <v>1</v>
      </c>
      <c r="AG719" s="38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84</v>
      </c>
      <c r="B720" s="40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8" t="b" cm="1">
        <f t="array" ref="AE720">IFERROR(_xlfn.BYROW(TRACK_TYPES[[#This Row],[TRACK_TYPE_STANDARD_GAUGE_RAILTYPE_OHLE]:[TRACK_TYPE_STANDARD_GAUGE_RAILTYPE_NONE]],_xlfn.LAMBDA(_xlpm.r,OR(_xlpm.r))),FALSE)</f>
        <v>1</v>
      </c>
      <c r="AF720" s="38" t="b" cm="1">
        <f t="array" ref="AF720">IFERROR(_xlfn.BYROW(TRACK_TYPES[[#This Row],[TRACK_TYPE_NARROW_GAUGE_RAILTYPE_OHLE]:[TRACK_TYPE_NARROW_GAUGE_RAILTYPE_NONE]],_xlfn.LAMBDA(_xlpm.r,OR(_xlpm.r))),FALSE)</f>
        <v>1</v>
      </c>
      <c r="AG720" s="38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85</v>
      </c>
      <c r="B721" s="40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8" t="b" cm="1">
        <f t="array" ref="AE721">IFERROR(_xlfn.BYROW(TRACK_TYPES[[#This Row],[TRACK_TYPE_STANDARD_GAUGE_RAILTYPE_OHLE]:[TRACK_TYPE_STANDARD_GAUGE_RAILTYPE_NONE]],_xlfn.LAMBDA(_xlpm.r,OR(_xlpm.r))),FALSE)</f>
        <v>1</v>
      </c>
      <c r="AF721" s="38" t="b" cm="1">
        <f t="array" ref="AF721">IFERROR(_xlfn.BYROW(TRACK_TYPES[[#This Row],[TRACK_TYPE_NARROW_GAUGE_RAILTYPE_OHLE]:[TRACK_TYPE_NARROW_GAUGE_RAILTYPE_NONE]],_xlfn.LAMBDA(_xlpm.r,OR(_xlpm.r))),FALSE)</f>
        <v>1</v>
      </c>
      <c r="AG721" s="38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86</v>
      </c>
      <c r="B722" s="40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8" t="b" cm="1">
        <f t="array" ref="AE722">IFERROR(_xlfn.BYROW(TRACK_TYPES[[#This Row],[TRACK_TYPE_STANDARD_GAUGE_RAILTYPE_OHLE]:[TRACK_TYPE_STANDARD_GAUGE_RAILTYPE_NONE]],_xlfn.LAMBDA(_xlpm.r,OR(_xlpm.r))),FALSE)</f>
        <v>1</v>
      </c>
      <c r="AF722" s="38" t="b" cm="1">
        <f t="array" ref="AF722">IFERROR(_xlfn.BYROW(TRACK_TYPES[[#This Row],[TRACK_TYPE_NARROW_GAUGE_RAILTYPE_OHLE]:[TRACK_TYPE_NARROW_GAUGE_RAILTYPE_NONE]],_xlfn.LAMBDA(_xlpm.r,OR(_xlpm.r))),FALSE)</f>
        <v>1</v>
      </c>
      <c r="AG722" s="38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87</v>
      </c>
      <c r="B723" s="40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8" t="b" cm="1">
        <f t="array" ref="AE723">IFERROR(_xlfn.BYROW(TRACK_TYPES[[#This Row],[TRACK_TYPE_STANDARD_GAUGE_RAILTYPE_OHLE]:[TRACK_TYPE_STANDARD_GAUGE_RAILTYPE_NONE]],_xlfn.LAMBDA(_xlpm.r,OR(_xlpm.r))),FALSE)</f>
        <v>1</v>
      </c>
      <c r="AF723" s="38" t="b" cm="1">
        <f t="array" ref="AF723">IFERROR(_xlfn.BYROW(TRACK_TYPES[[#This Row],[TRACK_TYPE_NARROW_GAUGE_RAILTYPE_OHLE]:[TRACK_TYPE_NARROW_GAUGE_RAILTYPE_NONE]],_xlfn.LAMBDA(_xlpm.r,OR(_xlpm.r))),FALSE)</f>
        <v>1</v>
      </c>
      <c r="AG723" s="38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88</v>
      </c>
      <c r="B724" s="40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8" t="b" cm="1">
        <f t="array" ref="AE724">IFERROR(_xlfn.BYROW(TRACK_TYPES[[#This Row],[TRACK_TYPE_STANDARD_GAUGE_RAILTYPE_OHLE]:[TRACK_TYPE_STANDARD_GAUGE_RAILTYPE_NONE]],_xlfn.LAMBDA(_xlpm.r,OR(_xlpm.r))),FALSE)</f>
        <v>1</v>
      </c>
      <c r="AF724" s="38" t="b" cm="1">
        <f t="array" ref="AF724">IFERROR(_xlfn.BYROW(TRACK_TYPES[[#This Row],[TRACK_TYPE_NARROW_GAUGE_RAILTYPE_OHLE]:[TRACK_TYPE_NARROW_GAUGE_RAILTYPE_NONE]],_xlfn.LAMBDA(_xlpm.r,OR(_xlpm.r))),FALSE)</f>
        <v>1</v>
      </c>
      <c r="AG724" s="38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89</v>
      </c>
      <c r="B725" s="40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8" t="b" cm="1">
        <f t="array" ref="AE725">IFERROR(_xlfn.BYROW(TRACK_TYPES[[#This Row],[TRACK_TYPE_STANDARD_GAUGE_RAILTYPE_OHLE]:[TRACK_TYPE_STANDARD_GAUGE_RAILTYPE_NONE]],_xlfn.LAMBDA(_xlpm.r,OR(_xlpm.r))),FALSE)</f>
        <v>1</v>
      </c>
      <c r="AF725" s="38" t="b" cm="1">
        <f t="array" ref="AF725">IFERROR(_xlfn.BYROW(TRACK_TYPES[[#This Row],[TRACK_TYPE_NARROW_GAUGE_RAILTYPE_OHLE]:[TRACK_TYPE_NARROW_GAUGE_RAILTYPE_NONE]],_xlfn.LAMBDA(_xlpm.r,OR(_xlpm.r))),FALSE)</f>
        <v>1</v>
      </c>
      <c r="AG725" s="38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90</v>
      </c>
      <c r="B726" s="40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8" t="b" cm="1">
        <f t="array" ref="AE726">IFERROR(_xlfn.BYROW(TRACK_TYPES[[#This Row],[TRACK_TYPE_STANDARD_GAUGE_RAILTYPE_OHLE]:[TRACK_TYPE_STANDARD_GAUGE_RAILTYPE_NONE]],_xlfn.LAMBDA(_xlpm.r,OR(_xlpm.r))),FALSE)</f>
        <v>1</v>
      </c>
      <c r="AF726" s="38" t="b" cm="1">
        <f t="array" ref="AF726">IFERROR(_xlfn.BYROW(TRACK_TYPES[[#This Row],[TRACK_TYPE_NARROW_GAUGE_RAILTYPE_OHLE]:[TRACK_TYPE_NARROW_GAUGE_RAILTYPE_NONE]],_xlfn.LAMBDA(_xlpm.r,OR(_xlpm.r))),FALSE)</f>
        <v>1</v>
      </c>
      <c r="AG726" s="38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91</v>
      </c>
      <c r="B727" s="40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8" t="b" cm="1">
        <f t="array" ref="AE727">IFERROR(_xlfn.BYROW(TRACK_TYPES[[#This Row],[TRACK_TYPE_STANDARD_GAUGE_RAILTYPE_OHLE]:[TRACK_TYPE_STANDARD_GAUGE_RAILTYPE_NONE]],_xlfn.LAMBDA(_xlpm.r,OR(_xlpm.r))),FALSE)</f>
        <v>1</v>
      </c>
      <c r="AF727" s="38" t="b" cm="1">
        <f t="array" ref="AF727">IFERROR(_xlfn.BYROW(TRACK_TYPES[[#This Row],[TRACK_TYPE_NARROW_GAUGE_RAILTYPE_OHLE]:[TRACK_TYPE_NARROW_GAUGE_RAILTYPE_NONE]],_xlfn.LAMBDA(_xlpm.r,OR(_xlpm.r))),FALSE)</f>
        <v>1</v>
      </c>
      <c r="AG727" s="38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92</v>
      </c>
      <c r="B728" s="40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8" t="b" cm="1">
        <f t="array" ref="AE728">IFERROR(_xlfn.BYROW(TRACK_TYPES[[#This Row],[TRACK_TYPE_STANDARD_GAUGE_RAILTYPE_OHLE]:[TRACK_TYPE_STANDARD_GAUGE_RAILTYPE_NONE]],_xlfn.LAMBDA(_xlpm.r,OR(_xlpm.r))),FALSE)</f>
        <v>1</v>
      </c>
      <c r="AF728" s="38" t="b" cm="1">
        <f t="array" ref="AF728">IFERROR(_xlfn.BYROW(TRACK_TYPES[[#This Row],[TRACK_TYPE_NARROW_GAUGE_RAILTYPE_OHLE]:[TRACK_TYPE_NARROW_GAUGE_RAILTYPE_NONE]],_xlfn.LAMBDA(_xlpm.r,OR(_xlpm.r))),FALSE)</f>
        <v>1</v>
      </c>
      <c r="AG728" s="38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93</v>
      </c>
      <c r="B729" s="40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8" t="b" cm="1">
        <f t="array" ref="AE729">IFERROR(_xlfn.BYROW(TRACK_TYPES[[#This Row],[TRACK_TYPE_STANDARD_GAUGE_RAILTYPE_OHLE]:[TRACK_TYPE_STANDARD_GAUGE_RAILTYPE_NONE]],_xlfn.LAMBDA(_xlpm.r,OR(_xlpm.r))),FALSE)</f>
        <v>1</v>
      </c>
      <c r="AF729" s="38" t="b" cm="1">
        <f t="array" ref="AF729">IFERROR(_xlfn.BYROW(TRACK_TYPES[[#This Row],[TRACK_TYPE_NARROW_GAUGE_RAILTYPE_OHLE]:[TRACK_TYPE_NARROW_GAUGE_RAILTYPE_NONE]],_xlfn.LAMBDA(_xlpm.r,OR(_xlpm.r))),FALSE)</f>
        <v>1</v>
      </c>
      <c r="AG729" s="38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94</v>
      </c>
      <c r="B730" s="40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8" t="b" cm="1">
        <f t="array" ref="AE730">IFERROR(_xlfn.BYROW(TRACK_TYPES[[#This Row],[TRACK_TYPE_STANDARD_GAUGE_RAILTYPE_OHLE]:[TRACK_TYPE_STANDARD_GAUGE_RAILTYPE_NONE]],_xlfn.LAMBDA(_xlpm.r,OR(_xlpm.r))),FALSE)</f>
        <v>1</v>
      </c>
      <c r="AF730" s="38" t="b" cm="1">
        <f t="array" ref="AF730">IFERROR(_xlfn.BYROW(TRACK_TYPES[[#This Row],[TRACK_TYPE_NARROW_GAUGE_RAILTYPE_OHLE]:[TRACK_TYPE_NARROW_GAUGE_RAILTYPE_NONE]],_xlfn.LAMBDA(_xlpm.r,OR(_xlpm.r))),FALSE)</f>
        <v>1</v>
      </c>
      <c r="AG730" s="38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95</v>
      </c>
      <c r="B731" s="40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8" t="b" cm="1">
        <f t="array" ref="AE731">IFERROR(_xlfn.BYROW(TRACK_TYPES[[#This Row],[TRACK_TYPE_STANDARD_GAUGE_RAILTYPE_OHLE]:[TRACK_TYPE_STANDARD_GAUGE_RAILTYPE_NONE]],_xlfn.LAMBDA(_xlpm.r,OR(_xlpm.r))),FALSE)</f>
        <v>1</v>
      </c>
      <c r="AF731" s="38" t="b" cm="1">
        <f t="array" ref="AF731">IFERROR(_xlfn.BYROW(TRACK_TYPES[[#This Row],[TRACK_TYPE_NARROW_GAUGE_RAILTYPE_OHLE]:[TRACK_TYPE_NARROW_GAUGE_RAILTYPE_NONE]],_xlfn.LAMBDA(_xlpm.r,OR(_xlpm.r))),FALSE)</f>
        <v>1</v>
      </c>
      <c r="AG731" s="38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96</v>
      </c>
      <c r="B732" s="40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8" t="b" cm="1">
        <f t="array" ref="AE732">IFERROR(_xlfn.BYROW(TRACK_TYPES[[#This Row],[TRACK_TYPE_STANDARD_GAUGE_RAILTYPE_OHLE]:[TRACK_TYPE_STANDARD_GAUGE_RAILTYPE_NONE]],_xlfn.LAMBDA(_xlpm.r,OR(_xlpm.r))),FALSE)</f>
        <v>1</v>
      </c>
      <c r="AF732" s="38" t="b" cm="1">
        <f t="array" ref="AF732">IFERROR(_xlfn.BYROW(TRACK_TYPES[[#This Row],[TRACK_TYPE_NARROW_GAUGE_RAILTYPE_OHLE]:[TRACK_TYPE_NARROW_GAUGE_RAILTYPE_NONE]],_xlfn.LAMBDA(_xlpm.r,OR(_xlpm.r))),FALSE)</f>
        <v>1</v>
      </c>
      <c r="AG732" s="38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97</v>
      </c>
      <c r="B733" s="40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8" t="b" cm="1">
        <f t="array" ref="AE733">IFERROR(_xlfn.BYROW(TRACK_TYPES[[#This Row],[TRACK_TYPE_STANDARD_GAUGE_RAILTYPE_OHLE]:[TRACK_TYPE_STANDARD_GAUGE_RAILTYPE_NONE]],_xlfn.LAMBDA(_xlpm.r,OR(_xlpm.r))),FALSE)</f>
        <v>1</v>
      </c>
      <c r="AF733" s="38" t="b" cm="1">
        <f t="array" ref="AF733">IFERROR(_xlfn.BYROW(TRACK_TYPES[[#This Row],[TRACK_TYPE_NARROW_GAUGE_RAILTYPE_OHLE]:[TRACK_TYPE_NARROW_GAUGE_RAILTYPE_NONE]],_xlfn.LAMBDA(_xlpm.r,OR(_xlpm.r))),FALSE)</f>
        <v>1</v>
      </c>
      <c r="AG733" s="38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98</v>
      </c>
      <c r="B734" s="40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8" t="b" cm="1">
        <f t="array" ref="AE734">IFERROR(_xlfn.BYROW(TRACK_TYPES[[#This Row],[TRACK_TYPE_STANDARD_GAUGE_RAILTYPE_OHLE]:[TRACK_TYPE_STANDARD_GAUGE_RAILTYPE_NONE]],_xlfn.LAMBDA(_xlpm.r,OR(_xlpm.r))),FALSE)</f>
        <v>1</v>
      </c>
      <c r="AF734" s="38" t="b" cm="1">
        <f t="array" ref="AF734">IFERROR(_xlfn.BYROW(TRACK_TYPES[[#This Row],[TRACK_TYPE_NARROW_GAUGE_RAILTYPE_OHLE]:[TRACK_TYPE_NARROW_GAUGE_RAILTYPE_NONE]],_xlfn.LAMBDA(_xlpm.r,OR(_xlpm.r))),FALSE)</f>
        <v>1</v>
      </c>
      <c r="AG734" s="38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99</v>
      </c>
      <c r="B735" s="40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8" t="b" cm="1">
        <f t="array" ref="AE735">IFERROR(_xlfn.BYROW(TRACK_TYPES[[#This Row],[TRACK_TYPE_STANDARD_GAUGE_RAILTYPE_OHLE]:[TRACK_TYPE_STANDARD_GAUGE_RAILTYPE_NONE]],_xlfn.LAMBDA(_xlpm.r,OR(_xlpm.r))),FALSE)</f>
        <v>1</v>
      </c>
      <c r="AF735" s="38" t="b" cm="1">
        <f t="array" ref="AF735">IFERROR(_xlfn.BYROW(TRACK_TYPES[[#This Row],[TRACK_TYPE_NARROW_GAUGE_RAILTYPE_OHLE]:[TRACK_TYPE_NARROW_GAUGE_RAILTYPE_NONE]],_xlfn.LAMBDA(_xlpm.r,OR(_xlpm.r))),FALSE)</f>
        <v>1</v>
      </c>
      <c r="AG735" s="38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100</v>
      </c>
      <c r="B736" s="40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8" t="b" cm="1">
        <f t="array" ref="AE736">IFERROR(_xlfn.BYROW(TRACK_TYPES[[#This Row],[TRACK_TYPE_STANDARD_GAUGE_RAILTYPE_OHLE]:[TRACK_TYPE_STANDARD_GAUGE_RAILTYPE_NONE]],_xlfn.LAMBDA(_xlpm.r,OR(_xlpm.r))),FALSE)</f>
        <v>1</v>
      </c>
      <c r="AF736" s="38" t="b" cm="1">
        <f t="array" ref="AF736">IFERROR(_xlfn.BYROW(TRACK_TYPES[[#This Row],[TRACK_TYPE_NARROW_GAUGE_RAILTYPE_OHLE]:[TRACK_TYPE_NARROW_GAUGE_RAILTYPE_NONE]],_xlfn.LAMBDA(_xlpm.r,OR(_xlpm.r))),FALSE)</f>
        <v>1</v>
      </c>
      <c r="AG736" s="38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101</v>
      </c>
      <c r="B737" s="40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8" t="b" cm="1">
        <f t="array" ref="AE737">IFERROR(_xlfn.BYROW(TRACK_TYPES[[#This Row],[TRACK_TYPE_STANDARD_GAUGE_RAILTYPE_OHLE]:[TRACK_TYPE_STANDARD_GAUGE_RAILTYPE_NONE]],_xlfn.LAMBDA(_xlpm.r,OR(_xlpm.r))),FALSE)</f>
        <v>1</v>
      </c>
      <c r="AF737" s="38" t="b" cm="1">
        <f t="array" ref="AF737">IFERROR(_xlfn.BYROW(TRACK_TYPES[[#This Row],[TRACK_TYPE_NARROW_GAUGE_RAILTYPE_OHLE]:[TRACK_TYPE_NARROW_GAUGE_RAILTYPE_NONE]],_xlfn.LAMBDA(_xlpm.r,OR(_xlpm.r))),FALSE)</f>
        <v>1</v>
      </c>
      <c r="AG737" s="38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102</v>
      </c>
      <c r="B738" s="40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8" t="b" cm="1">
        <f t="array" ref="AE738">IFERROR(_xlfn.BYROW(TRACK_TYPES[[#This Row],[TRACK_TYPE_STANDARD_GAUGE_RAILTYPE_OHLE]:[TRACK_TYPE_STANDARD_GAUGE_RAILTYPE_NONE]],_xlfn.LAMBDA(_xlpm.r,OR(_xlpm.r))),FALSE)</f>
        <v>1</v>
      </c>
      <c r="AF738" s="38" t="b" cm="1">
        <f t="array" ref="AF738">IFERROR(_xlfn.BYROW(TRACK_TYPES[[#This Row],[TRACK_TYPE_NARROW_GAUGE_RAILTYPE_OHLE]:[TRACK_TYPE_NARROW_GAUGE_RAILTYPE_NONE]],_xlfn.LAMBDA(_xlpm.r,OR(_xlpm.r))),FALSE)</f>
        <v>1</v>
      </c>
      <c r="AG738" s="38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103</v>
      </c>
      <c r="B739" s="40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8" t="b" cm="1">
        <f t="array" ref="AE739">IFERROR(_xlfn.BYROW(TRACK_TYPES[[#This Row],[TRACK_TYPE_STANDARD_GAUGE_RAILTYPE_OHLE]:[TRACK_TYPE_STANDARD_GAUGE_RAILTYPE_NONE]],_xlfn.LAMBDA(_xlpm.r,OR(_xlpm.r))),FALSE)</f>
        <v>1</v>
      </c>
      <c r="AF739" s="38" t="b" cm="1">
        <f t="array" ref="AF739">IFERROR(_xlfn.BYROW(TRACK_TYPES[[#This Row],[TRACK_TYPE_NARROW_GAUGE_RAILTYPE_OHLE]:[TRACK_TYPE_NARROW_GAUGE_RAILTYPE_NONE]],_xlfn.LAMBDA(_xlpm.r,OR(_xlpm.r))),FALSE)</f>
        <v>1</v>
      </c>
      <c r="AG739" s="38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104</v>
      </c>
      <c r="B740" s="40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8" t="b" cm="1">
        <f t="array" ref="AE740">IFERROR(_xlfn.BYROW(TRACK_TYPES[[#This Row],[TRACK_TYPE_STANDARD_GAUGE_RAILTYPE_OHLE]:[TRACK_TYPE_STANDARD_GAUGE_RAILTYPE_NONE]],_xlfn.LAMBDA(_xlpm.r,OR(_xlpm.r))),FALSE)</f>
        <v>1</v>
      </c>
      <c r="AF740" s="38" t="b" cm="1">
        <f t="array" ref="AF740">IFERROR(_xlfn.BYROW(TRACK_TYPES[[#This Row],[TRACK_TYPE_NARROW_GAUGE_RAILTYPE_OHLE]:[TRACK_TYPE_NARROW_GAUGE_RAILTYPE_NONE]],_xlfn.LAMBDA(_xlpm.r,OR(_xlpm.r))),FALSE)</f>
        <v>1</v>
      </c>
      <c r="AG740" s="38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105</v>
      </c>
      <c r="B741" s="40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8" t="b" cm="1">
        <f t="array" ref="AE741">IFERROR(_xlfn.BYROW(TRACK_TYPES[[#This Row],[TRACK_TYPE_STANDARD_GAUGE_RAILTYPE_OHLE]:[TRACK_TYPE_STANDARD_GAUGE_RAILTYPE_NONE]],_xlfn.LAMBDA(_xlpm.r,OR(_xlpm.r))),FALSE)</f>
        <v>1</v>
      </c>
      <c r="AF741" s="38" t="b" cm="1">
        <f t="array" ref="AF741">IFERROR(_xlfn.BYROW(TRACK_TYPES[[#This Row],[TRACK_TYPE_NARROW_GAUGE_RAILTYPE_OHLE]:[TRACK_TYPE_NARROW_GAUGE_RAILTYPE_NONE]],_xlfn.LAMBDA(_xlpm.r,OR(_xlpm.r))),FALSE)</f>
        <v>1</v>
      </c>
      <c r="AG741" s="38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106</v>
      </c>
      <c r="B742" s="40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8" t="b" cm="1">
        <f t="array" ref="AE742">IFERROR(_xlfn.BYROW(TRACK_TYPES[[#This Row],[TRACK_TYPE_STANDARD_GAUGE_RAILTYPE_OHLE]:[TRACK_TYPE_STANDARD_GAUGE_RAILTYPE_NONE]],_xlfn.LAMBDA(_xlpm.r,OR(_xlpm.r))),FALSE)</f>
        <v>1</v>
      </c>
      <c r="AF742" s="38" t="b" cm="1">
        <f t="array" ref="AF742">IFERROR(_xlfn.BYROW(TRACK_TYPES[[#This Row],[TRACK_TYPE_NARROW_GAUGE_RAILTYPE_OHLE]:[TRACK_TYPE_NARROW_GAUGE_RAILTYPE_NONE]],_xlfn.LAMBDA(_xlpm.r,OR(_xlpm.r))),FALSE)</f>
        <v>1</v>
      </c>
      <c r="AG742" s="38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107</v>
      </c>
      <c r="B743" s="40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8" t="b" cm="1">
        <f t="array" ref="AE743">IFERROR(_xlfn.BYROW(TRACK_TYPES[[#This Row],[TRACK_TYPE_STANDARD_GAUGE_RAILTYPE_OHLE]:[TRACK_TYPE_STANDARD_GAUGE_RAILTYPE_NONE]],_xlfn.LAMBDA(_xlpm.r,OR(_xlpm.r))),FALSE)</f>
        <v>1</v>
      </c>
      <c r="AF743" s="38" t="b" cm="1">
        <f t="array" ref="AF743">IFERROR(_xlfn.BYROW(TRACK_TYPES[[#This Row],[TRACK_TYPE_NARROW_GAUGE_RAILTYPE_OHLE]:[TRACK_TYPE_NARROW_GAUGE_RAILTYPE_NONE]],_xlfn.LAMBDA(_xlpm.r,OR(_xlpm.r))),FALSE)</f>
        <v>1</v>
      </c>
      <c r="AG743" s="38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108</v>
      </c>
      <c r="B744" s="40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8" t="b" cm="1">
        <f t="array" ref="AE744">IFERROR(_xlfn.BYROW(TRACK_TYPES[[#This Row],[TRACK_TYPE_STANDARD_GAUGE_RAILTYPE_OHLE]:[TRACK_TYPE_STANDARD_GAUGE_RAILTYPE_NONE]],_xlfn.LAMBDA(_xlpm.r,OR(_xlpm.r))),FALSE)</f>
        <v>1</v>
      </c>
      <c r="AF744" s="38" t="b" cm="1">
        <f t="array" ref="AF744">IFERROR(_xlfn.BYROW(TRACK_TYPES[[#This Row],[TRACK_TYPE_NARROW_GAUGE_RAILTYPE_OHLE]:[TRACK_TYPE_NARROW_GAUGE_RAILTYPE_NONE]],_xlfn.LAMBDA(_xlpm.r,OR(_xlpm.r))),FALSE)</f>
        <v>1</v>
      </c>
      <c r="AG744" s="38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109</v>
      </c>
      <c r="B745" s="40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8" t="b" cm="1">
        <f t="array" ref="AE745">IFERROR(_xlfn.BYROW(TRACK_TYPES[[#This Row],[TRACK_TYPE_STANDARD_GAUGE_RAILTYPE_OHLE]:[TRACK_TYPE_STANDARD_GAUGE_RAILTYPE_NONE]],_xlfn.LAMBDA(_xlpm.r,OR(_xlpm.r))),FALSE)</f>
        <v>1</v>
      </c>
      <c r="AF745" s="38" t="b" cm="1">
        <f t="array" ref="AF745">IFERROR(_xlfn.BYROW(TRACK_TYPES[[#This Row],[TRACK_TYPE_NARROW_GAUGE_RAILTYPE_OHLE]:[TRACK_TYPE_NARROW_GAUGE_RAILTYPE_NONE]],_xlfn.LAMBDA(_xlpm.r,OR(_xlpm.r))),FALSE)</f>
        <v>1</v>
      </c>
      <c r="AG745" s="38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110</v>
      </c>
      <c r="B746" s="40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8" t="b" cm="1">
        <f t="array" ref="AE746">IFERROR(_xlfn.BYROW(TRACK_TYPES[[#This Row],[TRACK_TYPE_STANDARD_GAUGE_RAILTYPE_OHLE]:[TRACK_TYPE_STANDARD_GAUGE_RAILTYPE_NONE]],_xlfn.LAMBDA(_xlpm.r,OR(_xlpm.r))),FALSE)</f>
        <v>1</v>
      </c>
      <c r="AF746" s="38" t="b" cm="1">
        <f t="array" ref="AF746">IFERROR(_xlfn.BYROW(TRACK_TYPES[[#This Row],[TRACK_TYPE_NARROW_GAUGE_RAILTYPE_OHLE]:[TRACK_TYPE_NARROW_GAUGE_RAILTYPE_NONE]],_xlfn.LAMBDA(_xlpm.r,OR(_xlpm.r))),FALSE)</f>
        <v>1</v>
      </c>
      <c r="AG746" s="38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111</v>
      </c>
      <c r="B747" s="40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8" t="b" cm="1">
        <f t="array" ref="AE747">IFERROR(_xlfn.BYROW(TRACK_TYPES[[#This Row],[TRACK_TYPE_STANDARD_GAUGE_RAILTYPE_OHLE]:[TRACK_TYPE_STANDARD_GAUGE_RAILTYPE_NONE]],_xlfn.LAMBDA(_xlpm.r,OR(_xlpm.r))),FALSE)</f>
        <v>1</v>
      </c>
      <c r="AF747" s="38" t="b" cm="1">
        <f t="array" ref="AF747">IFERROR(_xlfn.BYROW(TRACK_TYPES[[#This Row],[TRACK_TYPE_NARROW_GAUGE_RAILTYPE_OHLE]:[TRACK_TYPE_NARROW_GAUGE_RAILTYPE_NONE]],_xlfn.LAMBDA(_xlpm.r,OR(_xlpm.r))),FALSE)</f>
        <v>1</v>
      </c>
      <c r="AG747" s="38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112</v>
      </c>
      <c r="B748" s="40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8" t="b" cm="1">
        <f t="array" ref="AE748">IFERROR(_xlfn.BYROW(TRACK_TYPES[[#This Row],[TRACK_TYPE_STANDARD_GAUGE_RAILTYPE_OHLE]:[TRACK_TYPE_STANDARD_GAUGE_RAILTYPE_NONE]],_xlfn.LAMBDA(_xlpm.r,OR(_xlpm.r))),FALSE)</f>
        <v>1</v>
      </c>
      <c r="AF748" s="38" t="b" cm="1">
        <f t="array" ref="AF748">IFERROR(_xlfn.BYROW(TRACK_TYPES[[#This Row],[TRACK_TYPE_NARROW_GAUGE_RAILTYPE_OHLE]:[TRACK_TYPE_NARROW_GAUGE_RAILTYPE_NONE]],_xlfn.LAMBDA(_xlpm.r,OR(_xlpm.r))),FALSE)</f>
        <v>1</v>
      </c>
      <c r="AG748" s="38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113</v>
      </c>
      <c r="B749" s="40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8" t="b" cm="1">
        <f t="array" ref="AE749">IFERROR(_xlfn.BYROW(TRACK_TYPES[[#This Row],[TRACK_TYPE_STANDARD_GAUGE_RAILTYPE_OHLE]:[TRACK_TYPE_STANDARD_GAUGE_RAILTYPE_NONE]],_xlfn.LAMBDA(_xlpm.r,OR(_xlpm.r))),FALSE)</f>
        <v>1</v>
      </c>
      <c r="AF749" s="38" t="b" cm="1">
        <f t="array" ref="AF749">IFERROR(_xlfn.BYROW(TRACK_TYPES[[#This Row],[TRACK_TYPE_NARROW_GAUGE_RAILTYPE_OHLE]:[TRACK_TYPE_NARROW_GAUGE_RAILTYPE_NONE]],_xlfn.LAMBDA(_xlpm.r,OR(_xlpm.r))),FALSE)</f>
        <v>1</v>
      </c>
      <c r="AG749" s="38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114</v>
      </c>
      <c r="B750" s="40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8" t="b" cm="1">
        <f t="array" ref="AE750">IFERROR(_xlfn.BYROW(TRACK_TYPES[[#This Row],[TRACK_TYPE_STANDARD_GAUGE_RAILTYPE_OHLE]:[TRACK_TYPE_STANDARD_GAUGE_RAILTYPE_NONE]],_xlfn.LAMBDA(_xlpm.r,OR(_xlpm.r))),FALSE)</f>
        <v>1</v>
      </c>
      <c r="AF750" s="38" t="b" cm="1">
        <f t="array" ref="AF750">IFERROR(_xlfn.BYROW(TRACK_TYPES[[#This Row],[TRACK_TYPE_NARROW_GAUGE_RAILTYPE_OHLE]:[TRACK_TYPE_NARROW_GAUGE_RAILTYPE_NONE]],_xlfn.LAMBDA(_xlpm.r,OR(_xlpm.r))),FALSE)</f>
        <v>1</v>
      </c>
      <c r="AG750" s="38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115</v>
      </c>
      <c r="B751" s="40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8" t="b" cm="1">
        <f t="array" ref="AE751">IFERROR(_xlfn.BYROW(TRACK_TYPES[[#This Row],[TRACK_TYPE_STANDARD_GAUGE_RAILTYPE_OHLE]:[TRACK_TYPE_STANDARD_GAUGE_RAILTYPE_NONE]],_xlfn.LAMBDA(_xlpm.r,OR(_xlpm.r))),FALSE)</f>
        <v>1</v>
      </c>
      <c r="AF751" s="38" t="b" cm="1">
        <f t="array" ref="AF751">IFERROR(_xlfn.BYROW(TRACK_TYPES[[#This Row],[TRACK_TYPE_NARROW_GAUGE_RAILTYPE_OHLE]:[TRACK_TYPE_NARROW_GAUGE_RAILTYPE_NONE]],_xlfn.LAMBDA(_xlpm.r,OR(_xlpm.r))),FALSE)</f>
        <v>1</v>
      </c>
      <c r="AG751" s="38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116</v>
      </c>
      <c r="B752" s="40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8" t="b" cm="1">
        <f t="array" ref="AE752">IFERROR(_xlfn.BYROW(TRACK_TYPES[[#This Row],[TRACK_TYPE_STANDARD_GAUGE_RAILTYPE_OHLE]:[TRACK_TYPE_STANDARD_GAUGE_RAILTYPE_NONE]],_xlfn.LAMBDA(_xlpm.r,OR(_xlpm.r))),FALSE)</f>
        <v>1</v>
      </c>
      <c r="AF752" s="38" t="b" cm="1">
        <f t="array" ref="AF752">IFERROR(_xlfn.BYROW(TRACK_TYPES[[#This Row],[TRACK_TYPE_NARROW_GAUGE_RAILTYPE_OHLE]:[TRACK_TYPE_NARROW_GAUGE_RAILTYPE_NONE]],_xlfn.LAMBDA(_xlpm.r,OR(_xlpm.r))),FALSE)</f>
        <v>1</v>
      </c>
      <c r="AG752" s="38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117</v>
      </c>
      <c r="B753" s="40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8" t="b" cm="1">
        <f t="array" ref="AE753">IFERROR(_xlfn.BYROW(TRACK_TYPES[[#This Row],[TRACK_TYPE_STANDARD_GAUGE_RAILTYPE_OHLE]:[TRACK_TYPE_STANDARD_GAUGE_RAILTYPE_NONE]],_xlfn.LAMBDA(_xlpm.r,OR(_xlpm.r))),FALSE)</f>
        <v>1</v>
      </c>
      <c r="AF753" s="38" t="b" cm="1">
        <f t="array" ref="AF753">IFERROR(_xlfn.BYROW(TRACK_TYPES[[#This Row],[TRACK_TYPE_NARROW_GAUGE_RAILTYPE_OHLE]:[TRACK_TYPE_NARROW_GAUGE_RAILTYPE_NONE]],_xlfn.LAMBDA(_xlpm.r,OR(_xlpm.r))),FALSE)</f>
        <v>1</v>
      </c>
      <c r="AG753" s="38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3601</v>
      </c>
      <c r="B754" s="40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8" t="b" cm="1">
        <f t="array" ref="AE754">IFERROR(_xlfn.BYROW(TRACK_TYPES[[#This Row],[TRACK_TYPE_STANDARD_GAUGE_RAILTYPE_OHLE]:[TRACK_TYPE_STANDARD_GAUGE_RAILTYPE_NONE]],_xlfn.LAMBDA(_xlpm.r,OR(_xlpm.r))),FALSE)</f>
        <v>1</v>
      </c>
      <c r="AF754" s="38" t="b" cm="1">
        <f t="array" ref="AF754">IFERROR(_xlfn.BYROW(TRACK_TYPES[[#This Row],[TRACK_TYPE_NARROW_GAUGE_RAILTYPE_OHLE]:[TRACK_TYPE_NARROW_GAUGE_RAILTYPE_NONE]],_xlfn.LAMBDA(_xlpm.r,OR(_xlpm.r))),FALSE)</f>
        <v>1</v>
      </c>
      <c r="AG754" s="38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118</v>
      </c>
      <c r="B755" s="40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8" t="b" cm="1">
        <f t="array" ref="AE755">IFERROR(_xlfn.BYROW(TRACK_TYPES[[#This Row],[TRACK_TYPE_STANDARD_GAUGE_RAILTYPE_OHLE]:[TRACK_TYPE_STANDARD_GAUGE_RAILTYPE_NONE]],_xlfn.LAMBDA(_xlpm.r,OR(_xlpm.r))),FALSE)</f>
        <v>1</v>
      </c>
      <c r="AF755" s="38" t="b" cm="1">
        <f t="array" ref="AF755">IFERROR(_xlfn.BYROW(TRACK_TYPES[[#This Row],[TRACK_TYPE_NARROW_GAUGE_RAILTYPE_OHLE]:[TRACK_TYPE_NARROW_GAUGE_RAILTYPE_NONE]],_xlfn.LAMBDA(_xlpm.r,OR(_xlpm.r))),FALSE)</f>
        <v>1</v>
      </c>
      <c r="AG755" s="38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119</v>
      </c>
      <c r="B756" s="40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8" t="b" cm="1">
        <f t="array" ref="AE756">IFERROR(_xlfn.BYROW(TRACK_TYPES[[#This Row],[TRACK_TYPE_STANDARD_GAUGE_RAILTYPE_OHLE]:[TRACK_TYPE_STANDARD_GAUGE_RAILTYPE_NONE]],_xlfn.LAMBDA(_xlpm.r,OR(_xlpm.r))),FALSE)</f>
        <v>0</v>
      </c>
      <c r="AF756" s="38" t="b" cm="1">
        <f t="array" ref="AF756">IFERROR(_xlfn.BYROW(TRACK_TYPES[[#This Row],[TRACK_TYPE_NARROW_GAUGE_RAILTYPE_OHLE]:[TRACK_TYPE_NARROW_GAUGE_RAILTYPE_NONE]],_xlfn.LAMBDA(_xlpm.r,OR(_xlpm.r))),FALSE)</f>
        <v>0</v>
      </c>
      <c r="AG756" s="38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120</v>
      </c>
      <c r="B757" s="40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8" t="b" cm="1">
        <f t="array" ref="AE757">IFERROR(_xlfn.BYROW(TRACK_TYPES[[#This Row],[TRACK_TYPE_STANDARD_GAUGE_RAILTYPE_OHLE]:[TRACK_TYPE_STANDARD_GAUGE_RAILTYPE_NONE]],_xlfn.LAMBDA(_xlpm.r,OR(_xlpm.r))),FALSE)</f>
        <v>0</v>
      </c>
      <c r="AF757" s="38" t="b" cm="1">
        <f t="array" ref="AF757">IFERROR(_xlfn.BYROW(TRACK_TYPES[[#This Row],[TRACK_TYPE_NARROW_GAUGE_RAILTYPE_OHLE]:[TRACK_TYPE_NARROW_GAUGE_RAILTYPE_NONE]],_xlfn.LAMBDA(_xlpm.r,OR(_xlpm.r))),FALSE)</f>
        <v>0</v>
      </c>
      <c r="AG757" s="38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121</v>
      </c>
      <c r="B758" s="40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8" t="b" cm="1">
        <f t="array" ref="AE758">IFERROR(_xlfn.BYROW(TRACK_TYPES[[#This Row],[TRACK_TYPE_STANDARD_GAUGE_RAILTYPE_OHLE]:[TRACK_TYPE_STANDARD_GAUGE_RAILTYPE_NONE]],_xlfn.LAMBDA(_xlpm.r,OR(_xlpm.r))),FALSE)</f>
        <v>0</v>
      </c>
      <c r="AF758" s="38" t="b" cm="1">
        <f t="array" ref="AF758">IFERROR(_xlfn.BYROW(TRACK_TYPES[[#This Row],[TRACK_TYPE_NARROW_GAUGE_RAILTYPE_OHLE]:[TRACK_TYPE_NARROW_GAUGE_RAILTYPE_NONE]],_xlfn.LAMBDA(_xlpm.r,OR(_xlpm.r))),FALSE)</f>
        <v>0</v>
      </c>
      <c r="AG758" s="38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122</v>
      </c>
      <c r="B759" s="40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8" t="b" cm="1">
        <f t="array" ref="AE759">IFERROR(_xlfn.BYROW(TRACK_TYPES[[#This Row],[TRACK_TYPE_STANDARD_GAUGE_RAILTYPE_OHLE]:[TRACK_TYPE_STANDARD_GAUGE_RAILTYPE_NONE]],_xlfn.LAMBDA(_xlpm.r,OR(_xlpm.r))),FALSE)</f>
        <v>0</v>
      </c>
      <c r="AF759" s="38" t="b" cm="1">
        <f t="array" ref="AF759">IFERROR(_xlfn.BYROW(TRACK_TYPES[[#This Row],[TRACK_TYPE_NARROW_GAUGE_RAILTYPE_OHLE]:[TRACK_TYPE_NARROW_GAUGE_RAILTYPE_NONE]],_xlfn.LAMBDA(_xlpm.r,OR(_xlpm.r))),FALSE)</f>
        <v>0</v>
      </c>
      <c r="AG759" s="38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123</v>
      </c>
      <c r="B760" s="40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8" t="b" cm="1">
        <f t="array" ref="AE760">IFERROR(_xlfn.BYROW(TRACK_TYPES[[#This Row],[TRACK_TYPE_STANDARD_GAUGE_RAILTYPE_OHLE]:[TRACK_TYPE_STANDARD_GAUGE_RAILTYPE_NONE]],_xlfn.LAMBDA(_xlpm.r,OR(_xlpm.r))),FALSE)</f>
        <v>1</v>
      </c>
      <c r="AF760" s="38" t="b" cm="1">
        <f t="array" ref="AF760">IFERROR(_xlfn.BYROW(TRACK_TYPES[[#This Row],[TRACK_TYPE_NARROW_GAUGE_RAILTYPE_OHLE]:[TRACK_TYPE_NARROW_GAUGE_RAILTYPE_NONE]],_xlfn.LAMBDA(_xlpm.r,OR(_xlpm.r))),FALSE)</f>
        <v>1</v>
      </c>
      <c r="AG760" s="38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124</v>
      </c>
      <c r="B761" s="40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8" t="b" cm="1">
        <f t="array" ref="AE761">IFERROR(_xlfn.BYROW(TRACK_TYPES[[#This Row],[TRACK_TYPE_STANDARD_GAUGE_RAILTYPE_OHLE]:[TRACK_TYPE_STANDARD_GAUGE_RAILTYPE_NONE]],_xlfn.LAMBDA(_xlpm.r,OR(_xlpm.r))),FALSE)</f>
        <v>1</v>
      </c>
      <c r="AF761" s="38" t="b" cm="1">
        <f t="array" ref="AF761">IFERROR(_xlfn.BYROW(TRACK_TYPES[[#This Row],[TRACK_TYPE_NARROW_GAUGE_RAILTYPE_OHLE]:[TRACK_TYPE_NARROW_GAUGE_RAILTYPE_NONE]],_xlfn.LAMBDA(_xlpm.r,OR(_xlpm.r))),FALSE)</f>
        <v>1</v>
      </c>
      <c r="AG761" s="38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125</v>
      </c>
      <c r="B762" s="40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8" t="b" cm="1">
        <f t="array" ref="AE762">IFERROR(_xlfn.BYROW(TRACK_TYPES[[#This Row],[TRACK_TYPE_STANDARD_GAUGE_RAILTYPE_OHLE]:[TRACK_TYPE_STANDARD_GAUGE_RAILTYPE_NONE]],_xlfn.LAMBDA(_xlpm.r,OR(_xlpm.r))),FALSE)</f>
        <v>1</v>
      </c>
      <c r="AF762" s="38" t="b" cm="1">
        <f t="array" ref="AF762">IFERROR(_xlfn.BYROW(TRACK_TYPES[[#This Row],[TRACK_TYPE_NARROW_GAUGE_RAILTYPE_OHLE]:[TRACK_TYPE_NARROW_GAUGE_RAILTYPE_NONE]],_xlfn.LAMBDA(_xlpm.r,OR(_xlpm.r))),FALSE)</f>
        <v>1</v>
      </c>
      <c r="AG762" s="38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126</v>
      </c>
      <c r="B763" s="40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8" t="b" cm="1">
        <f t="array" ref="AE763">IFERROR(_xlfn.BYROW(TRACK_TYPES[[#This Row],[TRACK_TYPE_STANDARD_GAUGE_RAILTYPE_OHLE]:[TRACK_TYPE_STANDARD_GAUGE_RAILTYPE_NONE]],_xlfn.LAMBDA(_xlpm.r,OR(_xlpm.r))),FALSE)</f>
        <v>1</v>
      </c>
      <c r="AF763" s="38" t="b" cm="1">
        <f t="array" ref="AF763">IFERROR(_xlfn.BYROW(TRACK_TYPES[[#This Row],[TRACK_TYPE_NARROW_GAUGE_RAILTYPE_OHLE]:[TRACK_TYPE_NARROW_GAUGE_RAILTYPE_NONE]],_xlfn.LAMBDA(_xlpm.r,OR(_xlpm.r))),FALSE)</f>
        <v>1</v>
      </c>
      <c r="AG763" s="38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127</v>
      </c>
      <c r="B764" s="40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8" t="b" cm="1">
        <f t="array" ref="AE764">IFERROR(_xlfn.BYROW(TRACK_TYPES[[#This Row],[TRACK_TYPE_STANDARD_GAUGE_RAILTYPE_OHLE]:[TRACK_TYPE_STANDARD_GAUGE_RAILTYPE_NONE]],_xlfn.LAMBDA(_xlpm.r,OR(_xlpm.r))),FALSE)</f>
        <v>1</v>
      </c>
      <c r="AF764" s="38" t="b" cm="1">
        <f t="array" ref="AF764">IFERROR(_xlfn.BYROW(TRACK_TYPES[[#This Row],[TRACK_TYPE_NARROW_GAUGE_RAILTYPE_OHLE]:[TRACK_TYPE_NARROW_GAUGE_RAILTYPE_NONE]],_xlfn.LAMBDA(_xlpm.r,OR(_xlpm.r))),FALSE)</f>
        <v>1</v>
      </c>
      <c r="AG764" s="38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128</v>
      </c>
      <c r="B765" s="40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8" t="b" cm="1">
        <f t="array" ref="AE765">IFERROR(_xlfn.BYROW(TRACK_TYPES[[#This Row],[TRACK_TYPE_STANDARD_GAUGE_RAILTYPE_OHLE]:[TRACK_TYPE_STANDARD_GAUGE_RAILTYPE_NONE]],_xlfn.LAMBDA(_xlpm.r,OR(_xlpm.r))),FALSE)</f>
        <v>0</v>
      </c>
      <c r="AF765" s="38" t="b" cm="1">
        <f t="array" ref="AF765">IFERROR(_xlfn.BYROW(TRACK_TYPES[[#This Row],[TRACK_TYPE_NARROW_GAUGE_RAILTYPE_OHLE]:[TRACK_TYPE_NARROW_GAUGE_RAILTYPE_NONE]],_xlfn.LAMBDA(_xlpm.r,OR(_xlpm.r))),FALSE)</f>
        <v>0</v>
      </c>
      <c r="AG765" s="38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129</v>
      </c>
      <c r="B766" s="40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8" t="b" cm="1">
        <f t="array" ref="AE766">IFERROR(_xlfn.BYROW(TRACK_TYPES[[#This Row],[TRACK_TYPE_STANDARD_GAUGE_RAILTYPE_OHLE]:[TRACK_TYPE_STANDARD_GAUGE_RAILTYPE_NONE]],_xlfn.LAMBDA(_xlpm.r,OR(_xlpm.r))),FALSE)</f>
        <v>0</v>
      </c>
      <c r="AF766" s="38" t="b" cm="1">
        <f t="array" ref="AF766">IFERROR(_xlfn.BYROW(TRACK_TYPES[[#This Row],[TRACK_TYPE_NARROW_GAUGE_RAILTYPE_OHLE]:[TRACK_TYPE_NARROW_GAUGE_RAILTYPE_NONE]],_xlfn.LAMBDA(_xlpm.r,OR(_xlpm.r))),FALSE)</f>
        <v>0</v>
      </c>
      <c r="AG766" s="38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130</v>
      </c>
      <c r="B767" s="40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8" t="b" cm="1">
        <f t="array" ref="AE767">IFERROR(_xlfn.BYROW(TRACK_TYPES[[#This Row],[TRACK_TYPE_STANDARD_GAUGE_RAILTYPE_OHLE]:[TRACK_TYPE_STANDARD_GAUGE_RAILTYPE_NONE]],_xlfn.LAMBDA(_xlpm.r,OR(_xlpm.r))),FALSE)</f>
        <v>0</v>
      </c>
      <c r="AF767" s="38" t="b" cm="1">
        <f t="array" ref="AF767">IFERROR(_xlfn.BYROW(TRACK_TYPES[[#This Row],[TRACK_TYPE_NARROW_GAUGE_RAILTYPE_OHLE]:[TRACK_TYPE_NARROW_GAUGE_RAILTYPE_NONE]],_xlfn.LAMBDA(_xlpm.r,OR(_xlpm.r))),FALSE)</f>
        <v>0</v>
      </c>
      <c r="AG767" s="38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131</v>
      </c>
      <c r="B768" s="40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8" t="b" cm="1">
        <f t="array" ref="AE768">IFERROR(_xlfn.BYROW(TRACK_TYPES[[#This Row],[TRACK_TYPE_STANDARD_GAUGE_RAILTYPE_OHLE]:[TRACK_TYPE_STANDARD_GAUGE_RAILTYPE_NONE]],_xlfn.LAMBDA(_xlpm.r,OR(_xlpm.r))),FALSE)</f>
        <v>1</v>
      </c>
      <c r="AF768" s="38" t="b" cm="1">
        <f t="array" ref="AF768">IFERROR(_xlfn.BYROW(TRACK_TYPES[[#This Row],[TRACK_TYPE_NARROW_GAUGE_RAILTYPE_OHLE]:[TRACK_TYPE_NARROW_GAUGE_RAILTYPE_NONE]],_xlfn.LAMBDA(_xlpm.r,OR(_xlpm.r))),FALSE)</f>
        <v>1</v>
      </c>
      <c r="AG768" s="38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132</v>
      </c>
      <c r="B769" s="40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8" t="b" cm="1">
        <f t="array" ref="AE769">IFERROR(_xlfn.BYROW(TRACK_TYPES[[#This Row],[TRACK_TYPE_STANDARD_GAUGE_RAILTYPE_OHLE]:[TRACK_TYPE_STANDARD_GAUGE_RAILTYPE_NONE]],_xlfn.LAMBDA(_xlpm.r,OR(_xlpm.r))),FALSE)</f>
        <v>1</v>
      </c>
      <c r="AF769" s="38" t="b" cm="1">
        <f t="array" ref="AF769">IFERROR(_xlfn.BYROW(TRACK_TYPES[[#This Row],[TRACK_TYPE_NARROW_GAUGE_RAILTYPE_OHLE]:[TRACK_TYPE_NARROW_GAUGE_RAILTYPE_NONE]],_xlfn.LAMBDA(_xlpm.r,OR(_xlpm.r))),FALSE)</f>
        <v>1</v>
      </c>
      <c r="AG769" s="38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133</v>
      </c>
      <c r="B770" s="40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8" t="b" cm="1">
        <f t="array" ref="AE770">IFERROR(_xlfn.BYROW(TRACK_TYPES[[#This Row],[TRACK_TYPE_STANDARD_GAUGE_RAILTYPE_OHLE]:[TRACK_TYPE_STANDARD_GAUGE_RAILTYPE_NONE]],_xlfn.LAMBDA(_xlpm.r,OR(_xlpm.r))),FALSE)</f>
        <v>1</v>
      </c>
      <c r="AF770" s="38" t="b" cm="1">
        <f t="array" ref="AF770">IFERROR(_xlfn.BYROW(TRACK_TYPES[[#This Row],[TRACK_TYPE_NARROW_GAUGE_RAILTYPE_OHLE]:[TRACK_TYPE_NARROW_GAUGE_RAILTYPE_NONE]],_xlfn.LAMBDA(_xlpm.r,OR(_xlpm.r))),FALSE)</f>
        <v>1</v>
      </c>
      <c r="AG770" s="38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134</v>
      </c>
      <c r="B771" s="40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8" t="b" cm="1">
        <f t="array" ref="AE771">IFERROR(_xlfn.BYROW(TRACK_TYPES[[#This Row],[TRACK_TYPE_STANDARD_GAUGE_RAILTYPE_OHLE]:[TRACK_TYPE_STANDARD_GAUGE_RAILTYPE_NONE]],_xlfn.LAMBDA(_xlpm.r,OR(_xlpm.r))),FALSE)</f>
        <v>1</v>
      </c>
      <c r="AF771" s="38" t="b" cm="1">
        <f t="array" ref="AF771">IFERROR(_xlfn.BYROW(TRACK_TYPES[[#This Row],[TRACK_TYPE_NARROW_GAUGE_RAILTYPE_OHLE]:[TRACK_TYPE_NARROW_GAUGE_RAILTYPE_NONE]],_xlfn.LAMBDA(_xlpm.r,OR(_xlpm.r))),FALSE)</f>
        <v>1</v>
      </c>
      <c r="AG771" s="38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135</v>
      </c>
      <c r="B772" s="40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8" t="b" cm="1">
        <f t="array" ref="AE772">IFERROR(_xlfn.BYROW(TRACK_TYPES[[#This Row],[TRACK_TYPE_STANDARD_GAUGE_RAILTYPE_OHLE]:[TRACK_TYPE_STANDARD_GAUGE_RAILTYPE_NONE]],_xlfn.LAMBDA(_xlpm.r,OR(_xlpm.r))),FALSE)</f>
        <v>1</v>
      </c>
      <c r="AF772" s="38" t="b" cm="1">
        <f t="array" ref="AF772">IFERROR(_xlfn.BYROW(TRACK_TYPES[[#This Row],[TRACK_TYPE_NARROW_GAUGE_RAILTYPE_OHLE]:[TRACK_TYPE_NARROW_GAUGE_RAILTYPE_NONE]],_xlfn.LAMBDA(_xlpm.r,OR(_xlpm.r))),FALSE)</f>
        <v>1</v>
      </c>
      <c r="AG772" s="38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136</v>
      </c>
      <c r="B773" s="40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8" t="b" cm="1">
        <f t="array" ref="AE773">IFERROR(_xlfn.BYROW(TRACK_TYPES[[#This Row],[TRACK_TYPE_STANDARD_GAUGE_RAILTYPE_OHLE]:[TRACK_TYPE_STANDARD_GAUGE_RAILTYPE_NONE]],_xlfn.LAMBDA(_xlpm.r,OR(_xlpm.r))),FALSE)</f>
        <v>1</v>
      </c>
      <c r="AF773" s="38" t="b" cm="1">
        <f t="array" ref="AF773">IFERROR(_xlfn.BYROW(TRACK_TYPES[[#This Row],[TRACK_TYPE_NARROW_GAUGE_RAILTYPE_OHLE]:[TRACK_TYPE_NARROW_GAUGE_RAILTYPE_NONE]],_xlfn.LAMBDA(_xlpm.r,OR(_xlpm.r))),FALSE)</f>
        <v>1</v>
      </c>
      <c r="AG773" s="38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137</v>
      </c>
      <c r="B774" s="40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8" t="b" cm="1">
        <f t="array" ref="AE774">IFERROR(_xlfn.BYROW(TRACK_TYPES[[#This Row],[TRACK_TYPE_STANDARD_GAUGE_RAILTYPE_OHLE]:[TRACK_TYPE_STANDARD_GAUGE_RAILTYPE_NONE]],_xlfn.LAMBDA(_xlpm.r,OR(_xlpm.r))),FALSE)</f>
        <v>1</v>
      </c>
      <c r="AF774" s="38" t="b" cm="1">
        <f t="array" ref="AF774">IFERROR(_xlfn.BYROW(TRACK_TYPES[[#This Row],[TRACK_TYPE_NARROW_GAUGE_RAILTYPE_OHLE]:[TRACK_TYPE_NARROW_GAUGE_RAILTYPE_NONE]],_xlfn.LAMBDA(_xlpm.r,OR(_xlpm.r))),FALSE)</f>
        <v>1</v>
      </c>
      <c r="AG774" s="38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138</v>
      </c>
      <c r="B775" s="40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8" t="b" cm="1">
        <f t="array" ref="AE775">IFERROR(_xlfn.BYROW(TRACK_TYPES[[#This Row],[TRACK_TYPE_STANDARD_GAUGE_RAILTYPE_OHLE]:[TRACK_TYPE_STANDARD_GAUGE_RAILTYPE_NONE]],_xlfn.LAMBDA(_xlpm.r,OR(_xlpm.r))),FALSE)</f>
        <v>1</v>
      </c>
      <c r="AF775" s="38" t="b" cm="1">
        <f t="array" ref="AF775">IFERROR(_xlfn.BYROW(TRACK_TYPES[[#This Row],[TRACK_TYPE_NARROW_GAUGE_RAILTYPE_OHLE]:[TRACK_TYPE_NARROW_GAUGE_RAILTYPE_NONE]],_xlfn.LAMBDA(_xlpm.r,OR(_xlpm.r))),FALSE)</f>
        <v>1</v>
      </c>
      <c r="AG775" s="38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139</v>
      </c>
      <c r="B776" s="40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8" t="b" cm="1">
        <f t="array" ref="AE776">IFERROR(_xlfn.BYROW(TRACK_TYPES[[#This Row],[TRACK_TYPE_STANDARD_GAUGE_RAILTYPE_OHLE]:[TRACK_TYPE_STANDARD_GAUGE_RAILTYPE_NONE]],_xlfn.LAMBDA(_xlpm.r,OR(_xlpm.r))),FALSE)</f>
        <v>1</v>
      </c>
      <c r="AF776" s="38" t="b" cm="1">
        <f t="array" ref="AF776">IFERROR(_xlfn.BYROW(TRACK_TYPES[[#This Row],[TRACK_TYPE_NARROW_GAUGE_RAILTYPE_OHLE]:[TRACK_TYPE_NARROW_GAUGE_RAILTYPE_NONE]],_xlfn.LAMBDA(_xlpm.r,OR(_xlpm.r))),FALSE)</f>
        <v>1</v>
      </c>
      <c r="AG776" s="38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140</v>
      </c>
      <c r="B777" s="40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8" t="b" cm="1">
        <f t="array" ref="AE777">IFERROR(_xlfn.BYROW(TRACK_TYPES[[#This Row],[TRACK_TYPE_STANDARD_GAUGE_RAILTYPE_OHLE]:[TRACK_TYPE_STANDARD_GAUGE_RAILTYPE_NONE]],_xlfn.LAMBDA(_xlpm.r,OR(_xlpm.r))),FALSE)</f>
        <v>1</v>
      </c>
      <c r="AF777" s="38" t="b" cm="1">
        <f t="array" ref="AF777">IFERROR(_xlfn.BYROW(TRACK_TYPES[[#This Row],[TRACK_TYPE_NARROW_GAUGE_RAILTYPE_OHLE]:[TRACK_TYPE_NARROW_GAUGE_RAILTYPE_NONE]],_xlfn.LAMBDA(_xlpm.r,OR(_xlpm.r))),FALSE)</f>
        <v>1</v>
      </c>
      <c r="AG777" s="38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141</v>
      </c>
      <c r="B778" s="40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8" t="b" cm="1">
        <f t="array" ref="AE778">IFERROR(_xlfn.BYROW(TRACK_TYPES[[#This Row],[TRACK_TYPE_STANDARD_GAUGE_RAILTYPE_OHLE]:[TRACK_TYPE_STANDARD_GAUGE_RAILTYPE_NONE]],_xlfn.LAMBDA(_xlpm.r,OR(_xlpm.r))),FALSE)</f>
        <v>1</v>
      </c>
      <c r="AF778" s="38" t="b" cm="1">
        <f t="array" ref="AF778">IFERROR(_xlfn.BYROW(TRACK_TYPES[[#This Row],[TRACK_TYPE_NARROW_GAUGE_RAILTYPE_OHLE]:[TRACK_TYPE_NARROW_GAUGE_RAILTYPE_NONE]],_xlfn.LAMBDA(_xlpm.r,OR(_xlpm.r))),FALSE)</f>
        <v>1</v>
      </c>
      <c r="AG778" s="38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142</v>
      </c>
      <c r="B779" s="40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8" t="b" cm="1">
        <f t="array" ref="AE779">IFERROR(_xlfn.BYROW(TRACK_TYPES[[#This Row],[TRACK_TYPE_STANDARD_GAUGE_RAILTYPE_OHLE]:[TRACK_TYPE_STANDARD_GAUGE_RAILTYPE_NONE]],_xlfn.LAMBDA(_xlpm.r,OR(_xlpm.r))),FALSE)</f>
        <v>1</v>
      </c>
      <c r="AF779" s="38" t="b" cm="1">
        <f t="array" ref="AF779">IFERROR(_xlfn.BYROW(TRACK_TYPES[[#This Row],[TRACK_TYPE_NARROW_GAUGE_RAILTYPE_OHLE]:[TRACK_TYPE_NARROW_GAUGE_RAILTYPE_NONE]],_xlfn.LAMBDA(_xlpm.r,OR(_xlpm.r))),FALSE)</f>
        <v>1</v>
      </c>
      <c r="AG779" s="38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143</v>
      </c>
      <c r="B780" s="40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8" t="b" cm="1">
        <f t="array" ref="AE780">IFERROR(_xlfn.BYROW(TRACK_TYPES[[#This Row],[TRACK_TYPE_STANDARD_GAUGE_RAILTYPE_OHLE]:[TRACK_TYPE_STANDARD_GAUGE_RAILTYPE_NONE]],_xlfn.LAMBDA(_xlpm.r,OR(_xlpm.r))),FALSE)</f>
        <v>1</v>
      </c>
      <c r="AF780" s="38" t="b" cm="1">
        <f t="array" ref="AF780">IFERROR(_xlfn.BYROW(TRACK_TYPES[[#This Row],[TRACK_TYPE_NARROW_GAUGE_RAILTYPE_OHLE]:[TRACK_TYPE_NARROW_GAUGE_RAILTYPE_NONE]],_xlfn.LAMBDA(_xlpm.r,OR(_xlpm.r))),FALSE)</f>
        <v>1</v>
      </c>
      <c r="AG780" s="38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144</v>
      </c>
      <c r="B781" s="40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8" t="b" cm="1">
        <f t="array" ref="AE781">IFERROR(_xlfn.BYROW(TRACK_TYPES[[#This Row],[TRACK_TYPE_STANDARD_GAUGE_RAILTYPE_OHLE]:[TRACK_TYPE_STANDARD_GAUGE_RAILTYPE_NONE]],_xlfn.LAMBDA(_xlpm.r,OR(_xlpm.r))),FALSE)</f>
        <v>1</v>
      </c>
      <c r="AF781" s="38" t="b" cm="1">
        <f t="array" ref="AF781">IFERROR(_xlfn.BYROW(TRACK_TYPES[[#This Row],[TRACK_TYPE_NARROW_GAUGE_RAILTYPE_OHLE]:[TRACK_TYPE_NARROW_GAUGE_RAILTYPE_NONE]],_xlfn.LAMBDA(_xlpm.r,OR(_xlpm.r))),FALSE)</f>
        <v>1</v>
      </c>
      <c r="AG781" s="38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145</v>
      </c>
      <c r="B782" s="40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8" t="b" cm="1">
        <f t="array" ref="AE782">IFERROR(_xlfn.BYROW(TRACK_TYPES[[#This Row],[TRACK_TYPE_STANDARD_GAUGE_RAILTYPE_OHLE]:[TRACK_TYPE_STANDARD_GAUGE_RAILTYPE_NONE]],_xlfn.LAMBDA(_xlpm.r,OR(_xlpm.r))),FALSE)</f>
        <v>1</v>
      </c>
      <c r="AF782" s="38" t="b" cm="1">
        <f t="array" ref="AF782">IFERROR(_xlfn.BYROW(TRACK_TYPES[[#This Row],[TRACK_TYPE_NARROW_GAUGE_RAILTYPE_OHLE]:[TRACK_TYPE_NARROW_GAUGE_RAILTYPE_NONE]],_xlfn.LAMBDA(_xlpm.r,OR(_xlpm.r))),FALSE)</f>
        <v>1</v>
      </c>
      <c r="AG782" s="38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146</v>
      </c>
      <c r="B783" s="40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8" t="b" cm="1">
        <f t="array" ref="AE783">IFERROR(_xlfn.BYROW(TRACK_TYPES[[#This Row],[TRACK_TYPE_STANDARD_GAUGE_RAILTYPE_OHLE]:[TRACK_TYPE_STANDARD_GAUGE_RAILTYPE_NONE]],_xlfn.LAMBDA(_xlpm.r,OR(_xlpm.r))),FALSE)</f>
        <v>1</v>
      </c>
      <c r="AF783" s="38" t="b" cm="1">
        <f t="array" ref="AF783">IFERROR(_xlfn.BYROW(TRACK_TYPES[[#This Row],[TRACK_TYPE_NARROW_GAUGE_RAILTYPE_OHLE]:[TRACK_TYPE_NARROW_GAUGE_RAILTYPE_NONE]],_xlfn.LAMBDA(_xlpm.r,OR(_xlpm.r))),FALSE)</f>
        <v>1</v>
      </c>
      <c r="AG783" s="38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147</v>
      </c>
      <c r="B784" s="40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8" t="b" cm="1">
        <f t="array" ref="AE784">IFERROR(_xlfn.BYROW(TRACK_TYPES[[#This Row],[TRACK_TYPE_STANDARD_GAUGE_RAILTYPE_OHLE]:[TRACK_TYPE_STANDARD_GAUGE_RAILTYPE_NONE]],_xlfn.LAMBDA(_xlpm.r,OR(_xlpm.r))),FALSE)</f>
        <v>1</v>
      </c>
      <c r="AF784" s="38" t="b" cm="1">
        <f t="array" ref="AF784">IFERROR(_xlfn.BYROW(TRACK_TYPES[[#This Row],[TRACK_TYPE_NARROW_GAUGE_RAILTYPE_OHLE]:[TRACK_TYPE_NARROW_GAUGE_RAILTYPE_NONE]],_xlfn.LAMBDA(_xlpm.r,OR(_xlpm.r))),FALSE)</f>
        <v>1</v>
      </c>
      <c r="AG784" s="38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148</v>
      </c>
      <c r="B785" s="40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8" t="b" cm="1">
        <f t="array" ref="AE785">IFERROR(_xlfn.BYROW(TRACK_TYPES[[#This Row],[TRACK_TYPE_STANDARD_GAUGE_RAILTYPE_OHLE]:[TRACK_TYPE_STANDARD_GAUGE_RAILTYPE_NONE]],_xlfn.LAMBDA(_xlpm.r,OR(_xlpm.r))),FALSE)</f>
        <v>1</v>
      </c>
      <c r="AF785" s="38" t="b" cm="1">
        <f t="array" ref="AF785">IFERROR(_xlfn.BYROW(TRACK_TYPES[[#This Row],[TRACK_TYPE_NARROW_GAUGE_RAILTYPE_OHLE]:[TRACK_TYPE_NARROW_GAUGE_RAILTYPE_NONE]],_xlfn.LAMBDA(_xlpm.r,OR(_xlpm.r))),FALSE)</f>
        <v>1</v>
      </c>
      <c r="AG785" s="38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149</v>
      </c>
      <c r="B786" s="40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8" t="b" cm="1">
        <f t="array" ref="AE786">IFERROR(_xlfn.BYROW(TRACK_TYPES[[#This Row],[TRACK_TYPE_STANDARD_GAUGE_RAILTYPE_OHLE]:[TRACK_TYPE_STANDARD_GAUGE_RAILTYPE_NONE]],_xlfn.LAMBDA(_xlpm.r,OR(_xlpm.r))),FALSE)</f>
        <v>1</v>
      </c>
      <c r="AF786" s="38" t="b" cm="1">
        <f t="array" ref="AF786">IFERROR(_xlfn.BYROW(TRACK_TYPES[[#This Row],[TRACK_TYPE_NARROW_GAUGE_RAILTYPE_OHLE]:[TRACK_TYPE_NARROW_GAUGE_RAILTYPE_NONE]],_xlfn.LAMBDA(_xlpm.r,OR(_xlpm.r))),FALSE)</f>
        <v>1</v>
      </c>
      <c r="AG786" s="38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150</v>
      </c>
      <c r="B787" s="40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8" t="b" cm="1">
        <f t="array" ref="AE787">IFERROR(_xlfn.BYROW(TRACK_TYPES[[#This Row],[TRACK_TYPE_STANDARD_GAUGE_RAILTYPE_OHLE]:[TRACK_TYPE_STANDARD_GAUGE_RAILTYPE_NONE]],_xlfn.LAMBDA(_xlpm.r,OR(_xlpm.r))),FALSE)</f>
        <v>1</v>
      </c>
      <c r="AF787" s="38" t="b" cm="1">
        <f t="array" ref="AF787">IFERROR(_xlfn.BYROW(TRACK_TYPES[[#This Row],[TRACK_TYPE_NARROW_GAUGE_RAILTYPE_OHLE]:[TRACK_TYPE_NARROW_GAUGE_RAILTYPE_NONE]],_xlfn.LAMBDA(_xlpm.r,OR(_xlpm.r))),FALSE)</f>
        <v>1</v>
      </c>
      <c r="AG787" s="38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151</v>
      </c>
      <c r="B788" s="40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8" t="b" cm="1">
        <f t="array" ref="AE788">IFERROR(_xlfn.BYROW(TRACK_TYPES[[#This Row],[TRACK_TYPE_STANDARD_GAUGE_RAILTYPE_OHLE]:[TRACK_TYPE_STANDARD_GAUGE_RAILTYPE_NONE]],_xlfn.LAMBDA(_xlpm.r,OR(_xlpm.r))),FALSE)</f>
        <v>1</v>
      </c>
      <c r="AF788" s="38" t="b" cm="1">
        <f t="array" ref="AF788">IFERROR(_xlfn.BYROW(TRACK_TYPES[[#This Row],[TRACK_TYPE_NARROW_GAUGE_RAILTYPE_OHLE]:[TRACK_TYPE_NARROW_GAUGE_RAILTYPE_NONE]],_xlfn.LAMBDA(_xlpm.r,OR(_xlpm.r))),FALSE)</f>
        <v>1</v>
      </c>
      <c r="AG788" s="38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152</v>
      </c>
      <c r="B789" s="40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8" t="b" cm="1">
        <f t="array" ref="AE789">IFERROR(_xlfn.BYROW(TRACK_TYPES[[#This Row],[TRACK_TYPE_STANDARD_GAUGE_RAILTYPE_OHLE]:[TRACK_TYPE_STANDARD_GAUGE_RAILTYPE_NONE]],_xlfn.LAMBDA(_xlpm.r,OR(_xlpm.r))),FALSE)</f>
        <v>1</v>
      </c>
      <c r="AF789" s="38" t="b" cm="1">
        <f t="array" ref="AF789">IFERROR(_xlfn.BYROW(TRACK_TYPES[[#This Row],[TRACK_TYPE_NARROW_GAUGE_RAILTYPE_OHLE]:[TRACK_TYPE_NARROW_GAUGE_RAILTYPE_NONE]],_xlfn.LAMBDA(_xlpm.r,OR(_xlpm.r))),FALSE)</f>
        <v>1</v>
      </c>
      <c r="AG789" s="38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3266</v>
      </c>
      <c r="B790" s="40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8" t="b" cm="1">
        <f t="array" ref="AE790">IFERROR(_xlfn.BYROW(TRACK_TYPES[[#This Row],[TRACK_TYPE_STANDARD_GAUGE_RAILTYPE_OHLE]:[TRACK_TYPE_STANDARD_GAUGE_RAILTYPE_NONE]],_xlfn.LAMBDA(_xlpm.r,OR(_xlpm.r))),FALSE)</f>
        <v>1</v>
      </c>
      <c r="AF790" s="38" t="b" cm="1">
        <f t="array" ref="AF790">IFERROR(_xlfn.BYROW(TRACK_TYPES[[#This Row],[TRACK_TYPE_NARROW_GAUGE_RAILTYPE_OHLE]:[TRACK_TYPE_NARROW_GAUGE_RAILTYPE_NONE]],_xlfn.LAMBDA(_xlpm.r,OR(_xlpm.r))),FALSE)</f>
        <v>0</v>
      </c>
      <c r="AG790" s="38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3267</v>
      </c>
      <c r="B791" s="40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8" t="b" cm="1">
        <f t="array" ref="AE791">IFERROR(_xlfn.BYROW(TRACK_TYPES[[#This Row],[TRACK_TYPE_STANDARD_GAUGE_RAILTYPE_OHLE]:[TRACK_TYPE_STANDARD_GAUGE_RAILTYPE_NONE]],_xlfn.LAMBDA(_xlpm.r,OR(_xlpm.r))),FALSE)</f>
        <v>0</v>
      </c>
      <c r="AF791" s="38" t="b" cm="1">
        <f t="array" ref="AF791">IFERROR(_xlfn.BYROW(TRACK_TYPES[[#This Row],[TRACK_TYPE_NARROW_GAUGE_RAILTYPE_OHLE]:[TRACK_TYPE_NARROW_GAUGE_RAILTYPE_NONE]],_xlfn.LAMBDA(_xlpm.r,OR(_xlpm.r))),FALSE)</f>
        <v>1</v>
      </c>
      <c r="AG791" s="38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3268</v>
      </c>
      <c r="B792" s="40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8" t="b" cm="1">
        <f t="array" ref="AE792">IFERROR(_xlfn.BYROW(TRACK_TYPES[[#This Row],[TRACK_TYPE_STANDARD_GAUGE_RAILTYPE_OHLE]:[TRACK_TYPE_STANDARD_GAUGE_RAILTYPE_NONE]],_xlfn.LAMBDA(_xlpm.r,OR(_xlpm.r))),FALSE)</f>
        <v>0</v>
      </c>
      <c r="AF792" s="38" t="b" cm="1">
        <f t="array" ref="AF792">IFERROR(_xlfn.BYROW(TRACK_TYPES[[#This Row],[TRACK_TYPE_NARROW_GAUGE_RAILTYPE_OHLE]:[TRACK_TYPE_NARROW_GAUGE_RAILTYPE_NONE]],_xlfn.LAMBDA(_xlpm.r,OR(_xlpm.r))),FALSE)</f>
        <v>1</v>
      </c>
      <c r="AG792" s="38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3269</v>
      </c>
      <c r="B793" s="40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8" t="b" cm="1">
        <f t="array" ref="AE793">IFERROR(_xlfn.BYROW(TRACK_TYPES[[#This Row],[TRACK_TYPE_STANDARD_GAUGE_RAILTYPE_OHLE]:[TRACK_TYPE_STANDARD_GAUGE_RAILTYPE_NONE]],_xlfn.LAMBDA(_xlpm.r,OR(_xlpm.r))),FALSE)</f>
        <v>1</v>
      </c>
      <c r="AF793" s="38" t="b" cm="1">
        <f t="array" ref="AF793">IFERROR(_xlfn.BYROW(TRACK_TYPES[[#This Row],[TRACK_TYPE_NARROW_GAUGE_RAILTYPE_OHLE]:[TRACK_TYPE_NARROW_GAUGE_RAILTYPE_NONE]],_xlfn.LAMBDA(_xlpm.r,OR(_xlpm.r))),FALSE)</f>
        <v>0</v>
      </c>
      <c r="AG793" s="38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3270</v>
      </c>
      <c r="B794" s="40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8" t="b" cm="1">
        <f t="array" ref="AE794">IFERROR(_xlfn.BYROW(TRACK_TYPES[[#This Row],[TRACK_TYPE_STANDARD_GAUGE_RAILTYPE_OHLE]:[TRACK_TYPE_STANDARD_GAUGE_RAILTYPE_NONE]],_xlfn.LAMBDA(_xlpm.r,OR(_xlpm.r))),FALSE)</f>
        <v>1</v>
      </c>
      <c r="AF794" s="38" t="b" cm="1">
        <f t="array" ref="AF794">IFERROR(_xlfn.BYROW(TRACK_TYPES[[#This Row],[TRACK_TYPE_NARROW_GAUGE_RAILTYPE_OHLE]:[TRACK_TYPE_NARROW_GAUGE_RAILTYPE_NONE]],_xlfn.LAMBDA(_xlpm.r,OR(_xlpm.r))),FALSE)</f>
        <v>0</v>
      </c>
      <c r="AG794" s="38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3271</v>
      </c>
      <c r="B795" s="40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8" t="b" cm="1">
        <f t="array" ref="AE795">IFERROR(_xlfn.BYROW(TRACK_TYPES[[#This Row],[TRACK_TYPE_STANDARD_GAUGE_RAILTYPE_OHLE]:[TRACK_TYPE_STANDARD_GAUGE_RAILTYPE_NONE]],_xlfn.LAMBDA(_xlpm.r,OR(_xlpm.r))),FALSE)</f>
        <v>0</v>
      </c>
      <c r="AF795" s="38" t="b" cm="1">
        <f t="array" ref="AF795">IFERROR(_xlfn.BYROW(TRACK_TYPES[[#This Row],[TRACK_TYPE_NARROW_GAUGE_RAILTYPE_OHLE]:[TRACK_TYPE_NARROW_GAUGE_RAILTYPE_NONE]],_xlfn.LAMBDA(_xlpm.r,OR(_xlpm.r))),FALSE)</f>
        <v>1</v>
      </c>
      <c r="AG795" s="38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3446</v>
      </c>
      <c r="B796" s="40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8" t="b" cm="1">
        <f t="array" ref="AE796">IFERROR(_xlfn.BYROW(TRACK_TYPES[[#This Row],[TRACK_TYPE_STANDARD_GAUGE_RAILTYPE_OHLE]:[TRACK_TYPE_STANDARD_GAUGE_RAILTYPE_NONE]],_xlfn.LAMBDA(_xlpm.r,OR(_xlpm.r))),FALSE)</f>
        <v>0</v>
      </c>
      <c r="AF796" s="38" t="b" cm="1">
        <f t="array" ref="AF796">IFERROR(_xlfn.BYROW(TRACK_TYPES[[#This Row],[TRACK_TYPE_NARROW_GAUGE_RAILTYPE_OHLE]:[TRACK_TYPE_NARROW_GAUGE_RAILTYPE_NONE]],_xlfn.LAMBDA(_xlpm.r,OR(_xlpm.r))),FALSE)</f>
        <v>1</v>
      </c>
      <c r="AG796" s="38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3272</v>
      </c>
      <c r="B797" s="40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8" t="b" cm="1">
        <f t="array" ref="AE797">IFERROR(_xlfn.BYROW(TRACK_TYPES[[#This Row],[TRACK_TYPE_STANDARD_GAUGE_RAILTYPE_OHLE]:[TRACK_TYPE_STANDARD_GAUGE_RAILTYPE_NONE]],_xlfn.LAMBDA(_xlpm.r,OR(_xlpm.r))),FALSE)</f>
        <v>0</v>
      </c>
      <c r="AF797" s="38" t="b" cm="1">
        <f t="array" ref="AF797">IFERROR(_xlfn.BYROW(TRACK_TYPES[[#This Row],[TRACK_TYPE_NARROW_GAUGE_RAILTYPE_OHLE]:[TRACK_TYPE_NARROW_GAUGE_RAILTYPE_NONE]],_xlfn.LAMBDA(_xlpm.r,OR(_xlpm.r))),FALSE)</f>
        <v>1</v>
      </c>
      <c r="AG797" s="38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3273</v>
      </c>
      <c r="B798" s="40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8" t="b" cm="1">
        <f t="array" ref="AE798">IFERROR(_xlfn.BYROW(TRACK_TYPES[[#This Row],[TRACK_TYPE_STANDARD_GAUGE_RAILTYPE_OHLE]:[TRACK_TYPE_STANDARD_GAUGE_RAILTYPE_NONE]],_xlfn.LAMBDA(_xlpm.r,OR(_xlpm.r))),FALSE)</f>
        <v>0</v>
      </c>
      <c r="AF798" s="38" t="b" cm="1">
        <f t="array" ref="AF798">IFERROR(_xlfn.BYROW(TRACK_TYPES[[#This Row],[TRACK_TYPE_NARROW_GAUGE_RAILTYPE_OHLE]:[TRACK_TYPE_NARROW_GAUGE_RAILTYPE_NONE]],_xlfn.LAMBDA(_xlpm.r,OR(_xlpm.r))),FALSE)</f>
        <v>1</v>
      </c>
      <c r="AG798" s="38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3274</v>
      </c>
      <c r="B799" s="40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8" t="b" cm="1">
        <f t="array" ref="AE799">IFERROR(_xlfn.BYROW(TRACK_TYPES[[#This Row],[TRACK_TYPE_STANDARD_GAUGE_RAILTYPE_OHLE]:[TRACK_TYPE_STANDARD_GAUGE_RAILTYPE_NONE]],_xlfn.LAMBDA(_xlpm.r,OR(_xlpm.r))),FALSE)</f>
        <v>0</v>
      </c>
      <c r="AF799" s="38" t="b" cm="1">
        <f t="array" ref="AF799">IFERROR(_xlfn.BYROW(TRACK_TYPES[[#This Row],[TRACK_TYPE_NARROW_GAUGE_RAILTYPE_OHLE]:[TRACK_TYPE_NARROW_GAUGE_RAILTYPE_NONE]],_xlfn.LAMBDA(_xlpm.r,OR(_xlpm.r))),FALSE)</f>
        <v>1</v>
      </c>
      <c r="AG799" s="38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3275</v>
      </c>
      <c r="B800" s="40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8" t="b" cm="1">
        <f t="array" ref="AE800">IFERROR(_xlfn.BYROW(TRACK_TYPES[[#This Row],[TRACK_TYPE_STANDARD_GAUGE_RAILTYPE_OHLE]:[TRACK_TYPE_STANDARD_GAUGE_RAILTYPE_NONE]],_xlfn.LAMBDA(_xlpm.r,OR(_xlpm.r))),FALSE)</f>
        <v>0</v>
      </c>
      <c r="AF800" s="38" t="b" cm="1">
        <f t="array" ref="AF800">IFERROR(_xlfn.BYROW(TRACK_TYPES[[#This Row],[TRACK_TYPE_NARROW_GAUGE_RAILTYPE_OHLE]:[TRACK_TYPE_NARROW_GAUGE_RAILTYPE_NONE]],_xlfn.LAMBDA(_xlpm.r,OR(_xlpm.r))),FALSE)</f>
        <v>1</v>
      </c>
      <c r="AG800" s="38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3276</v>
      </c>
      <c r="B801" s="40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8" t="b" cm="1">
        <f t="array" ref="AE801">IFERROR(_xlfn.BYROW(TRACK_TYPES[[#This Row],[TRACK_TYPE_STANDARD_GAUGE_RAILTYPE_OHLE]:[TRACK_TYPE_STANDARD_GAUGE_RAILTYPE_NONE]],_xlfn.LAMBDA(_xlpm.r,OR(_xlpm.r))),FALSE)</f>
        <v>0</v>
      </c>
      <c r="AF801" s="38" t="b" cm="1">
        <f t="array" ref="AF801">IFERROR(_xlfn.BYROW(TRACK_TYPES[[#This Row],[TRACK_TYPE_NARROW_GAUGE_RAILTYPE_OHLE]:[TRACK_TYPE_NARROW_GAUGE_RAILTYPE_NONE]],_xlfn.LAMBDA(_xlpm.r,OR(_xlpm.r))),FALSE)</f>
        <v>1</v>
      </c>
      <c r="AG801" s="38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3277</v>
      </c>
      <c r="B802" s="40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8" t="b" cm="1">
        <f t="array" ref="AE802">IFERROR(_xlfn.BYROW(TRACK_TYPES[[#This Row],[TRACK_TYPE_STANDARD_GAUGE_RAILTYPE_OHLE]:[TRACK_TYPE_STANDARD_GAUGE_RAILTYPE_NONE]],_xlfn.LAMBDA(_xlpm.r,OR(_xlpm.r))),FALSE)</f>
        <v>0</v>
      </c>
      <c r="AF802" s="38" t="b" cm="1">
        <f t="array" ref="AF802">IFERROR(_xlfn.BYROW(TRACK_TYPES[[#This Row],[TRACK_TYPE_NARROW_GAUGE_RAILTYPE_OHLE]:[TRACK_TYPE_NARROW_GAUGE_RAILTYPE_NONE]],_xlfn.LAMBDA(_xlpm.r,OR(_xlpm.r))),FALSE)</f>
        <v>1</v>
      </c>
      <c r="AG802" s="38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3278</v>
      </c>
      <c r="B803" s="40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8" t="b" cm="1">
        <f t="array" ref="AE803">IFERROR(_xlfn.BYROW(TRACK_TYPES[[#This Row],[TRACK_TYPE_STANDARD_GAUGE_RAILTYPE_OHLE]:[TRACK_TYPE_STANDARD_GAUGE_RAILTYPE_NONE]],_xlfn.LAMBDA(_xlpm.r,OR(_xlpm.r))),FALSE)</f>
        <v>1</v>
      </c>
      <c r="AF803" s="38" t="b" cm="1">
        <f t="array" ref="AF803">IFERROR(_xlfn.BYROW(TRACK_TYPES[[#This Row],[TRACK_TYPE_NARROW_GAUGE_RAILTYPE_OHLE]:[TRACK_TYPE_NARROW_GAUGE_RAILTYPE_NONE]],_xlfn.LAMBDA(_xlpm.r,OR(_xlpm.r))),FALSE)</f>
        <v>0</v>
      </c>
      <c r="AG803" s="38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3279</v>
      </c>
      <c r="B804" s="40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8" t="b" cm="1">
        <f t="array" ref="AE804">IFERROR(_xlfn.BYROW(TRACK_TYPES[[#This Row],[TRACK_TYPE_STANDARD_GAUGE_RAILTYPE_OHLE]:[TRACK_TYPE_STANDARD_GAUGE_RAILTYPE_NONE]],_xlfn.LAMBDA(_xlpm.r,OR(_xlpm.r))),FALSE)</f>
        <v>1</v>
      </c>
      <c r="AF804" s="38" t="b" cm="1">
        <f t="array" ref="AF804">IFERROR(_xlfn.BYROW(TRACK_TYPES[[#This Row],[TRACK_TYPE_NARROW_GAUGE_RAILTYPE_OHLE]:[TRACK_TYPE_NARROW_GAUGE_RAILTYPE_NONE]],_xlfn.LAMBDA(_xlpm.r,OR(_xlpm.r))),FALSE)</f>
        <v>0</v>
      </c>
      <c r="AG804" s="38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1729</v>
      </c>
      <c r="B805" s="40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8" t="b" cm="1">
        <f t="array" ref="AE805">IFERROR(_xlfn.BYROW(TRACK_TYPES[[#This Row],[TRACK_TYPE_STANDARD_GAUGE_RAILTYPE_OHLE]:[TRACK_TYPE_STANDARD_GAUGE_RAILTYPE_NONE]],_xlfn.LAMBDA(_xlpm.r,OR(_xlpm.r))),FALSE)</f>
        <v>1</v>
      </c>
      <c r="AF805" s="38" t="b" cm="1">
        <f t="array" ref="AF805">IFERROR(_xlfn.BYROW(TRACK_TYPES[[#This Row],[TRACK_TYPE_NARROW_GAUGE_RAILTYPE_OHLE]:[TRACK_TYPE_NARROW_GAUGE_RAILTYPE_NONE]],_xlfn.LAMBDA(_xlpm.r,OR(_xlpm.r))),FALSE)</f>
        <v>1</v>
      </c>
      <c r="AG805" s="38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1730</v>
      </c>
      <c r="B806" s="40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8" t="b" cm="1">
        <f t="array" ref="AE806">IFERROR(_xlfn.BYROW(TRACK_TYPES[[#This Row],[TRACK_TYPE_STANDARD_GAUGE_RAILTYPE_OHLE]:[TRACK_TYPE_STANDARD_GAUGE_RAILTYPE_NONE]],_xlfn.LAMBDA(_xlpm.r,OR(_xlpm.r))),FALSE)</f>
        <v>1</v>
      </c>
      <c r="AF806" s="38" t="b" cm="1">
        <f t="array" ref="AF806">IFERROR(_xlfn.BYROW(TRACK_TYPES[[#This Row],[TRACK_TYPE_NARROW_GAUGE_RAILTYPE_OHLE]:[TRACK_TYPE_NARROW_GAUGE_RAILTYPE_NONE]],_xlfn.LAMBDA(_xlpm.r,OR(_xlpm.r))),FALSE)</f>
        <v>1</v>
      </c>
      <c r="AG806" s="38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1715</v>
      </c>
      <c r="B807" s="40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8" t="b" cm="1">
        <f t="array" ref="AE807">IFERROR(_xlfn.BYROW(TRACK_TYPES[[#This Row],[TRACK_TYPE_STANDARD_GAUGE_RAILTYPE_OHLE]:[TRACK_TYPE_STANDARD_GAUGE_RAILTYPE_NONE]],_xlfn.LAMBDA(_xlpm.r,OR(_xlpm.r))),FALSE)</f>
        <v>1</v>
      </c>
      <c r="AF807" s="38" t="b" cm="1">
        <f t="array" ref="AF807">IFERROR(_xlfn.BYROW(TRACK_TYPES[[#This Row],[TRACK_TYPE_NARROW_GAUGE_RAILTYPE_OHLE]:[TRACK_TYPE_NARROW_GAUGE_RAILTYPE_NONE]],_xlfn.LAMBDA(_xlpm.r,OR(_xlpm.r))),FALSE)</f>
        <v>1</v>
      </c>
      <c r="AG807" s="38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1710</v>
      </c>
      <c r="B808" s="40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8" t="b" cm="1">
        <f t="array" ref="AE808">IFERROR(_xlfn.BYROW(TRACK_TYPES[[#This Row],[TRACK_TYPE_STANDARD_GAUGE_RAILTYPE_OHLE]:[TRACK_TYPE_STANDARD_GAUGE_RAILTYPE_NONE]],_xlfn.LAMBDA(_xlpm.r,OR(_xlpm.r))),FALSE)</f>
        <v>1</v>
      </c>
      <c r="AF808" s="38" t="b" cm="1">
        <f t="array" ref="AF808">IFERROR(_xlfn.BYROW(TRACK_TYPES[[#This Row],[TRACK_TYPE_NARROW_GAUGE_RAILTYPE_OHLE]:[TRACK_TYPE_NARROW_GAUGE_RAILTYPE_NONE]],_xlfn.LAMBDA(_xlpm.r,OR(_xlpm.r))),FALSE)</f>
        <v>1</v>
      </c>
      <c r="AG808" s="38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1711</v>
      </c>
      <c r="B809" s="40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8" t="b" cm="1">
        <f t="array" ref="AE809">IFERROR(_xlfn.BYROW(TRACK_TYPES[[#This Row],[TRACK_TYPE_STANDARD_GAUGE_RAILTYPE_OHLE]:[TRACK_TYPE_STANDARD_GAUGE_RAILTYPE_NONE]],_xlfn.LAMBDA(_xlpm.r,OR(_xlpm.r))),FALSE)</f>
        <v>1</v>
      </c>
      <c r="AF809" s="38" t="b" cm="1">
        <f t="array" ref="AF809">IFERROR(_xlfn.BYROW(TRACK_TYPES[[#This Row],[TRACK_TYPE_NARROW_GAUGE_RAILTYPE_OHLE]:[TRACK_TYPE_NARROW_GAUGE_RAILTYPE_NONE]],_xlfn.LAMBDA(_xlpm.r,OR(_xlpm.r))),FALSE)</f>
        <v>1</v>
      </c>
      <c r="AG809" s="38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1712</v>
      </c>
      <c r="B810" s="40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8" t="b" cm="1">
        <f t="array" ref="AE810">IFERROR(_xlfn.BYROW(TRACK_TYPES[[#This Row],[TRACK_TYPE_STANDARD_GAUGE_RAILTYPE_OHLE]:[TRACK_TYPE_STANDARD_GAUGE_RAILTYPE_NONE]],_xlfn.LAMBDA(_xlpm.r,OR(_xlpm.r))),FALSE)</f>
        <v>1</v>
      </c>
      <c r="AF810" s="38" t="b" cm="1">
        <f t="array" ref="AF810">IFERROR(_xlfn.BYROW(TRACK_TYPES[[#This Row],[TRACK_TYPE_NARROW_GAUGE_RAILTYPE_OHLE]:[TRACK_TYPE_NARROW_GAUGE_RAILTYPE_NONE]],_xlfn.LAMBDA(_xlpm.r,OR(_xlpm.r))),FALSE)</f>
        <v>1</v>
      </c>
      <c r="AG810" s="38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1713</v>
      </c>
      <c r="B811" s="40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8" t="b" cm="1">
        <f t="array" ref="AE811">IFERROR(_xlfn.BYROW(TRACK_TYPES[[#This Row],[TRACK_TYPE_STANDARD_GAUGE_RAILTYPE_OHLE]:[TRACK_TYPE_STANDARD_GAUGE_RAILTYPE_NONE]],_xlfn.LAMBDA(_xlpm.r,OR(_xlpm.r))),FALSE)</f>
        <v>1</v>
      </c>
      <c r="AF811" s="38" t="b" cm="1">
        <f t="array" ref="AF811">IFERROR(_xlfn.BYROW(TRACK_TYPES[[#This Row],[TRACK_TYPE_NARROW_GAUGE_RAILTYPE_OHLE]:[TRACK_TYPE_NARROW_GAUGE_RAILTYPE_NONE]],_xlfn.LAMBDA(_xlpm.r,OR(_xlpm.r))),FALSE)</f>
        <v>1</v>
      </c>
      <c r="AG811" s="38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1714</v>
      </c>
      <c r="B812" s="40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8" t="b" cm="1">
        <f t="array" ref="AE812">IFERROR(_xlfn.BYROW(TRACK_TYPES[[#This Row],[TRACK_TYPE_STANDARD_GAUGE_RAILTYPE_OHLE]:[TRACK_TYPE_STANDARD_GAUGE_RAILTYPE_NONE]],_xlfn.LAMBDA(_xlpm.r,OR(_xlpm.r))),FALSE)</f>
        <v>1</v>
      </c>
      <c r="AF812" s="38" t="b" cm="1">
        <f t="array" ref="AF812">IFERROR(_xlfn.BYROW(TRACK_TYPES[[#This Row],[TRACK_TYPE_NARROW_GAUGE_RAILTYPE_OHLE]:[TRACK_TYPE_NARROW_GAUGE_RAILTYPE_NONE]],_xlfn.LAMBDA(_xlpm.r,OR(_xlpm.r))),FALSE)</f>
        <v>1</v>
      </c>
      <c r="AG812" s="38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1733</v>
      </c>
      <c r="B813" s="40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8" t="b" cm="1">
        <f t="array" ref="AE813">IFERROR(_xlfn.BYROW(TRACK_TYPES[[#This Row],[TRACK_TYPE_STANDARD_GAUGE_RAILTYPE_OHLE]:[TRACK_TYPE_STANDARD_GAUGE_RAILTYPE_NONE]],_xlfn.LAMBDA(_xlpm.r,OR(_xlpm.r))),FALSE)</f>
        <v>0</v>
      </c>
      <c r="AF813" s="38" t="b" cm="1">
        <f t="array" ref="AF813">IFERROR(_xlfn.BYROW(TRACK_TYPES[[#This Row],[TRACK_TYPE_NARROW_GAUGE_RAILTYPE_OHLE]:[TRACK_TYPE_NARROW_GAUGE_RAILTYPE_NONE]],_xlfn.LAMBDA(_xlpm.r,OR(_xlpm.r))),FALSE)</f>
        <v>0</v>
      </c>
      <c r="AG813" s="38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3280</v>
      </c>
      <c r="B814" s="40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8" t="b" cm="1">
        <f t="array" ref="AE814">IFERROR(_xlfn.BYROW(TRACK_TYPES[[#This Row],[TRACK_TYPE_STANDARD_GAUGE_RAILTYPE_OHLE]:[TRACK_TYPE_STANDARD_GAUGE_RAILTYPE_NONE]],_xlfn.LAMBDA(_xlpm.r,OR(_xlpm.r))),FALSE)</f>
        <v>1</v>
      </c>
      <c r="AF814" s="38" t="b" cm="1">
        <f t="array" ref="AF814">IFERROR(_xlfn.BYROW(TRACK_TYPES[[#This Row],[TRACK_TYPE_NARROW_GAUGE_RAILTYPE_OHLE]:[TRACK_TYPE_NARROW_GAUGE_RAILTYPE_NONE]],_xlfn.LAMBDA(_xlpm.r,OR(_xlpm.r))),FALSE)</f>
        <v>0</v>
      </c>
      <c r="AG814" s="38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3281</v>
      </c>
      <c r="B815" s="40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8" t="b" cm="1">
        <f t="array" ref="AE815">IFERROR(_xlfn.BYROW(TRACK_TYPES[[#This Row],[TRACK_TYPE_STANDARD_GAUGE_RAILTYPE_OHLE]:[TRACK_TYPE_STANDARD_GAUGE_RAILTYPE_NONE]],_xlfn.LAMBDA(_xlpm.r,OR(_xlpm.r))),FALSE)</f>
        <v>1</v>
      </c>
      <c r="AF815" s="38" t="b" cm="1">
        <f t="array" ref="AF815">IFERROR(_xlfn.BYROW(TRACK_TYPES[[#This Row],[TRACK_TYPE_NARROW_GAUGE_RAILTYPE_OHLE]:[TRACK_TYPE_NARROW_GAUGE_RAILTYPE_NONE]],_xlfn.LAMBDA(_xlpm.r,OR(_xlpm.r))),FALSE)</f>
        <v>0</v>
      </c>
      <c r="AG815" s="38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3282</v>
      </c>
      <c r="B816" s="40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8" t="b" cm="1">
        <f t="array" ref="AE816">IFERROR(_xlfn.BYROW(TRACK_TYPES[[#This Row],[TRACK_TYPE_STANDARD_GAUGE_RAILTYPE_OHLE]:[TRACK_TYPE_STANDARD_GAUGE_RAILTYPE_NONE]],_xlfn.LAMBDA(_xlpm.r,OR(_xlpm.r))),FALSE)</f>
        <v>1</v>
      </c>
      <c r="AF816" s="38" t="b" cm="1">
        <f t="array" ref="AF816">IFERROR(_xlfn.BYROW(TRACK_TYPES[[#This Row],[TRACK_TYPE_NARROW_GAUGE_RAILTYPE_OHLE]:[TRACK_TYPE_NARROW_GAUGE_RAILTYPE_NONE]],_xlfn.LAMBDA(_xlpm.r,OR(_xlpm.r))),FALSE)</f>
        <v>0</v>
      </c>
      <c r="AG816" s="38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3283</v>
      </c>
      <c r="B817" s="40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8" t="b" cm="1">
        <f t="array" ref="AE817">IFERROR(_xlfn.BYROW(TRACK_TYPES[[#This Row],[TRACK_TYPE_STANDARD_GAUGE_RAILTYPE_OHLE]:[TRACK_TYPE_STANDARD_GAUGE_RAILTYPE_NONE]],_xlfn.LAMBDA(_xlpm.r,OR(_xlpm.r))),FALSE)</f>
        <v>1</v>
      </c>
      <c r="AF817" s="38" t="b" cm="1">
        <f t="array" ref="AF817">IFERROR(_xlfn.BYROW(TRACK_TYPES[[#This Row],[TRACK_TYPE_NARROW_GAUGE_RAILTYPE_OHLE]:[TRACK_TYPE_NARROW_GAUGE_RAILTYPE_NONE]],_xlfn.LAMBDA(_xlpm.r,OR(_xlpm.r))),FALSE)</f>
        <v>0</v>
      </c>
      <c r="AG817" s="38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3284</v>
      </c>
      <c r="B818" s="40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8" t="b" cm="1">
        <f t="array" ref="AE818">IFERROR(_xlfn.BYROW(TRACK_TYPES[[#This Row],[TRACK_TYPE_STANDARD_GAUGE_RAILTYPE_OHLE]:[TRACK_TYPE_STANDARD_GAUGE_RAILTYPE_NONE]],_xlfn.LAMBDA(_xlpm.r,OR(_xlpm.r))),FALSE)</f>
        <v>1</v>
      </c>
      <c r="AF818" s="38" t="b" cm="1">
        <f t="array" ref="AF818">IFERROR(_xlfn.BYROW(TRACK_TYPES[[#This Row],[TRACK_TYPE_NARROW_GAUGE_RAILTYPE_OHLE]:[TRACK_TYPE_NARROW_GAUGE_RAILTYPE_NONE]],_xlfn.LAMBDA(_xlpm.r,OR(_xlpm.r))),FALSE)</f>
        <v>0</v>
      </c>
      <c r="AG818" s="38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3285</v>
      </c>
      <c r="B819" s="40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8" t="b" cm="1">
        <f t="array" ref="AE819">IFERROR(_xlfn.BYROW(TRACK_TYPES[[#This Row],[TRACK_TYPE_STANDARD_GAUGE_RAILTYPE_OHLE]:[TRACK_TYPE_STANDARD_GAUGE_RAILTYPE_NONE]],_xlfn.LAMBDA(_xlpm.r,OR(_xlpm.r))),FALSE)</f>
        <v>1</v>
      </c>
      <c r="AF819" s="38" t="b" cm="1">
        <f t="array" ref="AF819">IFERROR(_xlfn.BYROW(TRACK_TYPES[[#This Row],[TRACK_TYPE_NARROW_GAUGE_RAILTYPE_OHLE]:[TRACK_TYPE_NARROW_GAUGE_RAILTYPE_NONE]],_xlfn.LAMBDA(_xlpm.r,OR(_xlpm.r))),FALSE)</f>
        <v>0</v>
      </c>
      <c r="AG819" s="38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3286</v>
      </c>
      <c r="B820" s="40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8" t="b" cm="1">
        <f t="array" ref="AE820">IFERROR(_xlfn.BYROW(TRACK_TYPES[[#This Row],[TRACK_TYPE_STANDARD_GAUGE_RAILTYPE_OHLE]:[TRACK_TYPE_STANDARD_GAUGE_RAILTYPE_NONE]],_xlfn.LAMBDA(_xlpm.r,OR(_xlpm.r))),FALSE)</f>
        <v>1</v>
      </c>
      <c r="AF820" s="38" t="b" cm="1">
        <f t="array" ref="AF820">IFERROR(_xlfn.BYROW(TRACK_TYPES[[#This Row],[TRACK_TYPE_NARROW_GAUGE_RAILTYPE_OHLE]:[TRACK_TYPE_NARROW_GAUGE_RAILTYPE_NONE]],_xlfn.LAMBDA(_xlpm.r,OR(_xlpm.r))),FALSE)</f>
        <v>0</v>
      </c>
      <c r="AG820" s="38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3287</v>
      </c>
      <c r="B821" s="40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8" t="b" cm="1">
        <f t="array" ref="AE821">IFERROR(_xlfn.BYROW(TRACK_TYPES[[#This Row],[TRACK_TYPE_STANDARD_GAUGE_RAILTYPE_OHLE]:[TRACK_TYPE_STANDARD_GAUGE_RAILTYPE_NONE]],_xlfn.LAMBDA(_xlpm.r,OR(_xlpm.r))),FALSE)</f>
        <v>0</v>
      </c>
      <c r="AF821" s="38" t="b" cm="1">
        <f t="array" ref="AF821">IFERROR(_xlfn.BYROW(TRACK_TYPES[[#This Row],[TRACK_TYPE_NARROW_GAUGE_RAILTYPE_OHLE]:[TRACK_TYPE_NARROW_GAUGE_RAILTYPE_NONE]],_xlfn.LAMBDA(_xlpm.r,OR(_xlpm.r))),FALSE)</f>
        <v>0</v>
      </c>
      <c r="AG821" s="38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3288</v>
      </c>
      <c r="B822" s="40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8" t="b" cm="1">
        <f t="array" ref="AE822">IFERROR(_xlfn.BYROW(TRACK_TYPES[[#This Row],[TRACK_TYPE_STANDARD_GAUGE_RAILTYPE_OHLE]:[TRACK_TYPE_STANDARD_GAUGE_RAILTYPE_NONE]],_xlfn.LAMBDA(_xlpm.r,OR(_xlpm.r))),FALSE)</f>
        <v>0</v>
      </c>
      <c r="AF822" s="38" t="b" cm="1">
        <f t="array" ref="AF822">IFERROR(_xlfn.BYROW(TRACK_TYPES[[#This Row],[TRACK_TYPE_NARROW_GAUGE_RAILTYPE_OHLE]:[TRACK_TYPE_NARROW_GAUGE_RAILTYPE_NONE]],_xlfn.LAMBDA(_xlpm.r,OR(_xlpm.r))),FALSE)</f>
        <v>0</v>
      </c>
      <c r="AG822" s="38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3289</v>
      </c>
      <c r="B823" s="40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8" t="b" cm="1">
        <f t="array" ref="AE823">IFERROR(_xlfn.BYROW(TRACK_TYPES[[#This Row],[TRACK_TYPE_STANDARD_GAUGE_RAILTYPE_OHLE]:[TRACK_TYPE_STANDARD_GAUGE_RAILTYPE_NONE]],_xlfn.LAMBDA(_xlpm.r,OR(_xlpm.r))),FALSE)</f>
        <v>0</v>
      </c>
      <c r="AF823" s="38" t="b" cm="1">
        <f t="array" ref="AF823">IFERROR(_xlfn.BYROW(TRACK_TYPES[[#This Row],[TRACK_TYPE_NARROW_GAUGE_RAILTYPE_OHLE]:[TRACK_TYPE_NARROW_GAUGE_RAILTYPE_NONE]],_xlfn.LAMBDA(_xlpm.r,OR(_xlpm.r))),FALSE)</f>
        <v>0</v>
      </c>
      <c r="AG823" s="38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3290</v>
      </c>
      <c r="B824" s="40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8" t="b" cm="1">
        <f t="array" ref="AE824">IFERROR(_xlfn.BYROW(TRACK_TYPES[[#This Row],[TRACK_TYPE_STANDARD_GAUGE_RAILTYPE_OHLE]:[TRACK_TYPE_STANDARD_GAUGE_RAILTYPE_NONE]],_xlfn.LAMBDA(_xlpm.r,OR(_xlpm.r))),FALSE)</f>
        <v>1</v>
      </c>
      <c r="AF824" s="38" t="b" cm="1">
        <f t="array" ref="AF824">IFERROR(_xlfn.BYROW(TRACK_TYPES[[#This Row],[TRACK_TYPE_NARROW_GAUGE_RAILTYPE_OHLE]:[TRACK_TYPE_NARROW_GAUGE_RAILTYPE_NONE]],_xlfn.LAMBDA(_xlpm.r,OR(_xlpm.r))),FALSE)</f>
        <v>0</v>
      </c>
      <c r="AG824" s="38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3291</v>
      </c>
      <c r="B825" s="40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8" t="b" cm="1">
        <f t="array" ref="AE825">IFERROR(_xlfn.BYROW(TRACK_TYPES[[#This Row],[TRACK_TYPE_STANDARD_GAUGE_RAILTYPE_OHLE]:[TRACK_TYPE_STANDARD_GAUGE_RAILTYPE_NONE]],_xlfn.LAMBDA(_xlpm.r,OR(_xlpm.r))),FALSE)</f>
        <v>1</v>
      </c>
      <c r="AF825" s="38" t="b" cm="1">
        <f t="array" ref="AF825">IFERROR(_xlfn.BYROW(TRACK_TYPES[[#This Row],[TRACK_TYPE_NARROW_GAUGE_RAILTYPE_OHLE]:[TRACK_TYPE_NARROW_GAUGE_RAILTYPE_NONE]],_xlfn.LAMBDA(_xlpm.r,OR(_xlpm.r))),FALSE)</f>
        <v>0</v>
      </c>
      <c r="AG825" s="38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3609</v>
      </c>
      <c r="B826" s="40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8" t="b" cm="1">
        <f t="array" ref="AE826">IFERROR(_xlfn.BYROW(TRACK_TYPES[[#This Row],[TRACK_TYPE_STANDARD_GAUGE_RAILTYPE_OHLE]:[TRACK_TYPE_STANDARD_GAUGE_RAILTYPE_NONE]],_xlfn.LAMBDA(_xlpm.r,OR(_xlpm.r))),FALSE)</f>
        <v>1</v>
      </c>
      <c r="AF826" s="38" t="b" cm="1">
        <f t="array" ref="AF826">IFERROR(_xlfn.BYROW(TRACK_TYPES[[#This Row],[TRACK_TYPE_NARROW_GAUGE_RAILTYPE_OHLE]:[TRACK_TYPE_NARROW_GAUGE_RAILTYPE_NONE]],_xlfn.LAMBDA(_xlpm.r,OR(_xlpm.r))),FALSE)</f>
        <v>0</v>
      </c>
      <c r="AG826" s="38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3292</v>
      </c>
      <c r="B827" s="40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8" t="b" cm="1">
        <f t="array" ref="AE827">IFERROR(_xlfn.BYROW(TRACK_TYPES[[#This Row],[TRACK_TYPE_STANDARD_GAUGE_RAILTYPE_OHLE]:[TRACK_TYPE_STANDARD_GAUGE_RAILTYPE_NONE]],_xlfn.LAMBDA(_xlpm.r,OR(_xlpm.r))),FALSE)</f>
        <v>1</v>
      </c>
      <c r="AF827" s="38" t="b" cm="1">
        <f t="array" ref="AF827">IFERROR(_xlfn.BYROW(TRACK_TYPES[[#This Row],[TRACK_TYPE_NARROW_GAUGE_RAILTYPE_OHLE]:[TRACK_TYPE_NARROW_GAUGE_RAILTYPE_NONE]],_xlfn.LAMBDA(_xlpm.r,OR(_xlpm.r))),FALSE)</f>
        <v>0</v>
      </c>
      <c r="AG827" s="38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3293</v>
      </c>
      <c r="B828" s="40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8" t="b" cm="1">
        <f t="array" ref="AE828">IFERROR(_xlfn.BYROW(TRACK_TYPES[[#This Row],[TRACK_TYPE_STANDARD_GAUGE_RAILTYPE_OHLE]:[TRACK_TYPE_STANDARD_GAUGE_RAILTYPE_NONE]],_xlfn.LAMBDA(_xlpm.r,OR(_xlpm.r))),FALSE)</f>
        <v>0</v>
      </c>
      <c r="AF828" s="38" t="b" cm="1">
        <f t="array" ref="AF828">IFERROR(_xlfn.BYROW(TRACK_TYPES[[#This Row],[TRACK_TYPE_NARROW_GAUGE_RAILTYPE_OHLE]:[TRACK_TYPE_NARROW_GAUGE_RAILTYPE_NONE]],_xlfn.LAMBDA(_xlpm.r,OR(_xlpm.r))),FALSE)</f>
        <v>0</v>
      </c>
      <c r="AG828" s="38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3294</v>
      </c>
      <c r="B829" s="40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8" t="b" cm="1">
        <f t="array" ref="AE829">IFERROR(_xlfn.BYROW(TRACK_TYPES[[#This Row],[TRACK_TYPE_STANDARD_GAUGE_RAILTYPE_OHLE]:[TRACK_TYPE_STANDARD_GAUGE_RAILTYPE_NONE]],_xlfn.LAMBDA(_xlpm.r,OR(_xlpm.r))),FALSE)</f>
        <v>0</v>
      </c>
      <c r="AF829" s="38" t="b" cm="1">
        <f t="array" ref="AF829">IFERROR(_xlfn.BYROW(TRACK_TYPES[[#This Row],[TRACK_TYPE_NARROW_GAUGE_RAILTYPE_OHLE]:[TRACK_TYPE_NARROW_GAUGE_RAILTYPE_NONE]],_xlfn.LAMBDA(_xlpm.r,OR(_xlpm.r))),FALSE)</f>
        <v>0</v>
      </c>
      <c r="AG829" s="38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3295</v>
      </c>
      <c r="B830" s="40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8" t="b" cm="1">
        <f t="array" ref="AE830">IFERROR(_xlfn.BYROW(TRACK_TYPES[[#This Row],[TRACK_TYPE_STANDARD_GAUGE_RAILTYPE_OHLE]:[TRACK_TYPE_STANDARD_GAUGE_RAILTYPE_NONE]],_xlfn.LAMBDA(_xlpm.r,OR(_xlpm.r))),FALSE)</f>
        <v>0</v>
      </c>
      <c r="AF830" s="38" t="b" cm="1">
        <f t="array" ref="AF830">IFERROR(_xlfn.BYROW(TRACK_TYPES[[#This Row],[TRACK_TYPE_NARROW_GAUGE_RAILTYPE_OHLE]:[TRACK_TYPE_NARROW_GAUGE_RAILTYPE_NONE]],_xlfn.LAMBDA(_xlpm.r,OR(_xlpm.r))),FALSE)</f>
        <v>0</v>
      </c>
      <c r="AG830" s="38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3296</v>
      </c>
      <c r="B831" s="40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8" t="b" cm="1">
        <f t="array" ref="AE831">IFERROR(_xlfn.BYROW(TRACK_TYPES[[#This Row],[TRACK_TYPE_STANDARD_GAUGE_RAILTYPE_OHLE]:[TRACK_TYPE_STANDARD_GAUGE_RAILTYPE_NONE]],_xlfn.LAMBDA(_xlpm.r,OR(_xlpm.r))),FALSE)</f>
        <v>0</v>
      </c>
      <c r="AF831" s="38" t="b" cm="1">
        <f t="array" ref="AF831">IFERROR(_xlfn.BYROW(TRACK_TYPES[[#This Row],[TRACK_TYPE_NARROW_GAUGE_RAILTYPE_OHLE]:[TRACK_TYPE_NARROW_GAUGE_RAILTYPE_NONE]],_xlfn.LAMBDA(_xlpm.r,OR(_xlpm.r))),FALSE)</f>
        <v>0</v>
      </c>
      <c r="AG831" s="38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3297</v>
      </c>
      <c r="B832" s="40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8" t="b" cm="1">
        <f t="array" ref="AE832">IFERROR(_xlfn.BYROW(TRACK_TYPES[[#This Row],[TRACK_TYPE_STANDARD_GAUGE_RAILTYPE_OHLE]:[TRACK_TYPE_STANDARD_GAUGE_RAILTYPE_NONE]],_xlfn.LAMBDA(_xlpm.r,OR(_xlpm.r))),FALSE)</f>
        <v>1</v>
      </c>
      <c r="AF832" s="38" t="b" cm="1">
        <f t="array" ref="AF832">IFERROR(_xlfn.BYROW(TRACK_TYPES[[#This Row],[TRACK_TYPE_NARROW_GAUGE_RAILTYPE_OHLE]:[TRACK_TYPE_NARROW_GAUGE_RAILTYPE_NONE]],_xlfn.LAMBDA(_xlpm.r,OR(_xlpm.r))),FALSE)</f>
        <v>0</v>
      </c>
      <c r="AG832" s="38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3298</v>
      </c>
      <c r="B833" s="40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8" t="b" cm="1">
        <f t="array" ref="AE833">IFERROR(_xlfn.BYROW(TRACK_TYPES[[#This Row],[TRACK_TYPE_STANDARD_GAUGE_RAILTYPE_OHLE]:[TRACK_TYPE_STANDARD_GAUGE_RAILTYPE_NONE]],_xlfn.LAMBDA(_xlpm.r,OR(_xlpm.r))),FALSE)</f>
        <v>1</v>
      </c>
      <c r="AF833" s="38" t="b" cm="1">
        <f t="array" ref="AF833">IFERROR(_xlfn.BYROW(TRACK_TYPES[[#This Row],[TRACK_TYPE_NARROW_GAUGE_RAILTYPE_OHLE]:[TRACK_TYPE_NARROW_GAUGE_RAILTYPE_NONE]],_xlfn.LAMBDA(_xlpm.r,OR(_xlpm.r))),FALSE)</f>
        <v>0</v>
      </c>
      <c r="AG833" s="38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3299</v>
      </c>
      <c r="B834" s="40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8" t="b" cm="1">
        <f t="array" ref="AE834">IFERROR(_xlfn.BYROW(TRACK_TYPES[[#This Row],[TRACK_TYPE_STANDARD_GAUGE_RAILTYPE_OHLE]:[TRACK_TYPE_STANDARD_GAUGE_RAILTYPE_NONE]],_xlfn.LAMBDA(_xlpm.r,OR(_xlpm.r))),FALSE)</f>
        <v>1</v>
      </c>
      <c r="AF834" s="38" t="b" cm="1">
        <f t="array" ref="AF834">IFERROR(_xlfn.BYROW(TRACK_TYPES[[#This Row],[TRACK_TYPE_NARROW_GAUGE_RAILTYPE_OHLE]:[TRACK_TYPE_NARROW_GAUGE_RAILTYPE_NONE]],_xlfn.LAMBDA(_xlpm.r,OR(_xlpm.r))),FALSE)</f>
        <v>0</v>
      </c>
      <c r="AG834" s="38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3300</v>
      </c>
      <c r="B835" s="40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8" t="b" cm="1">
        <f t="array" ref="AE835">IFERROR(_xlfn.BYROW(TRACK_TYPES[[#This Row],[TRACK_TYPE_STANDARD_GAUGE_RAILTYPE_OHLE]:[TRACK_TYPE_STANDARD_GAUGE_RAILTYPE_NONE]],_xlfn.LAMBDA(_xlpm.r,OR(_xlpm.r))),FALSE)</f>
        <v>1</v>
      </c>
      <c r="AF835" s="38" t="b" cm="1">
        <f t="array" ref="AF835">IFERROR(_xlfn.BYROW(TRACK_TYPES[[#This Row],[TRACK_TYPE_NARROW_GAUGE_RAILTYPE_OHLE]:[TRACK_TYPE_NARROW_GAUGE_RAILTYPE_NONE]],_xlfn.LAMBDA(_xlpm.r,OR(_xlpm.r))),FALSE)</f>
        <v>1</v>
      </c>
      <c r="AG835" s="38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3301</v>
      </c>
      <c r="B836" s="40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8" t="b" cm="1">
        <f t="array" ref="AE836">IFERROR(_xlfn.BYROW(TRACK_TYPES[[#This Row],[TRACK_TYPE_STANDARD_GAUGE_RAILTYPE_OHLE]:[TRACK_TYPE_STANDARD_GAUGE_RAILTYPE_NONE]],_xlfn.LAMBDA(_xlpm.r,OR(_xlpm.r))),FALSE)</f>
        <v>1</v>
      </c>
      <c r="AF836" s="38" t="b" cm="1">
        <f t="array" ref="AF836">IFERROR(_xlfn.BYROW(TRACK_TYPES[[#This Row],[TRACK_TYPE_NARROW_GAUGE_RAILTYPE_OHLE]:[TRACK_TYPE_NARROW_GAUGE_RAILTYPE_NONE]],_xlfn.LAMBDA(_xlpm.r,OR(_xlpm.r))),FALSE)</f>
        <v>0</v>
      </c>
      <c r="AG836" s="38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3302</v>
      </c>
      <c r="B837" s="40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8" t="b" cm="1">
        <f t="array" ref="AE837">IFERROR(_xlfn.BYROW(TRACK_TYPES[[#This Row],[TRACK_TYPE_STANDARD_GAUGE_RAILTYPE_OHLE]:[TRACK_TYPE_STANDARD_GAUGE_RAILTYPE_NONE]],_xlfn.LAMBDA(_xlpm.r,OR(_xlpm.r))),FALSE)</f>
        <v>1</v>
      </c>
      <c r="AF837" s="38" t="b" cm="1">
        <f t="array" ref="AF837">IFERROR(_xlfn.BYROW(TRACK_TYPES[[#This Row],[TRACK_TYPE_NARROW_GAUGE_RAILTYPE_OHLE]:[TRACK_TYPE_NARROW_GAUGE_RAILTYPE_NONE]],_xlfn.LAMBDA(_xlpm.r,OR(_xlpm.r))),FALSE)</f>
        <v>0</v>
      </c>
      <c r="AG837" s="38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3303</v>
      </c>
      <c r="B838" s="40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8" t="b" cm="1">
        <f t="array" ref="AE838">IFERROR(_xlfn.BYROW(TRACK_TYPES[[#This Row],[TRACK_TYPE_STANDARD_GAUGE_RAILTYPE_OHLE]:[TRACK_TYPE_STANDARD_GAUGE_RAILTYPE_NONE]],_xlfn.LAMBDA(_xlpm.r,OR(_xlpm.r))),FALSE)</f>
        <v>1</v>
      </c>
      <c r="AF838" s="38" t="b" cm="1">
        <f t="array" ref="AF838">IFERROR(_xlfn.BYROW(TRACK_TYPES[[#This Row],[TRACK_TYPE_NARROW_GAUGE_RAILTYPE_OHLE]:[TRACK_TYPE_NARROW_GAUGE_RAILTYPE_NONE]],_xlfn.LAMBDA(_xlpm.r,OR(_xlpm.r))),FALSE)</f>
        <v>0</v>
      </c>
      <c r="AG838" s="38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3304</v>
      </c>
      <c r="B839" s="40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8" t="b" cm="1">
        <f t="array" ref="AE839">IFERROR(_xlfn.BYROW(TRACK_TYPES[[#This Row],[TRACK_TYPE_STANDARD_GAUGE_RAILTYPE_OHLE]:[TRACK_TYPE_STANDARD_GAUGE_RAILTYPE_NONE]],_xlfn.LAMBDA(_xlpm.r,OR(_xlpm.r))),FALSE)</f>
        <v>1</v>
      </c>
      <c r="AF839" s="38" t="b" cm="1">
        <f t="array" ref="AF839">IFERROR(_xlfn.BYROW(TRACK_TYPES[[#This Row],[TRACK_TYPE_NARROW_GAUGE_RAILTYPE_OHLE]:[TRACK_TYPE_NARROW_GAUGE_RAILTYPE_NONE]],_xlfn.LAMBDA(_xlpm.r,OR(_xlpm.r))),FALSE)</f>
        <v>0</v>
      </c>
      <c r="AG839" s="38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3305</v>
      </c>
      <c r="B840" s="40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8" t="b" cm="1">
        <f t="array" ref="AE840">IFERROR(_xlfn.BYROW(TRACK_TYPES[[#This Row],[TRACK_TYPE_STANDARD_GAUGE_RAILTYPE_OHLE]:[TRACK_TYPE_STANDARD_GAUGE_RAILTYPE_NONE]],_xlfn.LAMBDA(_xlpm.r,OR(_xlpm.r))),FALSE)</f>
        <v>1</v>
      </c>
      <c r="AF840" s="38" t="b" cm="1">
        <f t="array" ref="AF840">IFERROR(_xlfn.BYROW(TRACK_TYPES[[#This Row],[TRACK_TYPE_NARROW_GAUGE_RAILTYPE_OHLE]:[TRACK_TYPE_NARROW_GAUGE_RAILTYPE_NONE]],_xlfn.LAMBDA(_xlpm.r,OR(_xlpm.r))),FALSE)</f>
        <v>0</v>
      </c>
      <c r="AG840" s="38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3306</v>
      </c>
      <c r="B841" s="40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8" t="b" cm="1">
        <f t="array" ref="AE841">IFERROR(_xlfn.BYROW(TRACK_TYPES[[#This Row],[TRACK_TYPE_STANDARD_GAUGE_RAILTYPE_OHLE]:[TRACK_TYPE_STANDARD_GAUGE_RAILTYPE_NONE]],_xlfn.LAMBDA(_xlpm.r,OR(_xlpm.r))),FALSE)</f>
        <v>1</v>
      </c>
      <c r="AF841" s="38" t="b" cm="1">
        <f t="array" ref="AF841">IFERROR(_xlfn.BYROW(TRACK_TYPES[[#This Row],[TRACK_TYPE_NARROW_GAUGE_RAILTYPE_OHLE]:[TRACK_TYPE_NARROW_GAUGE_RAILTYPE_NONE]],_xlfn.LAMBDA(_xlpm.r,OR(_xlpm.r))),FALSE)</f>
        <v>0</v>
      </c>
      <c r="AG841" s="38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3307</v>
      </c>
      <c r="B842" s="40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8" t="b" cm="1">
        <f t="array" ref="AE842">IFERROR(_xlfn.BYROW(TRACK_TYPES[[#This Row],[TRACK_TYPE_STANDARD_GAUGE_RAILTYPE_OHLE]:[TRACK_TYPE_STANDARD_GAUGE_RAILTYPE_NONE]],_xlfn.LAMBDA(_xlpm.r,OR(_xlpm.r))),FALSE)</f>
        <v>0</v>
      </c>
      <c r="AF842" s="38" t="b" cm="1">
        <f t="array" ref="AF842">IFERROR(_xlfn.BYROW(TRACK_TYPES[[#This Row],[TRACK_TYPE_NARROW_GAUGE_RAILTYPE_OHLE]:[TRACK_TYPE_NARROW_GAUGE_RAILTYPE_NONE]],_xlfn.LAMBDA(_xlpm.r,OR(_xlpm.r))),FALSE)</f>
        <v>0</v>
      </c>
      <c r="AG842" s="38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3308</v>
      </c>
      <c r="B843" s="40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8" t="b" cm="1">
        <f t="array" ref="AE843">IFERROR(_xlfn.BYROW(TRACK_TYPES[[#This Row],[TRACK_TYPE_STANDARD_GAUGE_RAILTYPE_OHLE]:[TRACK_TYPE_STANDARD_GAUGE_RAILTYPE_NONE]],_xlfn.LAMBDA(_xlpm.r,OR(_xlpm.r))),FALSE)</f>
        <v>1</v>
      </c>
      <c r="AF843" s="38" t="b" cm="1">
        <f t="array" ref="AF843">IFERROR(_xlfn.BYROW(TRACK_TYPES[[#This Row],[TRACK_TYPE_NARROW_GAUGE_RAILTYPE_OHLE]:[TRACK_TYPE_NARROW_GAUGE_RAILTYPE_NONE]],_xlfn.LAMBDA(_xlpm.r,OR(_xlpm.r))),FALSE)</f>
        <v>0</v>
      </c>
      <c r="AG843" s="38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3309</v>
      </c>
      <c r="B844" s="40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8" t="b" cm="1">
        <f t="array" ref="AE844">IFERROR(_xlfn.BYROW(TRACK_TYPES[[#This Row],[TRACK_TYPE_STANDARD_GAUGE_RAILTYPE_OHLE]:[TRACK_TYPE_STANDARD_GAUGE_RAILTYPE_NONE]],_xlfn.LAMBDA(_xlpm.r,OR(_xlpm.r))),FALSE)</f>
        <v>0</v>
      </c>
      <c r="AF844" s="38" t="b" cm="1">
        <f t="array" ref="AF844">IFERROR(_xlfn.BYROW(TRACK_TYPES[[#This Row],[TRACK_TYPE_NARROW_GAUGE_RAILTYPE_OHLE]:[TRACK_TYPE_NARROW_GAUGE_RAILTYPE_NONE]],_xlfn.LAMBDA(_xlpm.r,OR(_xlpm.r))),FALSE)</f>
        <v>0</v>
      </c>
      <c r="AG844" s="38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3310</v>
      </c>
      <c r="B845" s="40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8" t="b" cm="1">
        <f t="array" ref="AE845">IFERROR(_xlfn.BYROW(TRACK_TYPES[[#This Row],[TRACK_TYPE_STANDARD_GAUGE_RAILTYPE_OHLE]:[TRACK_TYPE_STANDARD_GAUGE_RAILTYPE_NONE]],_xlfn.LAMBDA(_xlpm.r,OR(_xlpm.r))),FALSE)</f>
        <v>1</v>
      </c>
      <c r="AF845" s="38" t="b" cm="1">
        <f t="array" ref="AF845">IFERROR(_xlfn.BYROW(TRACK_TYPES[[#This Row],[TRACK_TYPE_NARROW_GAUGE_RAILTYPE_OHLE]:[TRACK_TYPE_NARROW_GAUGE_RAILTYPE_NONE]],_xlfn.LAMBDA(_xlpm.r,OR(_xlpm.r))),FALSE)</f>
        <v>0</v>
      </c>
      <c r="AG845" s="38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3311</v>
      </c>
      <c r="B846" s="40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8" t="b" cm="1">
        <f t="array" ref="AE846">IFERROR(_xlfn.BYROW(TRACK_TYPES[[#This Row],[TRACK_TYPE_STANDARD_GAUGE_RAILTYPE_OHLE]:[TRACK_TYPE_STANDARD_GAUGE_RAILTYPE_NONE]],_xlfn.LAMBDA(_xlpm.r,OR(_xlpm.r))),FALSE)</f>
        <v>1</v>
      </c>
      <c r="AF846" s="38" t="b" cm="1">
        <f t="array" ref="AF846">IFERROR(_xlfn.BYROW(TRACK_TYPES[[#This Row],[TRACK_TYPE_NARROW_GAUGE_RAILTYPE_OHLE]:[TRACK_TYPE_NARROW_GAUGE_RAILTYPE_NONE]],_xlfn.LAMBDA(_xlpm.r,OR(_xlpm.r))),FALSE)</f>
        <v>1</v>
      </c>
      <c r="AG846" s="38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3312</v>
      </c>
      <c r="B847" s="40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8" t="b" cm="1">
        <f t="array" ref="AE847">IFERROR(_xlfn.BYROW(TRACK_TYPES[[#This Row],[TRACK_TYPE_STANDARD_GAUGE_RAILTYPE_OHLE]:[TRACK_TYPE_STANDARD_GAUGE_RAILTYPE_NONE]],_xlfn.LAMBDA(_xlpm.r,OR(_xlpm.r))),FALSE)</f>
        <v>1</v>
      </c>
      <c r="AF847" s="38" t="b" cm="1">
        <f t="array" ref="AF847">IFERROR(_xlfn.BYROW(TRACK_TYPES[[#This Row],[TRACK_TYPE_NARROW_GAUGE_RAILTYPE_OHLE]:[TRACK_TYPE_NARROW_GAUGE_RAILTYPE_NONE]],_xlfn.LAMBDA(_xlpm.r,OR(_xlpm.r))),FALSE)</f>
        <v>1</v>
      </c>
      <c r="AG847" s="38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3313</v>
      </c>
      <c r="B848" s="40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8" t="b" cm="1">
        <f t="array" ref="AE848">IFERROR(_xlfn.BYROW(TRACK_TYPES[[#This Row],[TRACK_TYPE_STANDARD_GAUGE_RAILTYPE_OHLE]:[TRACK_TYPE_STANDARD_GAUGE_RAILTYPE_NONE]],_xlfn.LAMBDA(_xlpm.r,OR(_xlpm.r))),FALSE)</f>
        <v>1</v>
      </c>
      <c r="AF848" s="38" t="b" cm="1">
        <f t="array" ref="AF848">IFERROR(_xlfn.BYROW(TRACK_TYPES[[#This Row],[TRACK_TYPE_NARROW_GAUGE_RAILTYPE_OHLE]:[TRACK_TYPE_NARROW_GAUGE_RAILTYPE_NONE]],_xlfn.LAMBDA(_xlpm.r,OR(_xlpm.r))),FALSE)</f>
        <v>0</v>
      </c>
      <c r="AG848" s="38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3457</v>
      </c>
      <c r="B849" s="40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8" t="b" cm="1">
        <f t="array" ref="AE849">IFERROR(_xlfn.BYROW(TRACK_TYPES[[#This Row],[TRACK_TYPE_STANDARD_GAUGE_RAILTYPE_OHLE]:[TRACK_TYPE_STANDARD_GAUGE_RAILTYPE_NONE]],_xlfn.LAMBDA(_xlpm.r,OR(_xlpm.r))),FALSE)</f>
        <v>0</v>
      </c>
      <c r="AF849" s="38" t="b" cm="1">
        <f t="array" ref="AF849">IFERROR(_xlfn.BYROW(TRACK_TYPES[[#This Row],[TRACK_TYPE_NARROW_GAUGE_RAILTYPE_OHLE]:[TRACK_TYPE_NARROW_GAUGE_RAILTYPE_NONE]],_xlfn.LAMBDA(_xlpm.r,OR(_xlpm.r))),FALSE)</f>
        <v>0</v>
      </c>
      <c r="AG849" s="38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3314</v>
      </c>
      <c r="B850" s="40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8" t="b" cm="1">
        <f t="array" ref="AE850">IFERROR(_xlfn.BYROW(TRACK_TYPES[[#This Row],[TRACK_TYPE_STANDARD_GAUGE_RAILTYPE_OHLE]:[TRACK_TYPE_STANDARD_GAUGE_RAILTYPE_NONE]],_xlfn.LAMBDA(_xlpm.r,OR(_xlpm.r))),FALSE)</f>
        <v>1</v>
      </c>
      <c r="AF850" s="38" t="b" cm="1">
        <f t="array" ref="AF850">IFERROR(_xlfn.BYROW(TRACK_TYPES[[#This Row],[TRACK_TYPE_NARROW_GAUGE_RAILTYPE_OHLE]:[TRACK_TYPE_NARROW_GAUGE_RAILTYPE_NONE]],_xlfn.LAMBDA(_xlpm.r,OR(_xlpm.r))),FALSE)</f>
        <v>0</v>
      </c>
      <c r="AG850" s="38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3315</v>
      </c>
      <c r="B851" s="40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8" t="b" cm="1">
        <f t="array" ref="AE851">IFERROR(_xlfn.BYROW(TRACK_TYPES[[#This Row],[TRACK_TYPE_STANDARD_GAUGE_RAILTYPE_OHLE]:[TRACK_TYPE_STANDARD_GAUGE_RAILTYPE_NONE]],_xlfn.LAMBDA(_xlpm.r,OR(_xlpm.r))),FALSE)</f>
        <v>1</v>
      </c>
      <c r="AF851" s="38" t="b" cm="1">
        <f t="array" ref="AF851">IFERROR(_xlfn.BYROW(TRACK_TYPES[[#This Row],[TRACK_TYPE_NARROW_GAUGE_RAILTYPE_OHLE]:[TRACK_TYPE_NARROW_GAUGE_RAILTYPE_NONE]],_xlfn.LAMBDA(_xlpm.r,OR(_xlpm.r))),FALSE)</f>
        <v>0</v>
      </c>
      <c r="AG851" s="38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3316</v>
      </c>
      <c r="B852" s="40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8" t="b" cm="1">
        <f t="array" ref="AE852">IFERROR(_xlfn.BYROW(TRACK_TYPES[[#This Row],[TRACK_TYPE_STANDARD_GAUGE_RAILTYPE_OHLE]:[TRACK_TYPE_STANDARD_GAUGE_RAILTYPE_NONE]],_xlfn.LAMBDA(_xlpm.r,OR(_xlpm.r))),FALSE)</f>
        <v>1</v>
      </c>
      <c r="AF852" s="38" t="b" cm="1">
        <f t="array" ref="AF852">IFERROR(_xlfn.BYROW(TRACK_TYPES[[#This Row],[TRACK_TYPE_NARROW_GAUGE_RAILTYPE_OHLE]:[TRACK_TYPE_NARROW_GAUGE_RAILTYPE_NONE]],_xlfn.LAMBDA(_xlpm.r,OR(_xlpm.r))),FALSE)</f>
        <v>0</v>
      </c>
      <c r="AG852" s="38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3317</v>
      </c>
      <c r="B853" s="40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8" t="b" cm="1">
        <f t="array" ref="AE853">IFERROR(_xlfn.BYROW(TRACK_TYPES[[#This Row],[TRACK_TYPE_STANDARD_GAUGE_RAILTYPE_OHLE]:[TRACK_TYPE_STANDARD_GAUGE_RAILTYPE_NONE]],_xlfn.LAMBDA(_xlpm.r,OR(_xlpm.r))),FALSE)</f>
        <v>1</v>
      </c>
      <c r="AF853" s="38" t="b" cm="1">
        <f t="array" ref="AF853">IFERROR(_xlfn.BYROW(TRACK_TYPES[[#This Row],[TRACK_TYPE_NARROW_GAUGE_RAILTYPE_OHLE]:[TRACK_TYPE_NARROW_GAUGE_RAILTYPE_NONE]],_xlfn.LAMBDA(_xlpm.r,OR(_xlpm.r))),FALSE)</f>
        <v>0</v>
      </c>
      <c r="AG853" s="38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3318</v>
      </c>
      <c r="B854" s="40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8" t="b" cm="1">
        <f t="array" ref="AE854">IFERROR(_xlfn.BYROW(TRACK_TYPES[[#This Row],[TRACK_TYPE_STANDARD_GAUGE_RAILTYPE_OHLE]:[TRACK_TYPE_STANDARD_GAUGE_RAILTYPE_NONE]],_xlfn.LAMBDA(_xlpm.r,OR(_xlpm.r))),FALSE)</f>
        <v>1</v>
      </c>
      <c r="AF854" s="38" t="b" cm="1">
        <f t="array" ref="AF854">IFERROR(_xlfn.BYROW(TRACK_TYPES[[#This Row],[TRACK_TYPE_NARROW_GAUGE_RAILTYPE_OHLE]:[TRACK_TYPE_NARROW_GAUGE_RAILTYPE_NONE]],_xlfn.LAMBDA(_xlpm.r,OR(_xlpm.r))),FALSE)</f>
        <v>0</v>
      </c>
      <c r="AG854" s="38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3319</v>
      </c>
      <c r="B855" s="40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8" t="b" cm="1">
        <f t="array" ref="AE855">IFERROR(_xlfn.BYROW(TRACK_TYPES[[#This Row],[TRACK_TYPE_STANDARD_GAUGE_RAILTYPE_OHLE]:[TRACK_TYPE_STANDARD_GAUGE_RAILTYPE_NONE]],_xlfn.LAMBDA(_xlpm.r,OR(_xlpm.r))),FALSE)</f>
        <v>1</v>
      </c>
      <c r="AF855" s="38" t="b" cm="1">
        <f t="array" ref="AF855">IFERROR(_xlfn.BYROW(TRACK_TYPES[[#This Row],[TRACK_TYPE_NARROW_GAUGE_RAILTYPE_OHLE]:[TRACK_TYPE_NARROW_GAUGE_RAILTYPE_NONE]],_xlfn.LAMBDA(_xlpm.r,OR(_xlpm.r))),FALSE)</f>
        <v>0</v>
      </c>
      <c r="AG855" s="38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3320</v>
      </c>
      <c r="B856" s="40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8" t="b" cm="1">
        <f t="array" ref="AE856">IFERROR(_xlfn.BYROW(TRACK_TYPES[[#This Row],[TRACK_TYPE_STANDARD_GAUGE_RAILTYPE_OHLE]:[TRACK_TYPE_STANDARD_GAUGE_RAILTYPE_NONE]],_xlfn.LAMBDA(_xlpm.r,OR(_xlpm.r))),FALSE)</f>
        <v>1</v>
      </c>
      <c r="AF856" s="38" t="b" cm="1">
        <f t="array" ref="AF856">IFERROR(_xlfn.BYROW(TRACK_TYPES[[#This Row],[TRACK_TYPE_NARROW_GAUGE_RAILTYPE_OHLE]:[TRACK_TYPE_NARROW_GAUGE_RAILTYPE_NONE]],_xlfn.LAMBDA(_xlpm.r,OR(_xlpm.r))),FALSE)</f>
        <v>0</v>
      </c>
      <c r="AG856" s="38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3452</v>
      </c>
      <c r="B857" s="40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8" t="b" cm="1">
        <f t="array" ref="AE857">IFERROR(_xlfn.BYROW(TRACK_TYPES[[#This Row],[TRACK_TYPE_STANDARD_GAUGE_RAILTYPE_OHLE]:[TRACK_TYPE_STANDARD_GAUGE_RAILTYPE_NONE]],_xlfn.LAMBDA(_xlpm.r,OR(_xlpm.r))),FALSE)</f>
        <v>1</v>
      </c>
      <c r="AF857" s="38" t="b" cm="1">
        <f t="array" ref="AF857">IFERROR(_xlfn.BYROW(TRACK_TYPES[[#This Row],[TRACK_TYPE_NARROW_GAUGE_RAILTYPE_OHLE]:[TRACK_TYPE_NARROW_GAUGE_RAILTYPE_NONE]],_xlfn.LAMBDA(_xlpm.r,OR(_xlpm.r))),FALSE)</f>
        <v>0</v>
      </c>
      <c r="AG857" s="38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3453</v>
      </c>
      <c r="B858" s="40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8" t="b" cm="1">
        <f t="array" ref="AE858">IFERROR(_xlfn.BYROW(TRACK_TYPES[[#This Row],[TRACK_TYPE_STANDARD_GAUGE_RAILTYPE_OHLE]:[TRACK_TYPE_STANDARD_GAUGE_RAILTYPE_NONE]],_xlfn.LAMBDA(_xlpm.r,OR(_xlpm.r))),FALSE)</f>
        <v>1</v>
      </c>
      <c r="AF858" s="38" t="b" cm="1">
        <f t="array" ref="AF858">IFERROR(_xlfn.BYROW(TRACK_TYPES[[#This Row],[TRACK_TYPE_NARROW_GAUGE_RAILTYPE_OHLE]:[TRACK_TYPE_NARROW_GAUGE_RAILTYPE_NONE]],_xlfn.LAMBDA(_xlpm.r,OR(_xlpm.r))),FALSE)</f>
        <v>0</v>
      </c>
      <c r="AG858" s="38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3476</v>
      </c>
      <c r="B859" s="40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8" t="b" cm="1">
        <f t="array" ref="AE859">IFERROR(_xlfn.BYROW(TRACK_TYPES[[#This Row],[TRACK_TYPE_STANDARD_GAUGE_RAILTYPE_OHLE]:[TRACK_TYPE_STANDARD_GAUGE_RAILTYPE_NONE]],_xlfn.LAMBDA(_xlpm.r,OR(_xlpm.r))),FALSE)</f>
        <v>1</v>
      </c>
      <c r="AF859" s="38" t="b" cm="1">
        <f t="array" ref="AF859">IFERROR(_xlfn.BYROW(TRACK_TYPES[[#This Row],[TRACK_TYPE_NARROW_GAUGE_RAILTYPE_OHLE]:[TRACK_TYPE_NARROW_GAUGE_RAILTYPE_NONE]],_xlfn.LAMBDA(_xlpm.r,OR(_xlpm.r))),FALSE)</f>
        <v>0</v>
      </c>
      <c r="AG859" s="38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3458</v>
      </c>
      <c r="B860" s="40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8" t="b" cm="1">
        <f t="array" ref="AE860">IFERROR(_xlfn.BYROW(TRACK_TYPES[[#This Row],[TRACK_TYPE_STANDARD_GAUGE_RAILTYPE_OHLE]:[TRACK_TYPE_STANDARD_GAUGE_RAILTYPE_NONE]],_xlfn.LAMBDA(_xlpm.r,OR(_xlpm.r))),FALSE)</f>
        <v>0</v>
      </c>
      <c r="AF860" s="38" t="b" cm="1">
        <f t="array" ref="AF860">IFERROR(_xlfn.BYROW(TRACK_TYPES[[#This Row],[TRACK_TYPE_NARROW_GAUGE_RAILTYPE_OHLE]:[TRACK_TYPE_NARROW_GAUGE_RAILTYPE_NONE]],_xlfn.LAMBDA(_xlpm.r,OR(_xlpm.r))),FALSE)</f>
        <v>1</v>
      </c>
      <c r="AG860" s="38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3321</v>
      </c>
      <c r="B861" s="40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8" t="b" cm="1">
        <f t="array" ref="AE861">IFERROR(_xlfn.BYROW(TRACK_TYPES[[#This Row],[TRACK_TYPE_STANDARD_GAUGE_RAILTYPE_OHLE]:[TRACK_TYPE_STANDARD_GAUGE_RAILTYPE_NONE]],_xlfn.LAMBDA(_xlpm.r,OR(_xlpm.r))),FALSE)</f>
        <v>1</v>
      </c>
      <c r="AF861" s="38" t="b" cm="1">
        <f t="array" ref="AF861">IFERROR(_xlfn.BYROW(TRACK_TYPES[[#This Row],[TRACK_TYPE_NARROW_GAUGE_RAILTYPE_OHLE]:[TRACK_TYPE_NARROW_GAUGE_RAILTYPE_NONE]],_xlfn.LAMBDA(_xlpm.r,OR(_xlpm.r))),FALSE)</f>
        <v>0</v>
      </c>
      <c r="AG861" s="38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3459</v>
      </c>
      <c r="B862" s="40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8" t="b" cm="1">
        <f t="array" ref="AE862">IFERROR(_xlfn.BYROW(TRACK_TYPES[[#This Row],[TRACK_TYPE_STANDARD_GAUGE_RAILTYPE_OHLE]:[TRACK_TYPE_STANDARD_GAUGE_RAILTYPE_NONE]],_xlfn.LAMBDA(_xlpm.r,OR(_xlpm.r))),FALSE)</f>
        <v>1</v>
      </c>
      <c r="AF862" s="38" t="b" cm="1">
        <f t="array" ref="AF862">IFERROR(_xlfn.BYROW(TRACK_TYPES[[#This Row],[TRACK_TYPE_NARROW_GAUGE_RAILTYPE_OHLE]:[TRACK_TYPE_NARROW_GAUGE_RAILTYPE_NONE]],_xlfn.LAMBDA(_xlpm.r,OR(_xlpm.r))),FALSE)</f>
        <v>0</v>
      </c>
      <c r="AG862" s="38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3322</v>
      </c>
      <c r="B863" s="40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8" t="b" cm="1">
        <f t="array" ref="AE863">IFERROR(_xlfn.BYROW(TRACK_TYPES[[#This Row],[TRACK_TYPE_STANDARD_GAUGE_RAILTYPE_OHLE]:[TRACK_TYPE_STANDARD_GAUGE_RAILTYPE_NONE]],_xlfn.LAMBDA(_xlpm.r,OR(_xlpm.r))),FALSE)</f>
        <v>1</v>
      </c>
      <c r="AF863" s="38" t="b" cm="1">
        <f t="array" ref="AF863">IFERROR(_xlfn.BYROW(TRACK_TYPES[[#This Row],[TRACK_TYPE_NARROW_GAUGE_RAILTYPE_OHLE]:[TRACK_TYPE_NARROW_GAUGE_RAILTYPE_NONE]],_xlfn.LAMBDA(_xlpm.r,OR(_xlpm.r))),FALSE)</f>
        <v>0</v>
      </c>
      <c r="AG863" s="38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3323</v>
      </c>
      <c r="B864" s="40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8" t="b" cm="1">
        <f t="array" ref="AE864">IFERROR(_xlfn.BYROW(TRACK_TYPES[[#This Row],[TRACK_TYPE_STANDARD_GAUGE_RAILTYPE_OHLE]:[TRACK_TYPE_STANDARD_GAUGE_RAILTYPE_NONE]],_xlfn.LAMBDA(_xlpm.r,OR(_xlpm.r))),FALSE)</f>
        <v>1</v>
      </c>
      <c r="AF864" s="38" t="b" cm="1">
        <f t="array" ref="AF864">IFERROR(_xlfn.BYROW(TRACK_TYPES[[#This Row],[TRACK_TYPE_NARROW_GAUGE_RAILTYPE_OHLE]:[TRACK_TYPE_NARROW_GAUGE_RAILTYPE_NONE]],_xlfn.LAMBDA(_xlpm.r,OR(_xlpm.r))),FALSE)</f>
        <v>0</v>
      </c>
      <c r="AG864" s="38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3324</v>
      </c>
      <c r="B865" s="40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8" t="b" cm="1">
        <f t="array" ref="AE865">IFERROR(_xlfn.BYROW(TRACK_TYPES[[#This Row],[TRACK_TYPE_STANDARD_GAUGE_RAILTYPE_OHLE]:[TRACK_TYPE_STANDARD_GAUGE_RAILTYPE_NONE]],_xlfn.LAMBDA(_xlpm.r,OR(_xlpm.r))),FALSE)</f>
        <v>1</v>
      </c>
      <c r="AF865" s="38" t="b" cm="1">
        <f t="array" ref="AF865">IFERROR(_xlfn.BYROW(TRACK_TYPES[[#This Row],[TRACK_TYPE_NARROW_GAUGE_RAILTYPE_OHLE]:[TRACK_TYPE_NARROW_GAUGE_RAILTYPE_NONE]],_xlfn.LAMBDA(_xlpm.r,OR(_xlpm.r))),FALSE)</f>
        <v>0</v>
      </c>
      <c r="AG865" s="38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3325</v>
      </c>
      <c r="B866" s="40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8" t="b" cm="1">
        <f t="array" ref="AE866">IFERROR(_xlfn.BYROW(TRACK_TYPES[[#This Row],[TRACK_TYPE_STANDARD_GAUGE_RAILTYPE_OHLE]:[TRACK_TYPE_STANDARD_GAUGE_RAILTYPE_NONE]],_xlfn.LAMBDA(_xlpm.r,OR(_xlpm.r))),FALSE)</f>
        <v>1</v>
      </c>
      <c r="AF866" s="38" t="b" cm="1">
        <f t="array" ref="AF866">IFERROR(_xlfn.BYROW(TRACK_TYPES[[#This Row],[TRACK_TYPE_NARROW_GAUGE_RAILTYPE_OHLE]:[TRACK_TYPE_NARROW_GAUGE_RAILTYPE_NONE]],_xlfn.LAMBDA(_xlpm.r,OR(_xlpm.r))),FALSE)</f>
        <v>0</v>
      </c>
      <c r="AG866" s="38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3326</v>
      </c>
      <c r="B867" s="40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8" t="b" cm="1">
        <f t="array" ref="AE867">IFERROR(_xlfn.BYROW(TRACK_TYPES[[#This Row],[TRACK_TYPE_STANDARD_GAUGE_RAILTYPE_OHLE]:[TRACK_TYPE_STANDARD_GAUGE_RAILTYPE_NONE]],_xlfn.LAMBDA(_xlpm.r,OR(_xlpm.r))),FALSE)</f>
        <v>1</v>
      </c>
      <c r="AF867" s="38" t="b" cm="1">
        <f t="array" ref="AF867">IFERROR(_xlfn.BYROW(TRACK_TYPES[[#This Row],[TRACK_TYPE_NARROW_GAUGE_RAILTYPE_OHLE]:[TRACK_TYPE_NARROW_GAUGE_RAILTYPE_NONE]],_xlfn.LAMBDA(_xlpm.r,OR(_xlpm.r))),FALSE)</f>
        <v>0</v>
      </c>
      <c r="AG867" s="38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3327</v>
      </c>
      <c r="B868" s="40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8" t="b" cm="1">
        <f t="array" ref="AE868">IFERROR(_xlfn.BYROW(TRACK_TYPES[[#This Row],[TRACK_TYPE_STANDARD_GAUGE_RAILTYPE_OHLE]:[TRACK_TYPE_STANDARD_GAUGE_RAILTYPE_NONE]],_xlfn.LAMBDA(_xlpm.r,OR(_xlpm.r))),FALSE)</f>
        <v>1</v>
      </c>
      <c r="AF868" s="38" t="b" cm="1">
        <f t="array" ref="AF868">IFERROR(_xlfn.BYROW(TRACK_TYPES[[#This Row],[TRACK_TYPE_NARROW_GAUGE_RAILTYPE_OHLE]:[TRACK_TYPE_NARROW_GAUGE_RAILTYPE_NONE]],_xlfn.LAMBDA(_xlpm.r,OR(_xlpm.r))),FALSE)</f>
        <v>0</v>
      </c>
      <c r="AG868" s="38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3328</v>
      </c>
      <c r="B869" s="40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8" t="b" cm="1">
        <f t="array" ref="AE869">IFERROR(_xlfn.BYROW(TRACK_TYPES[[#This Row],[TRACK_TYPE_STANDARD_GAUGE_RAILTYPE_OHLE]:[TRACK_TYPE_STANDARD_GAUGE_RAILTYPE_NONE]],_xlfn.LAMBDA(_xlpm.r,OR(_xlpm.r))),FALSE)</f>
        <v>1</v>
      </c>
      <c r="AF869" s="38" t="b" cm="1">
        <f t="array" ref="AF869">IFERROR(_xlfn.BYROW(TRACK_TYPES[[#This Row],[TRACK_TYPE_NARROW_GAUGE_RAILTYPE_OHLE]:[TRACK_TYPE_NARROW_GAUGE_RAILTYPE_NONE]],_xlfn.LAMBDA(_xlpm.r,OR(_xlpm.r))),FALSE)</f>
        <v>0</v>
      </c>
      <c r="AG869" s="38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3329</v>
      </c>
      <c r="B870" s="40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8" t="b" cm="1">
        <f t="array" ref="AE870">IFERROR(_xlfn.BYROW(TRACK_TYPES[[#This Row],[TRACK_TYPE_STANDARD_GAUGE_RAILTYPE_OHLE]:[TRACK_TYPE_STANDARD_GAUGE_RAILTYPE_NONE]],_xlfn.LAMBDA(_xlpm.r,OR(_xlpm.r))),FALSE)</f>
        <v>1</v>
      </c>
      <c r="AF870" s="38" t="b" cm="1">
        <f t="array" ref="AF870">IFERROR(_xlfn.BYROW(TRACK_TYPES[[#This Row],[TRACK_TYPE_NARROW_GAUGE_RAILTYPE_OHLE]:[TRACK_TYPE_NARROW_GAUGE_RAILTYPE_NONE]],_xlfn.LAMBDA(_xlpm.r,OR(_xlpm.r))),FALSE)</f>
        <v>0</v>
      </c>
      <c r="AG870" s="38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3460</v>
      </c>
      <c r="B871" s="40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8" t="b" cm="1">
        <f t="array" ref="AE871">IFERROR(_xlfn.BYROW(TRACK_TYPES[[#This Row],[TRACK_TYPE_STANDARD_GAUGE_RAILTYPE_OHLE]:[TRACK_TYPE_STANDARD_GAUGE_RAILTYPE_NONE]],_xlfn.LAMBDA(_xlpm.r,OR(_xlpm.r))),FALSE)</f>
        <v>0</v>
      </c>
      <c r="AF871" s="38" t="b" cm="1">
        <f t="array" ref="AF871">IFERROR(_xlfn.BYROW(TRACK_TYPES[[#This Row],[TRACK_TYPE_NARROW_GAUGE_RAILTYPE_OHLE]:[TRACK_TYPE_NARROW_GAUGE_RAILTYPE_NONE]],_xlfn.LAMBDA(_xlpm.r,OR(_xlpm.r))),FALSE)</f>
        <v>1</v>
      </c>
      <c r="AG871" s="38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3330</v>
      </c>
      <c r="B872" s="40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8" t="b" cm="1">
        <f t="array" ref="AE872">IFERROR(_xlfn.BYROW(TRACK_TYPES[[#This Row],[TRACK_TYPE_STANDARD_GAUGE_RAILTYPE_OHLE]:[TRACK_TYPE_STANDARD_GAUGE_RAILTYPE_NONE]],_xlfn.LAMBDA(_xlpm.r,OR(_xlpm.r))),FALSE)</f>
        <v>0</v>
      </c>
      <c r="AF872" s="38" t="b" cm="1">
        <f t="array" ref="AF872">IFERROR(_xlfn.BYROW(TRACK_TYPES[[#This Row],[TRACK_TYPE_NARROW_GAUGE_RAILTYPE_OHLE]:[TRACK_TYPE_NARROW_GAUGE_RAILTYPE_NONE]],_xlfn.LAMBDA(_xlpm.r,OR(_xlpm.r))),FALSE)</f>
        <v>1</v>
      </c>
      <c r="AG872" s="38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3331</v>
      </c>
      <c r="B873" s="40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8" t="b" cm="1">
        <f t="array" ref="AE873">IFERROR(_xlfn.BYROW(TRACK_TYPES[[#This Row],[TRACK_TYPE_STANDARD_GAUGE_RAILTYPE_OHLE]:[TRACK_TYPE_STANDARD_GAUGE_RAILTYPE_NONE]],_xlfn.LAMBDA(_xlpm.r,OR(_xlpm.r))),FALSE)</f>
        <v>0</v>
      </c>
      <c r="AF873" s="38" t="b" cm="1">
        <f t="array" ref="AF873">IFERROR(_xlfn.BYROW(TRACK_TYPES[[#This Row],[TRACK_TYPE_NARROW_GAUGE_RAILTYPE_OHLE]:[TRACK_TYPE_NARROW_GAUGE_RAILTYPE_NONE]],_xlfn.LAMBDA(_xlpm.r,OR(_xlpm.r))),FALSE)</f>
        <v>1</v>
      </c>
      <c r="AG873" s="38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3332</v>
      </c>
      <c r="B874" s="40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8" t="b" cm="1">
        <f t="array" ref="AE874">IFERROR(_xlfn.BYROW(TRACK_TYPES[[#This Row],[TRACK_TYPE_STANDARD_GAUGE_RAILTYPE_OHLE]:[TRACK_TYPE_STANDARD_GAUGE_RAILTYPE_NONE]],_xlfn.LAMBDA(_xlpm.r,OR(_xlpm.r))),FALSE)</f>
        <v>1</v>
      </c>
      <c r="AF874" s="38" t="b" cm="1">
        <f t="array" ref="AF874">IFERROR(_xlfn.BYROW(TRACK_TYPES[[#This Row],[TRACK_TYPE_NARROW_GAUGE_RAILTYPE_OHLE]:[TRACK_TYPE_NARROW_GAUGE_RAILTYPE_NONE]],_xlfn.LAMBDA(_xlpm.r,OR(_xlpm.r))),FALSE)</f>
        <v>1</v>
      </c>
      <c r="AG874" s="38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3333</v>
      </c>
      <c r="B875" s="40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8" t="b" cm="1">
        <f t="array" ref="AE875">IFERROR(_xlfn.BYROW(TRACK_TYPES[[#This Row],[TRACK_TYPE_STANDARD_GAUGE_RAILTYPE_OHLE]:[TRACK_TYPE_STANDARD_GAUGE_RAILTYPE_NONE]],_xlfn.LAMBDA(_xlpm.r,OR(_xlpm.r))),FALSE)</f>
        <v>1</v>
      </c>
      <c r="AF875" s="38" t="b" cm="1">
        <f t="array" ref="AF875">IFERROR(_xlfn.BYROW(TRACK_TYPES[[#This Row],[TRACK_TYPE_NARROW_GAUGE_RAILTYPE_OHLE]:[TRACK_TYPE_NARROW_GAUGE_RAILTYPE_NONE]],_xlfn.LAMBDA(_xlpm.r,OR(_xlpm.r))),FALSE)</f>
        <v>0</v>
      </c>
      <c r="AG875" s="38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3334</v>
      </c>
      <c r="B876" s="40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8" t="b" cm="1">
        <f t="array" ref="AE876">IFERROR(_xlfn.BYROW(TRACK_TYPES[[#This Row],[TRACK_TYPE_STANDARD_GAUGE_RAILTYPE_OHLE]:[TRACK_TYPE_STANDARD_GAUGE_RAILTYPE_NONE]],_xlfn.LAMBDA(_xlpm.r,OR(_xlpm.r))),FALSE)</f>
        <v>1</v>
      </c>
      <c r="AF876" s="38" t="b" cm="1">
        <f t="array" ref="AF876">IFERROR(_xlfn.BYROW(TRACK_TYPES[[#This Row],[TRACK_TYPE_NARROW_GAUGE_RAILTYPE_OHLE]:[TRACK_TYPE_NARROW_GAUGE_RAILTYPE_NONE]],_xlfn.LAMBDA(_xlpm.r,OR(_xlpm.r))),FALSE)</f>
        <v>0</v>
      </c>
      <c r="AG876" s="38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3335</v>
      </c>
      <c r="B877" s="40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8" t="b" cm="1">
        <f t="array" ref="AE877">IFERROR(_xlfn.BYROW(TRACK_TYPES[[#This Row],[TRACK_TYPE_STANDARD_GAUGE_RAILTYPE_OHLE]:[TRACK_TYPE_STANDARD_GAUGE_RAILTYPE_NONE]],_xlfn.LAMBDA(_xlpm.r,OR(_xlpm.r))),FALSE)</f>
        <v>1</v>
      </c>
      <c r="AF877" s="38" t="b" cm="1">
        <f t="array" ref="AF877">IFERROR(_xlfn.BYROW(TRACK_TYPES[[#This Row],[TRACK_TYPE_NARROW_GAUGE_RAILTYPE_OHLE]:[TRACK_TYPE_NARROW_GAUGE_RAILTYPE_NONE]],_xlfn.LAMBDA(_xlpm.r,OR(_xlpm.r))),FALSE)</f>
        <v>0</v>
      </c>
      <c r="AG877" s="38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3336</v>
      </c>
      <c r="B878" s="40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8" t="b" cm="1">
        <f t="array" ref="AE878">IFERROR(_xlfn.BYROW(TRACK_TYPES[[#This Row],[TRACK_TYPE_STANDARD_GAUGE_RAILTYPE_OHLE]:[TRACK_TYPE_STANDARD_GAUGE_RAILTYPE_NONE]],_xlfn.LAMBDA(_xlpm.r,OR(_xlpm.r))),FALSE)</f>
        <v>0</v>
      </c>
      <c r="AF878" s="38" t="b" cm="1">
        <f t="array" ref="AF878">IFERROR(_xlfn.BYROW(TRACK_TYPES[[#This Row],[TRACK_TYPE_NARROW_GAUGE_RAILTYPE_OHLE]:[TRACK_TYPE_NARROW_GAUGE_RAILTYPE_NONE]],_xlfn.LAMBDA(_xlpm.r,OR(_xlpm.r))),FALSE)</f>
        <v>1</v>
      </c>
      <c r="AG878" s="38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3337</v>
      </c>
      <c r="B879" s="40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8" t="b" cm="1">
        <f t="array" ref="AE879">IFERROR(_xlfn.BYROW(TRACK_TYPES[[#This Row],[TRACK_TYPE_STANDARD_GAUGE_RAILTYPE_OHLE]:[TRACK_TYPE_STANDARD_GAUGE_RAILTYPE_NONE]],_xlfn.LAMBDA(_xlpm.r,OR(_xlpm.r))),FALSE)</f>
        <v>0</v>
      </c>
      <c r="AF879" s="38" t="b" cm="1">
        <f t="array" ref="AF879">IFERROR(_xlfn.BYROW(TRACK_TYPES[[#This Row],[TRACK_TYPE_NARROW_GAUGE_RAILTYPE_OHLE]:[TRACK_TYPE_NARROW_GAUGE_RAILTYPE_NONE]],_xlfn.LAMBDA(_xlpm.r,OR(_xlpm.r))),FALSE)</f>
        <v>1</v>
      </c>
      <c r="AG879" s="38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3338</v>
      </c>
      <c r="B880" s="40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8" t="b" cm="1">
        <f t="array" ref="AE880">IFERROR(_xlfn.BYROW(TRACK_TYPES[[#This Row],[TRACK_TYPE_STANDARD_GAUGE_RAILTYPE_OHLE]:[TRACK_TYPE_STANDARD_GAUGE_RAILTYPE_NONE]],_xlfn.LAMBDA(_xlpm.r,OR(_xlpm.r))),FALSE)</f>
        <v>1</v>
      </c>
      <c r="AF880" s="38" t="b" cm="1">
        <f t="array" ref="AF880">IFERROR(_xlfn.BYROW(TRACK_TYPES[[#This Row],[TRACK_TYPE_NARROW_GAUGE_RAILTYPE_OHLE]:[TRACK_TYPE_NARROW_GAUGE_RAILTYPE_NONE]],_xlfn.LAMBDA(_xlpm.r,OR(_xlpm.r))),FALSE)</f>
        <v>0</v>
      </c>
      <c r="AG880" s="38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3339</v>
      </c>
      <c r="B881" s="40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8" t="b" cm="1">
        <f t="array" ref="AE881">IFERROR(_xlfn.BYROW(TRACK_TYPES[[#This Row],[TRACK_TYPE_STANDARD_GAUGE_RAILTYPE_OHLE]:[TRACK_TYPE_STANDARD_GAUGE_RAILTYPE_NONE]],_xlfn.LAMBDA(_xlpm.r,OR(_xlpm.r))),FALSE)</f>
        <v>0</v>
      </c>
      <c r="AF881" s="38" t="b" cm="1">
        <f t="array" ref="AF881">IFERROR(_xlfn.BYROW(TRACK_TYPES[[#This Row],[TRACK_TYPE_NARROW_GAUGE_RAILTYPE_OHLE]:[TRACK_TYPE_NARROW_GAUGE_RAILTYPE_NONE]],_xlfn.LAMBDA(_xlpm.r,OR(_xlpm.r))),FALSE)</f>
        <v>0</v>
      </c>
      <c r="AG881" s="38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3340</v>
      </c>
      <c r="B882" s="40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8" t="b" cm="1">
        <f t="array" ref="AE882">IFERROR(_xlfn.BYROW(TRACK_TYPES[[#This Row],[TRACK_TYPE_STANDARD_GAUGE_RAILTYPE_OHLE]:[TRACK_TYPE_STANDARD_GAUGE_RAILTYPE_NONE]],_xlfn.LAMBDA(_xlpm.r,OR(_xlpm.r))),FALSE)</f>
        <v>0</v>
      </c>
      <c r="AF882" s="38" t="b" cm="1">
        <f t="array" ref="AF882">IFERROR(_xlfn.BYROW(TRACK_TYPES[[#This Row],[TRACK_TYPE_NARROW_GAUGE_RAILTYPE_OHLE]:[TRACK_TYPE_NARROW_GAUGE_RAILTYPE_NONE]],_xlfn.LAMBDA(_xlpm.r,OR(_xlpm.r))),FALSE)</f>
        <v>0</v>
      </c>
      <c r="AG882" s="38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3341</v>
      </c>
      <c r="B883" s="40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8" t="b" cm="1">
        <f t="array" ref="AE883">IFERROR(_xlfn.BYROW(TRACK_TYPES[[#This Row],[TRACK_TYPE_STANDARD_GAUGE_RAILTYPE_OHLE]:[TRACK_TYPE_STANDARD_GAUGE_RAILTYPE_NONE]],_xlfn.LAMBDA(_xlpm.r,OR(_xlpm.r))),FALSE)</f>
        <v>0</v>
      </c>
      <c r="AF883" s="38" t="b" cm="1">
        <f t="array" ref="AF883">IFERROR(_xlfn.BYROW(TRACK_TYPES[[#This Row],[TRACK_TYPE_NARROW_GAUGE_RAILTYPE_OHLE]:[TRACK_TYPE_NARROW_GAUGE_RAILTYPE_NONE]],_xlfn.LAMBDA(_xlpm.r,OR(_xlpm.r))),FALSE)</f>
        <v>0</v>
      </c>
      <c r="AG883" s="38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3342</v>
      </c>
      <c r="B884" s="40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8" t="b" cm="1">
        <f t="array" ref="AE884">IFERROR(_xlfn.BYROW(TRACK_TYPES[[#This Row],[TRACK_TYPE_STANDARD_GAUGE_RAILTYPE_OHLE]:[TRACK_TYPE_STANDARD_GAUGE_RAILTYPE_NONE]],_xlfn.LAMBDA(_xlpm.r,OR(_xlpm.r))),FALSE)</f>
        <v>1</v>
      </c>
      <c r="AF884" s="38" t="b" cm="1">
        <f t="array" ref="AF884">IFERROR(_xlfn.BYROW(TRACK_TYPES[[#This Row],[TRACK_TYPE_NARROW_GAUGE_RAILTYPE_OHLE]:[TRACK_TYPE_NARROW_GAUGE_RAILTYPE_NONE]],_xlfn.LAMBDA(_xlpm.r,OR(_xlpm.r))),FALSE)</f>
        <v>0</v>
      </c>
      <c r="AG884" s="38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3343</v>
      </c>
      <c r="B885" s="40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8" t="b" cm="1">
        <f t="array" ref="AE885">IFERROR(_xlfn.BYROW(TRACK_TYPES[[#This Row],[TRACK_TYPE_STANDARD_GAUGE_RAILTYPE_OHLE]:[TRACK_TYPE_STANDARD_GAUGE_RAILTYPE_NONE]],_xlfn.LAMBDA(_xlpm.r,OR(_xlpm.r))),FALSE)</f>
        <v>0</v>
      </c>
      <c r="AF885" s="38" t="b" cm="1">
        <f t="array" ref="AF885">IFERROR(_xlfn.BYROW(TRACK_TYPES[[#This Row],[TRACK_TYPE_NARROW_GAUGE_RAILTYPE_OHLE]:[TRACK_TYPE_NARROW_GAUGE_RAILTYPE_NONE]],_xlfn.LAMBDA(_xlpm.r,OR(_xlpm.r))),FALSE)</f>
        <v>0</v>
      </c>
      <c r="AG885" s="38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3344</v>
      </c>
      <c r="B886" s="40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8" t="b" cm="1">
        <f t="array" ref="AE886">IFERROR(_xlfn.BYROW(TRACK_TYPES[[#This Row],[TRACK_TYPE_STANDARD_GAUGE_RAILTYPE_OHLE]:[TRACK_TYPE_STANDARD_GAUGE_RAILTYPE_NONE]],_xlfn.LAMBDA(_xlpm.r,OR(_xlpm.r))),FALSE)</f>
        <v>0</v>
      </c>
      <c r="AF886" s="38" t="b" cm="1">
        <f t="array" ref="AF886">IFERROR(_xlfn.BYROW(TRACK_TYPES[[#This Row],[TRACK_TYPE_NARROW_GAUGE_RAILTYPE_OHLE]:[TRACK_TYPE_NARROW_GAUGE_RAILTYPE_NONE]],_xlfn.LAMBDA(_xlpm.r,OR(_xlpm.r))),FALSE)</f>
        <v>0</v>
      </c>
      <c r="AG886" s="38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3345</v>
      </c>
      <c r="B887" s="40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8" t="b" cm="1">
        <f t="array" ref="AE887">IFERROR(_xlfn.BYROW(TRACK_TYPES[[#This Row],[TRACK_TYPE_STANDARD_GAUGE_RAILTYPE_OHLE]:[TRACK_TYPE_STANDARD_GAUGE_RAILTYPE_NONE]],_xlfn.LAMBDA(_xlpm.r,OR(_xlpm.r))),FALSE)</f>
        <v>1</v>
      </c>
      <c r="AF887" s="38" t="b" cm="1">
        <f t="array" ref="AF887">IFERROR(_xlfn.BYROW(TRACK_TYPES[[#This Row],[TRACK_TYPE_NARROW_GAUGE_RAILTYPE_OHLE]:[TRACK_TYPE_NARROW_GAUGE_RAILTYPE_NONE]],_xlfn.LAMBDA(_xlpm.r,OR(_xlpm.r))),FALSE)</f>
        <v>0</v>
      </c>
      <c r="AG887" s="38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3346</v>
      </c>
      <c r="B888" s="40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8" t="b" cm="1">
        <f t="array" ref="AE888">IFERROR(_xlfn.BYROW(TRACK_TYPES[[#This Row],[TRACK_TYPE_STANDARD_GAUGE_RAILTYPE_OHLE]:[TRACK_TYPE_STANDARD_GAUGE_RAILTYPE_NONE]],_xlfn.LAMBDA(_xlpm.r,OR(_xlpm.r))),FALSE)</f>
        <v>0</v>
      </c>
      <c r="AF888" s="38" t="b" cm="1">
        <f t="array" ref="AF888">IFERROR(_xlfn.BYROW(TRACK_TYPES[[#This Row],[TRACK_TYPE_NARROW_GAUGE_RAILTYPE_OHLE]:[TRACK_TYPE_NARROW_GAUGE_RAILTYPE_NONE]],_xlfn.LAMBDA(_xlpm.r,OR(_xlpm.r))),FALSE)</f>
        <v>0</v>
      </c>
      <c r="AG888" s="38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3347</v>
      </c>
      <c r="B889" s="40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8" t="b" cm="1">
        <f t="array" ref="AE889">IFERROR(_xlfn.BYROW(TRACK_TYPES[[#This Row],[TRACK_TYPE_STANDARD_GAUGE_RAILTYPE_OHLE]:[TRACK_TYPE_STANDARD_GAUGE_RAILTYPE_NONE]],_xlfn.LAMBDA(_xlpm.r,OR(_xlpm.r))),FALSE)</f>
        <v>1</v>
      </c>
      <c r="AF889" s="38" t="b" cm="1">
        <f t="array" ref="AF889">IFERROR(_xlfn.BYROW(TRACK_TYPES[[#This Row],[TRACK_TYPE_NARROW_GAUGE_RAILTYPE_OHLE]:[TRACK_TYPE_NARROW_GAUGE_RAILTYPE_NONE]],_xlfn.LAMBDA(_xlpm.r,OR(_xlpm.r))),FALSE)</f>
        <v>0</v>
      </c>
      <c r="AG889" s="38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3348</v>
      </c>
      <c r="B890" s="40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8" t="b" cm="1">
        <f t="array" ref="AE890">IFERROR(_xlfn.BYROW(TRACK_TYPES[[#This Row],[TRACK_TYPE_STANDARD_GAUGE_RAILTYPE_OHLE]:[TRACK_TYPE_STANDARD_GAUGE_RAILTYPE_NONE]],_xlfn.LAMBDA(_xlpm.r,OR(_xlpm.r))),FALSE)</f>
        <v>1</v>
      </c>
      <c r="AF890" s="38" t="b" cm="1">
        <f t="array" ref="AF890">IFERROR(_xlfn.BYROW(TRACK_TYPES[[#This Row],[TRACK_TYPE_NARROW_GAUGE_RAILTYPE_OHLE]:[TRACK_TYPE_NARROW_GAUGE_RAILTYPE_NONE]],_xlfn.LAMBDA(_xlpm.r,OR(_xlpm.r))),FALSE)</f>
        <v>0</v>
      </c>
      <c r="AG890" s="38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3349</v>
      </c>
      <c r="B891" s="40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8" t="b" cm="1">
        <f t="array" ref="AE891">IFERROR(_xlfn.BYROW(TRACK_TYPES[[#This Row],[TRACK_TYPE_STANDARD_GAUGE_RAILTYPE_OHLE]:[TRACK_TYPE_STANDARD_GAUGE_RAILTYPE_NONE]],_xlfn.LAMBDA(_xlpm.r,OR(_xlpm.r))),FALSE)</f>
        <v>0</v>
      </c>
      <c r="AF891" s="38" t="b" cm="1">
        <f t="array" ref="AF891">IFERROR(_xlfn.BYROW(TRACK_TYPES[[#This Row],[TRACK_TYPE_NARROW_GAUGE_RAILTYPE_OHLE]:[TRACK_TYPE_NARROW_GAUGE_RAILTYPE_NONE]],_xlfn.LAMBDA(_xlpm.r,OR(_xlpm.r))),FALSE)</f>
        <v>1</v>
      </c>
      <c r="AG891" s="38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t="s">
        <v>3691</v>
      </c>
      <c r="B892" s="40" t="str">
        <f>_xlfn.XLOOKUP(PROPERTIES[[#This Row],[VEHIDCODE]],CONTROL[VEHIDCODE],CONTROL[ENGLISH])</f>
        <v>Ganz 'Bariloche'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8" t="b" cm="1">
        <f t="array" ref="AE892">IFERROR(_xlfn.BYROW(TRACK_TYPES[[#This Row],[TRACK_TYPE_STANDARD_GAUGE_RAILTYPE_OHLE]:[TRACK_TYPE_STANDARD_GAUGE_RAILTYPE_NONE]],_xlfn.LAMBDA(_xlpm.r,OR(_xlpm.r))),FALSE)</f>
        <v>0</v>
      </c>
      <c r="AF892" s="38" t="b" cm="1">
        <f t="array" ref="AF892">IFERROR(_xlfn.BYROW(TRACK_TYPES[[#This Row],[TRACK_TYPE_NARROW_GAUGE_RAILTYPE_OHLE]:[TRACK_TYPE_NARROW_GAUGE_RAILTYPE_NONE]],_xlfn.LAMBDA(_xlpm.r,OR(_xlpm.r))),FALSE)</f>
        <v>0</v>
      </c>
      <c r="AG892" s="38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t="s">
        <v>3350</v>
      </c>
      <c r="B893" s="40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8" t="b" cm="1">
        <f t="array" ref="AE893">IFERROR(_xlfn.BYROW(TRACK_TYPES[[#This Row],[TRACK_TYPE_STANDARD_GAUGE_RAILTYPE_OHLE]:[TRACK_TYPE_STANDARD_GAUGE_RAILTYPE_NONE]],_xlfn.LAMBDA(_xlpm.r,OR(_xlpm.r))),FALSE)</f>
        <v>0</v>
      </c>
      <c r="AF893" s="38" t="b" cm="1">
        <f t="array" ref="AF893">IFERROR(_xlfn.BYROW(TRACK_TYPES[[#This Row],[TRACK_TYPE_NARROW_GAUGE_RAILTYPE_OHLE]:[TRACK_TYPE_NARROW_GAUGE_RAILTYPE_NONE]],_xlfn.LAMBDA(_xlpm.r,OR(_xlpm.r))),FALSE)</f>
        <v>0</v>
      </c>
      <c r="AG893" s="38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t="s">
        <v>3690</v>
      </c>
      <c r="B894" s="40" t="str">
        <f>_xlfn.XLOOKUP(PROPERTIES[[#This Row],[VEHIDCODE]],CONTROL[VEHIDCODE],CONTROL[ENGLISH])</f>
        <v>Ganz 'Transandino' CMU 4701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8" t="b" cm="1">
        <f t="array" ref="AE894">IFERROR(_xlfn.BYROW(TRACK_TYPES[[#This Row],[TRACK_TYPE_STANDARD_GAUGE_RAILTYPE_OHLE]:[TRACK_TYPE_STANDARD_GAUGE_RAILTYPE_NONE]],_xlfn.LAMBDA(_xlpm.r,OR(_xlpm.r))),FALSE)</f>
        <v>0</v>
      </c>
      <c r="AF894" s="38" t="b" cm="1">
        <f t="array" ref="AF894">IFERROR(_xlfn.BYROW(TRACK_TYPES[[#This Row],[TRACK_TYPE_NARROW_GAUGE_RAILTYPE_OHLE]:[TRACK_TYPE_NARROW_GAUGE_RAILTYPE_NONE]],_xlfn.LAMBDA(_xlpm.r,OR(_xlpm.r))),FALSE)</f>
        <v>1</v>
      </c>
      <c r="AG894" s="38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3351</v>
      </c>
      <c r="B895" s="40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8" t="b" cm="1">
        <f t="array" ref="AE895">IFERROR(_xlfn.BYROW(TRACK_TYPES[[#This Row],[TRACK_TYPE_STANDARD_GAUGE_RAILTYPE_OHLE]:[TRACK_TYPE_STANDARD_GAUGE_RAILTYPE_NONE]],_xlfn.LAMBDA(_xlpm.r,OR(_xlpm.r))),FALSE)</f>
        <v>0</v>
      </c>
      <c r="AF895" s="38" t="b" cm="1">
        <f t="array" ref="AF895">IFERROR(_xlfn.BYROW(TRACK_TYPES[[#This Row],[TRACK_TYPE_NARROW_GAUGE_RAILTYPE_OHLE]:[TRACK_TYPE_NARROW_GAUGE_RAILTYPE_NONE]],_xlfn.LAMBDA(_xlpm.r,OR(_xlpm.r))),FALSE)</f>
        <v>0</v>
      </c>
      <c r="AG895" s="38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3352</v>
      </c>
      <c r="B896" s="40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8" t="b" cm="1">
        <f t="array" ref="AE896">IFERROR(_xlfn.BYROW(TRACK_TYPES[[#This Row],[TRACK_TYPE_STANDARD_GAUGE_RAILTYPE_OHLE]:[TRACK_TYPE_STANDARD_GAUGE_RAILTYPE_NONE]],_xlfn.LAMBDA(_xlpm.r,OR(_xlpm.r))),FALSE)</f>
        <v>0</v>
      </c>
      <c r="AF896" s="38" t="b" cm="1">
        <f t="array" ref="AF896">IFERROR(_xlfn.BYROW(TRACK_TYPES[[#This Row],[TRACK_TYPE_NARROW_GAUGE_RAILTYPE_OHLE]:[TRACK_TYPE_NARROW_GAUGE_RAILTYPE_NONE]],_xlfn.LAMBDA(_xlpm.r,OR(_xlpm.r))),FALSE)</f>
        <v>1</v>
      </c>
      <c r="AG896" s="38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3353</v>
      </c>
      <c r="B897" s="40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8" t="b" cm="1">
        <f t="array" ref="AE897">IFERROR(_xlfn.BYROW(TRACK_TYPES[[#This Row],[TRACK_TYPE_STANDARD_GAUGE_RAILTYPE_OHLE]:[TRACK_TYPE_STANDARD_GAUGE_RAILTYPE_NONE]],_xlfn.LAMBDA(_xlpm.r,OR(_xlpm.r))),FALSE)</f>
        <v>1</v>
      </c>
      <c r="AF897" s="38" t="b" cm="1">
        <f t="array" ref="AF897">IFERROR(_xlfn.BYROW(TRACK_TYPES[[#This Row],[TRACK_TYPE_NARROW_GAUGE_RAILTYPE_OHLE]:[TRACK_TYPE_NARROW_GAUGE_RAILTYPE_NONE]],_xlfn.LAMBDA(_xlpm.r,OR(_xlpm.r))),FALSE)</f>
        <v>0</v>
      </c>
      <c r="AG897" s="38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3354</v>
      </c>
      <c r="B898" s="40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8" t="b" cm="1">
        <f t="array" ref="AE898">IFERROR(_xlfn.BYROW(TRACK_TYPES[[#This Row],[TRACK_TYPE_STANDARD_GAUGE_RAILTYPE_OHLE]:[TRACK_TYPE_STANDARD_GAUGE_RAILTYPE_NONE]],_xlfn.LAMBDA(_xlpm.r,OR(_xlpm.r))),FALSE)</f>
        <v>0</v>
      </c>
      <c r="AF898" s="38" t="b" cm="1">
        <f t="array" ref="AF898">IFERROR(_xlfn.BYROW(TRACK_TYPES[[#This Row],[TRACK_TYPE_NARROW_GAUGE_RAILTYPE_OHLE]:[TRACK_TYPE_NARROW_GAUGE_RAILTYPE_NONE]],_xlfn.LAMBDA(_xlpm.r,OR(_xlpm.r))),FALSE)</f>
        <v>1</v>
      </c>
      <c r="AG898" s="38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3355</v>
      </c>
      <c r="B899" s="40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8" t="b" cm="1">
        <f t="array" ref="AE899">IFERROR(_xlfn.BYROW(TRACK_TYPES[[#This Row],[TRACK_TYPE_STANDARD_GAUGE_RAILTYPE_OHLE]:[TRACK_TYPE_STANDARD_GAUGE_RAILTYPE_NONE]],_xlfn.LAMBDA(_xlpm.r,OR(_xlpm.r))),FALSE)</f>
        <v>1</v>
      </c>
      <c r="AF899" s="38" t="b" cm="1">
        <f t="array" ref="AF899">IFERROR(_xlfn.BYROW(TRACK_TYPES[[#This Row],[TRACK_TYPE_NARROW_GAUGE_RAILTYPE_OHLE]:[TRACK_TYPE_NARROW_GAUGE_RAILTYPE_NONE]],_xlfn.LAMBDA(_xlpm.r,OR(_xlpm.r))),FALSE)</f>
        <v>0</v>
      </c>
      <c r="AG899" s="38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3356</v>
      </c>
      <c r="B900" s="40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8" t="b" cm="1">
        <f t="array" ref="AE900">IFERROR(_xlfn.BYROW(TRACK_TYPES[[#This Row],[TRACK_TYPE_STANDARD_GAUGE_RAILTYPE_OHLE]:[TRACK_TYPE_STANDARD_GAUGE_RAILTYPE_NONE]],_xlfn.LAMBDA(_xlpm.r,OR(_xlpm.r))),FALSE)</f>
        <v>1</v>
      </c>
      <c r="AF900" s="38" t="b" cm="1">
        <f t="array" ref="AF900">IFERROR(_xlfn.BYROW(TRACK_TYPES[[#This Row],[TRACK_TYPE_NARROW_GAUGE_RAILTYPE_OHLE]:[TRACK_TYPE_NARROW_GAUGE_RAILTYPE_NONE]],_xlfn.LAMBDA(_xlpm.r,OR(_xlpm.r))),FALSE)</f>
        <v>0</v>
      </c>
      <c r="AG900" s="38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3357</v>
      </c>
      <c r="B901" s="40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8" t="b" cm="1">
        <f t="array" ref="AE901">IFERROR(_xlfn.BYROW(TRACK_TYPES[[#This Row],[TRACK_TYPE_STANDARD_GAUGE_RAILTYPE_OHLE]:[TRACK_TYPE_STANDARD_GAUGE_RAILTYPE_NONE]],_xlfn.LAMBDA(_xlpm.r,OR(_xlpm.r))),FALSE)</f>
        <v>1</v>
      </c>
      <c r="AF901" s="38" t="b" cm="1">
        <f t="array" ref="AF901">IFERROR(_xlfn.BYROW(TRACK_TYPES[[#This Row],[TRACK_TYPE_NARROW_GAUGE_RAILTYPE_OHLE]:[TRACK_TYPE_NARROW_GAUGE_RAILTYPE_NONE]],_xlfn.LAMBDA(_xlpm.r,OR(_xlpm.r))),FALSE)</f>
        <v>0</v>
      </c>
      <c r="AG901" s="38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3358</v>
      </c>
      <c r="B902" s="40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8" t="b" cm="1">
        <f t="array" ref="AE902">IFERROR(_xlfn.BYROW(TRACK_TYPES[[#This Row],[TRACK_TYPE_STANDARD_GAUGE_RAILTYPE_OHLE]:[TRACK_TYPE_STANDARD_GAUGE_RAILTYPE_NONE]],_xlfn.LAMBDA(_xlpm.r,OR(_xlpm.r))),FALSE)</f>
        <v>1</v>
      </c>
      <c r="AF902" s="38" t="b" cm="1">
        <f t="array" ref="AF902">IFERROR(_xlfn.BYROW(TRACK_TYPES[[#This Row],[TRACK_TYPE_NARROW_GAUGE_RAILTYPE_OHLE]:[TRACK_TYPE_NARROW_GAUGE_RAILTYPE_NONE]],_xlfn.LAMBDA(_xlpm.r,OR(_xlpm.r))),FALSE)</f>
        <v>0</v>
      </c>
      <c r="AG902" s="38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3359</v>
      </c>
      <c r="B903" s="40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8" t="b" cm="1">
        <f t="array" ref="AE903">IFERROR(_xlfn.BYROW(TRACK_TYPES[[#This Row],[TRACK_TYPE_STANDARD_GAUGE_RAILTYPE_OHLE]:[TRACK_TYPE_STANDARD_GAUGE_RAILTYPE_NONE]],_xlfn.LAMBDA(_xlpm.r,OR(_xlpm.r))),FALSE)</f>
        <v>1</v>
      </c>
      <c r="AF903" s="38" t="b" cm="1">
        <f t="array" ref="AF903">IFERROR(_xlfn.BYROW(TRACK_TYPES[[#This Row],[TRACK_TYPE_NARROW_GAUGE_RAILTYPE_OHLE]:[TRACK_TYPE_NARROW_GAUGE_RAILTYPE_NONE]],_xlfn.LAMBDA(_xlpm.r,OR(_xlpm.r))),FALSE)</f>
        <v>0</v>
      </c>
      <c r="AG903" s="38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3360</v>
      </c>
      <c r="B904" s="40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8" t="b" cm="1">
        <f t="array" ref="AE904">IFERROR(_xlfn.BYROW(TRACK_TYPES[[#This Row],[TRACK_TYPE_STANDARD_GAUGE_RAILTYPE_OHLE]:[TRACK_TYPE_STANDARD_GAUGE_RAILTYPE_NONE]],_xlfn.LAMBDA(_xlpm.r,OR(_xlpm.r))),FALSE)</f>
        <v>1</v>
      </c>
      <c r="AF904" s="38" t="b" cm="1">
        <f t="array" ref="AF904">IFERROR(_xlfn.BYROW(TRACK_TYPES[[#This Row],[TRACK_TYPE_NARROW_GAUGE_RAILTYPE_OHLE]:[TRACK_TYPE_NARROW_GAUGE_RAILTYPE_NONE]],_xlfn.LAMBDA(_xlpm.r,OR(_xlpm.r))),FALSE)</f>
        <v>0</v>
      </c>
      <c r="AG904" s="38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3361</v>
      </c>
      <c r="B905" s="40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8" t="b" cm="1">
        <f t="array" ref="AE905">IFERROR(_xlfn.BYROW(TRACK_TYPES[[#This Row],[TRACK_TYPE_STANDARD_GAUGE_RAILTYPE_OHLE]:[TRACK_TYPE_STANDARD_GAUGE_RAILTYPE_NONE]],_xlfn.LAMBDA(_xlpm.r,OR(_xlpm.r))),FALSE)</f>
        <v>0</v>
      </c>
      <c r="AF905" s="38" t="b" cm="1">
        <f t="array" ref="AF905">IFERROR(_xlfn.BYROW(TRACK_TYPES[[#This Row],[TRACK_TYPE_NARROW_GAUGE_RAILTYPE_OHLE]:[TRACK_TYPE_NARROW_GAUGE_RAILTYPE_NONE]],_xlfn.LAMBDA(_xlpm.r,OR(_xlpm.r))),FALSE)</f>
        <v>1</v>
      </c>
      <c r="AG905" s="38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3362</v>
      </c>
      <c r="B906" s="40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8" t="b" cm="1">
        <f t="array" ref="AE906">IFERROR(_xlfn.BYROW(TRACK_TYPES[[#This Row],[TRACK_TYPE_STANDARD_GAUGE_RAILTYPE_OHLE]:[TRACK_TYPE_STANDARD_GAUGE_RAILTYPE_NONE]],_xlfn.LAMBDA(_xlpm.r,OR(_xlpm.r))),FALSE)</f>
        <v>1</v>
      </c>
      <c r="AF906" s="38" t="b" cm="1">
        <f t="array" ref="AF906">IFERROR(_xlfn.BYROW(TRACK_TYPES[[#This Row],[TRACK_TYPE_NARROW_GAUGE_RAILTYPE_OHLE]:[TRACK_TYPE_NARROW_GAUGE_RAILTYPE_NONE]],_xlfn.LAMBDA(_xlpm.r,OR(_xlpm.r))),FALSE)</f>
        <v>0</v>
      </c>
      <c r="AG906" s="38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3363</v>
      </c>
      <c r="B907" s="40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8" t="b" cm="1">
        <f t="array" ref="AE907">IFERROR(_xlfn.BYROW(TRACK_TYPES[[#This Row],[TRACK_TYPE_STANDARD_GAUGE_RAILTYPE_OHLE]:[TRACK_TYPE_STANDARD_GAUGE_RAILTYPE_NONE]],_xlfn.LAMBDA(_xlpm.r,OR(_xlpm.r))),FALSE)</f>
        <v>1</v>
      </c>
      <c r="AF907" s="38" t="b" cm="1">
        <f t="array" ref="AF907">IFERROR(_xlfn.BYROW(TRACK_TYPES[[#This Row],[TRACK_TYPE_NARROW_GAUGE_RAILTYPE_OHLE]:[TRACK_TYPE_NARROW_GAUGE_RAILTYPE_NONE]],_xlfn.LAMBDA(_xlpm.r,OR(_xlpm.r))),FALSE)</f>
        <v>0</v>
      </c>
      <c r="AG907" s="38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3364</v>
      </c>
      <c r="B908" s="40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8" t="b" cm="1">
        <f t="array" ref="AE908">IFERROR(_xlfn.BYROW(TRACK_TYPES[[#This Row],[TRACK_TYPE_STANDARD_GAUGE_RAILTYPE_OHLE]:[TRACK_TYPE_STANDARD_GAUGE_RAILTYPE_NONE]],_xlfn.LAMBDA(_xlpm.r,OR(_xlpm.r))),FALSE)</f>
        <v>1</v>
      </c>
      <c r="AF908" s="38" t="b" cm="1">
        <f t="array" ref="AF908">IFERROR(_xlfn.BYROW(TRACK_TYPES[[#This Row],[TRACK_TYPE_NARROW_GAUGE_RAILTYPE_OHLE]:[TRACK_TYPE_NARROW_GAUGE_RAILTYPE_NONE]],_xlfn.LAMBDA(_xlpm.r,OR(_xlpm.r))),FALSE)</f>
        <v>0</v>
      </c>
      <c r="AG908" s="38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3365</v>
      </c>
      <c r="B909" s="40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8" t="b" cm="1">
        <f t="array" ref="AE909">IFERROR(_xlfn.BYROW(TRACK_TYPES[[#This Row],[TRACK_TYPE_STANDARD_GAUGE_RAILTYPE_OHLE]:[TRACK_TYPE_STANDARD_GAUGE_RAILTYPE_NONE]],_xlfn.LAMBDA(_xlpm.r,OR(_xlpm.r))),FALSE)</f>
        <v>0</v>
      </c>
      <c r="AF909" s="38" t="b" cm="1">
        <f t="array" ref="AF909">IFERROR(_xlfn.BYROW(TRACK_TYPES[[#This Row],[TRACK_TYPE_NARROW_GAUGE_RAILTYPE_OHLE]:[TRACK_TYPE_NARROW_GAUGE_RAILTYPE_NONE]],_xlfn.LAMBDA(_xlpm.r,OR(_xlpm.r))),FALSE)</f>
        <v>0</v>
      </c>
      <c r="AG909" s="38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1832</v>
      </c>
      <c r="B910" s="40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8" t="b" cm="1">
        <f t="array" ref="AE910">IFERROR(_xlfn.BYROW(TRACK_TYPES[[#This Row],[TRACK_TYPE_STANDARD_GAUGE_RAILTYPE_OHLE]:[TRACK_TYPE_STANDARD_GAUGE_RAILTYPE_NONE]],_xlfn.LAMBDA(_xlpm.r,OR(_xlpm.r))),FALSE)</f>
        <v>1</v>
      </c>
      <c r="AF910" s="38" t="b" cm="1">
        <f t="array" ref="AF910">IFERROR(_xlfn.BYROW(TRACK_TYPES[[#This Row],[TRACK_TYPE_NARROW_GAUGE_RAILTYPE_OHLE]:[TRACK_TYPE_NARROW_GAUGE_RAILTYPE_NONE]],_xlfn.LAMBDA(_xlpm.r,OR(_xlpm.r))),FALSE)</f>
        <v>1</v>
      </c>
      <c r="AG910" s="38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1834</v>
      </c>
      <c r="B911" s="40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8" t="b" cm="1">
        <f t="array" ref="AE911">IFERROR(_xlfn.BYROW(TRACK_TYPES[[#This Row],[TRACK_TYPE_STANDARD_GAUGE_RAILTYPE_OHLE]:[TRACK_TYPE_STANDARD_GAUGE_RAILTYPE_NONE]],_xlfn.LAMBDA(_xlpm.r,OR(_xlpm.r))),FALSE)</f>
        <v>1</v>
      </c>
      <c r="AF911" s="38" t="b" cm="1">
        <f t="array" ref="AF911">IFERROR(_xlfn.BYROW(TRACK_TYPES[[#This Row],[TRACK_TYPE_NARROW_GAUGE_RAILTYPE_OHLE]:[TRACK_TYPE_NARROW_GAUGE_RAILTYPE_NONE]],_xlfn.LAMBDA(_xlpm.r,OR(_xlpm.r))),FALSE)</f>
        <v>1</v>
      </c>
      <c r="AG911" s="38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1835</v>
      </c>
      <c r="B912" s="40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8" t="b" cm="1">
        <f t="array" ref="AE912">IFERROR(_xlfn.BYROW(TRACK_TYPES[[#This Row],[TRACK_TYPE_STANDARD_GAUGE_RAILTYPE_OHLE]:[TRACK_TYPE_STANDARD_GAUGE_RAILTYPE_NONE]],_xlfn.LAMBDA(_xlpm.r,OR(_xlpm.r))),FALSE)</f>
        <v>1</v>
      </c>
      <c r="AF912" s="38" t="b" cm="1">
        <f t="array" ref="AF912">IFERROR(_xlfn.BYROW(TRACK_TYPES[[#This Row],[TRACK_TYPE_NARROW_GAUGE_RAILTYPE_OHLE]:[TRACK_TYPE_NARROW_GAUGE_RAILTYPE_NONE]],_xlfn.LAMBDA(_xlpm.r,OR(_xlpm.r))),FALSE)</f>
        <v>1</v>
      </c>
      <c r="AG912" s="38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1836</v>
      </c>
      <c r="B913" s="40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8" t="b" cm="1">
        <f t="array" ref="AE913">IFERROR(_xlfn.BYROW(TRACK_TYPES[[#This Row],[TRACK_TYPE_STANDARD_GAUGE_RAILTYPE_OHLE]:[TRACK_TYPE_STANDARD_GAUGE_RAILTYPE_NONE]],_xlfn.LAMBDA(_xlpm.r,OR(_xlpm.r))),FALSE)</f>
        <v>1</v>
      </c>
      <c r="AF913" s="38" t="b" cm="1">
        <f t="array" ref="AF913">IFERROR(_xlfn.BYROW(TRACK_TYPES[[#This Row],[TRACK_TYPE_NARROW_GAUGE_RAILTYPE_OHLE]:[TRACK_TYPE_NARROW_GAUGE_RAILTYPE_NONE]],_xlfn.LAMBDA(_xlpm.r,OR(_xlpm.r))),FALSE)</f>
        <v>1</v>
      </c>
      <c r="AG913" s="38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1839</v>
      </c>
      <c r="B914" s="40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8" t="b" cm="1">
        <f t="array" ref="AE914">IFERROR(_xlfn.BYROW(TRACK_TYPES[[#This Row],[TRACK_TYPE_STANDARD_GAUGE_RAILTYPE_OHLE]:[TRACK_TYPE_STANDARD_GAUGE_RAILTYPE_NONE]],_xlfn.LAMBDA(_xlpm.r,OR(_xlpm.r))),FALSE)</f>
        <v>1</v>
      </c>
      <c r="AF914" s="38" t="b" cm="1">
        <f t="array" ref="AF914">IFERROR(_xlfn.BYROW(TRACK_TYPES[[#This Row],[TRACK_TYPE_NARROW_GAUGE_RAILTYPE_OHLE]:[TRACK_TYPE_NARROW_GAUGE_RAILTYPE_NONE]],_xlfn.LAMBDA(_xlpm.r,OR(_xlpm.r))),FALSE)</f>
        <v>1</v>
      </c>
      <c r="AG914" s="38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1840</v>
      </c>
      <c r="B915" s="40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8" t="b" cm="1">
        <f t="array" ref="AE915">IFERROR(_xlfn.BYROW(TRACK_TYPES[[#This Row],[TRACK_TYPE_STANDARD_GAUGE_RAILTYPE_OHLE]:[TRACK_TYPE_STANDARD_GAUGE_RAILTYPE_NONE]],_xlfn.LAMBDA(_xlpm.r,OR(_xlpm.r))),FALSE)</f>
        <v>1</v>
      </c>
      <c r="AF915" s="38" t="b" cm="1">
        <f t="array" ref="AF915">IFERROR(_xlfn.BYROW(TRACK_TYPES[[#This Row],[TRACK_TYPE_NARROW_GAUGE_RAILTYPE_OHLE]:[TRACK_TYPE_NARROW_GAUGE_RAILTYPE_NONE]],_xlfn.LAMBDA(_xlpm.r,OR(_xlpm.r))),FALSE)</f>
        <v>1</v>
      </c>
      <c r="AG915" s="38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1843</v>
      </c>
      <c r="B916" s="40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8" t="b" cm="1">
        <f t="array" ref="AE916">IFERROR(_xlfn.BYROW(TRACK_TYPES[[#This Row],[TRACK_TYPE_STANDARD_GAUGE_RAILTYPE_OHLE]:[TRACK_TYPE_STANDARD_GAUGE_RAILTYPE_NONE]],_xlfn.LAMBDA(_xlpm.r,OR(_xlpm.r))),FALSE)</f>
        <v>1</v>
      </c>
      <c r="AF916" s="38" t="b" cm="1">
        <f t="array" ref="AF916">IFERROR(_xlfn.BYROW(TRACK_TYPES[[#This Row],[TRACK_TYPE_NARROW_GAUGE_RAILTYPE_OHLE]:[TRACK_TYPE_NARROW_GAUGE_RAILTYPE_NONE]],_xlfn.LAMBDA(_xlpm.r,OR(_xlpm.r))),FALSE)</f>
        <v>0</v>
      </c>
      <c r="AG916" s="38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1844</v>
      </c>
      <c r="B917" s="40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8" t="b" cm="1">
        <f t="array" ref="AE917">IFERROR(_xlfn.BYROW(TRACK_TYPES[[#This Row],[TRACK_TYPE_STANDARD_GAUGE_RAILTYPE_OHLE]:[TRACK_TYPE_STANDARD_GAUGE_RAILTYPE_NONE]],_xlfn.LAMBDA(_xlpm.r,OR(_xlpm.r))),FALSE)</f>
        <v>1</v>
      </c>
      <c r="AF917" s="38" t="b" cm="1">
        <f t="array" ref="AF917">IFERROR(_xlfn.BYROW(TRACK_TYPES[[#This Row],[TRACK_TYPE_NARROW_GAUGE_RAILTYPE_OHLE]:[TRACK_TYPE_NARROW_GAUGE_RAILTYPE_NONE]],_xlfn.LAMBDA(_xlpm.r,OR(_xlpm.r))),FALSE)</f>
        <v>0</v>
      </c>
      <c r="AG917" s="38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1846</v>
      </c>
      <c r="B918" s="40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8" t="b" cm="1">
        <f t="array" ref="AE918">IFERROR(_xlfn.BYROW(TRACK_TYPES[[#This Row],[TRACK_TYPE_STANDARD_GAUGE_RAILTYPE_OHLE]:[TRACK_TYPE_STANDARD_GAUGE_RAILTYPE_NONE]],_xlfn.LAMBDA(_xlpm.r,OR(_xlpm.r))),FALSE)</f>
        <v>0</v>
      </c>
      <c r="AF918" s="38" t="b" cm="1">
        <f t="array" ref="AF918">IFERROR(_xlfn.BYROW(TRACK_TYPES[[#This Row],[TRACK_TYPE_NARROW_GAUGE_RAILTYPE_OHLE]:[TRACK_TYPE_NARROW_GAUGE_RAILTYPE_NONE]],_xlfn.LAMBDA(_xlpm.r,OR(_xlpm.r))),FALSE)</f>
        <v>0</v>
      </c>
      <c r="AG918" s="38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1848</v>
      </c>
      <c r="B919" s="40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8" t="b" cm="1">
        <f t="array" ref="AE919">IFERROR(_xlfn.BYROW(TRACK_TYPES[[#This Row],[TRACK_TYPE_STANDARD_GAUGE_RAILTYPE_OHLE]:[TRACK_TYPE_STANDARD_GAUGE_RAILTYPE_NONE]],_xlfn.LAMBDA(_xlpm.r,OR(_xlpm.r))),FALSE)</f>
        <v>1</v>
      </c>
      <c r="AF919" s="38" t="b" cm="1">
        <f t="array" ref="AF919">IFERROR(_xlfn.BYROW(TRACK_TYPES[[#This Row],[TRACK_TYPE_NARROW_GAUGE_RAILTYPE_OHLE]:[TRACK_TYPE_NARROW_GAUGE_RAILTYPE_NONE]],_xlfn.LAMBDA(_xlpm.r,OR(_xlpm.r))),FALSE)</f>
        <v>0</v>
      </c>
      <c r="AG919" s="38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1849</v>
      </c>
      <c r="B920" s="40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8" t="b" cm="1">
        <f t="array" ref="AE920">IFERROR(_xlfn.BYROW(TRACK_TYPES[[#This Row],[TRACK_TYPE_STANDARD_GAUGE_RAILTYPE_OHLE]:[TRACK_TYPE_STANDARD_GAUGE_RAILTYPE_NONE]],_xlfn.LAMBDA(_xlpm.r,OR(_xlpm.r))),FALSE)</f>
        <v>1</v>
      </c>
      <c r="AF920" s="38" t="b" cm="1">
        <f t="array" ref="AF920">IFERROR(_xlfn.BYROW(TRACK_TYPES[[#This Row],[TRACK_TYPE_NARROW_GAUGE_RAILTYPE_OHLE]:[TRACK_TYPE_NARROW_GAUGE_RAILTYPE_NONE]],_xlfn.LAMBDA(_xlpm.r,OR(_xlpm.r))),FALSE)</f>
        <v>0</v>
      </c>
      <c r="AG920" s="38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1851</v>
      </c>
      <c r="B921" s="40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8" t="b" cm="1">
        <f t="array" ref="AE921">IFERROR(_xlfn.BYROW(TRACK_TYPES[[#This Row],[TRACK_TYPE_STANDARD_GAUGE_RAILTYPE_OHLE]:[TRACK_TYPE_STANDARD_GAUGE_RAILTYPE_NONE]],_xlfn.LAMBDA(_xlpm.r,OR(_xlpm.r))),FALSE)</f>
        <v>0</v>
      </c>
      <c r="AF921" s="38" t="b" cm="1">
        <f t="array" ref="AF921">IFERROR(_xlfn.BYROW(TRACK_TYPES[[#This Row],[TRACK_TYPE_NARROW_GAUGE_RAILTYPE_OHLE]:[TRACK_TYPE_NARROW_GAUGE_RAILTYPE_NONE]],_xlfn.LAMBDA(_xlpm.r,OR(_xlpm.r))),FALSE)</f>
        <v>1</v>
      </c>
      <c r="AG921" s="38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1853</v>
      </c>
      <c r="B922" s="40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8" t="b" cm="1">
        <f t="array" ref="AE922">IFERROR(_xlfn.BYROW(TRACK_TYPES[[#This Row],[TRACK_TYPE_STANDARD_GAUGE_RAILTYPE_OHLE]:[TRACK_TYPE_STANDARD_GAUGE_RAILTYPE_NONE]],_xlfn.LAMBDA(_xlpm.r,OR(_xlpm.r))),FALSE)</f>
        <v>0</v>
      </c>
      <c r="AF922" s="38" t="b" cm="1">
        <f t="array" ref="AF922">IFERROR(_xlfn.BYROW(TRACK_TYPES[[#This Row],[TRACK_TYPE_NARROW_GAUGE_RAILTYPE_OHLE]:[TRACK_TYPE_NARROW_GAUGE_RAILTYPE_NONE]],_xlfn.LAMBDA(_xlpm.r,OR(_xlpm.r))),FALSE)</f>
        <v>1</v>
      </c>
      <c r="AG922" s="38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1855</v>
      </c>
      <c r="B923" s="40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8" t="b" cm="1">
        <f t="array" ref="AE923">IFERROR(_xlfn.BYROW(TRACK_TYPES[[#This Row],[TRACK_TYPE_STANDARD_GAUGE_RAILTYPE_OHLE]:[TRACK_TYPE_STANDARD_GAUGE_RAILTYPE_NONE]],_xlfn.LAMBDA(_xlpm.r,OR(_xlpm.r))),FALSE)</f>
        <v>1</v>
      </c>
      <c r="AF923" s="38" t="b" cm="1">
        <f t="array" ref="AF923">IFERROR(_xlfn.BYROW(TRACK_TYPES[[#This Row],[TRACK_TYPE_NARROW_GAUGE_RAILTYPE_OHLE]:[TRACK_TYPE_NARROW_GAUGE_RAILTYPE_NONE]],_xlfn.LAMBDA(_xlpm.r,OR(_xlpm.r))),FALSE)</f>
        <v>0</v>
      </c>
      <c r="AG923" s="38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1856</v>
      </c>
      <c r="B924" s="40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8" t="b" cm="1">
        <f t="array" ref="AE924">IFERROR(_xlfn.BYROW(TRACK_TYPES[[#This Row],[TRACK_TYPE_STANDARD_GAUGE_RAILTYPE_OHLE]:[TRACK_TYPE_STANDARD_GAUGE_RAILTYPE_NONE]],_xlfn.LAMBDA(_xlpm.r,OR(_xlpm.r))),FALSE)</f>
        <v>1</v>
      </c>
      <c r="AF924" s="38" t="b" cm="1">
        <f t="array" ref="AF924">IFERROR(_xlfn.BYROW(TRACK_TYPES[[#This Row],[TRACK_TYPE_NARROW_GAUGE_RAILTYPE_OHLE]:[TRACK_TYPE_NARROW_GAUGE_RAILTYPE_NONE]],_xlfn.LAMBDA(_xlpm.r,OR(_xlpm.r))),FALSE)</f>
        <v>0</v>
      </c>
      <c r="AG924" s="38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1860</v>
      </c>
      <c r="B925" s="40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8" t="b" cm="1">
        <f t="array" ref="AE925">IFERROR(_xlfn.BYROW(TRACK_TYPES[[#This Row],[TRACK_TYPE_STANDARD_GAUGE_RAILTYPE_OHLE]:[TRACK_TYPE_STANDARD_GAUGE_RAILTYPE_NONE]],_xlfn.LAMBDA(_xlpm.r,OR(_xlpm.r))),FALSE)</f>
        <v>1</v>
      </c>
      <c r="AF925" s="38" t="b" cm="1">
        <f t="array" ref="AF925">IFERROR(_xlfn.BYROW(TRACK_TYPES[[#This Row],[TRACK_TYPE_NARROW_GAUGE_RAILTYPE_OHLE]:[TRACK_TYPE_NARROW_GAUGE_RAILTYPE_NONE]],_xlfn.LAMBDA(_xlpm.r,OR(_xlpm.r))),FALSE)</f>
        <v>0</v>
      </c>
      <c r="AG925" s="38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1862</v>
      </c>
      <c r="B926" s="40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8" t="b" cm="1">
        <f t="array" ref="AE926">IFERROR(_xlfn.BYROW(TRACK_TYPES[[#This Row],[TRACK_TYPE_STANDARD_GAUGE_RAILTYPE_OHLE]:[TRACK_TYPE_STANDARD_GAUGE_RAILTYPE_NONE]],_xlfn.LAMBDA(_xlpm.r,OR(_xlpm.r))),FALSE)</f>
        <v>1</v>
      </c>
      <c r="AF926" s="38" t="b" cm="1">
        <f t="array" ref="AF926">IFERROR(_xlfn.BYROW(TRACK_TYPES[[#This Row],[TRACK_TYPE_NARROW_GAUGE_RAILTYPE_OHLE]:[TRACK_TYPE_NARROW_GAUGE_RAILTYPE_NONE]],_xlfn.LAMBDA(_xlpm.r,OR(_xlpm.r))),FALSE)</f>
        <v>0</v>
      </c>
      <c r="AG926" s="38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1863</v>
      </c>
      <c r="B927" s="40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8" t="b" cm="1">
        <f t="array" ref="AE927">IFERROR(_xlfn.BYROW(TRACK_TYPES[[#This Row],[TRACK_TYPE_STANDARD_GAUGE_RAILTYPE_OHLE]:[TRACK_TYPE_STANDARD_GAUGE_RAILTYPE_NONE]],_xlfn.LAMBDA(_xlpm.r,OR(_xlpm.r))),FALSE)</f>
        <v>1</v>
      </c>
      <c r="AF927" s="38" t="b" cm="1">
        <f t="array" ref="AF927">IFERROR(_xlfn.BYROW(TRACK_TYPES[[#This Row],[TRACK_TYPE_NARROW_GAUGE_RAILTYPE_OHLE]:[TRACK_TYPE_NARROW_GAUGE_RAILTYPE_NONE]],_xlfn.LAMBDA(_xlpm.r,OR(_xlpm.r))),FALSE)</f>
        <v>0</v>
      </c>
      <c r="AG927" s="38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1865</v>
      </c>
      <c r="B928" s="40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8" t="b" cm="1">
        <f t="array" ref="AE928">IFERROR(_xlfn.BYROW(TRACK_TYPES[[#This Row],[TRACK_TYPE_STANDARD_GAUGE_RAILTYPE_OHLE]:[TRACK_TYPE_STANDARD_GAUGE_RAILTYPE_NONE]],_xlfn.LAMBDA(_xlpm.r,OR(_xlpm.r))),FALSE)</f>
        <v>0</v>
      </c>
      <c r="AF928" s="38" t="b" cm="1">
        <f t="array" ref="AF928">IFERROR(_xlfn.BYROW(TRACK_TYPES[[#This Row],[TRACK_TYPE_NARROW_GAUGE_RAILTYPE_OHLE]:[TRACK_TYPE_NARROW_GAUGE_RAILTYPE_NONE]],_xlfn.LAMBDA(_xlpm.r,OR(_xlpm.r))),FALSE)</f>
        <v>1</v>
      </c>
      <c r="AG928" s="38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1867</v>
      </c>
      <c r="B929" s="40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8" t="b" cm="1">
        <f t="array" ref="AE929">IFERROR(_xlfn.BYROW(TRACK_TYPES[[#This Row],[TRACK_TYPE_STANDARD_GAUGE_RAILTYPE_OHLE]:[TRACK_TYPE_STANDARD_GAUGE_RAILTYPE_NONE]],_xlfn.LAMBDA(_xlpm.r,OR(_xlpm.r))),FALSE)</f>
        <v>0</v>
      </c>
      <c r="AF929" s="38" t="b" cm="1">
        <f t="array" ref="AF929">IFERROR(_xlfn.BYROW(TRACK_TYPES[[#This Row],[TRACK_TYPE_NARROW_GAUGE_RAILTYPE_OHLE]:[TRACK_TYPE_NARROW_GAUGE_RAILTYPE_NONE]],_xlfn.LAMBDA(_xlpm.r,OR(_xlpm.r))),FALSE)</f>
        <v>1</v>
      </c>
      <c r="AG929" s="38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1868</v>
      </c>
      <c r="B930" s="40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8" t="b" cm="1">
        <f t="array" ref="AE930">IFERROR(_xlfn.BYROW(TRACK_TYPES[[#This Row],[TRACK_TYPE_STANDARD_GAUGE_RAILTYPE_OHLE]:[TRACK_TYPE_STANDARD_GAUGE_RAILTYPE_NONE]],_xlfn.LAMBDA(_xlpm.r,OR(_xlpm.r))),FALSE)</f>
        <v>0</v>
      </c>
      <c r="AF930" s="38" t="b" cm="1">
        <f t="array" ref="AF930">IFERROR(_xlfn.BYROW(TRACK_TYPES[[#This Row],[TRACK_TYPE_NARROW_GAUGE_RAILTYPE_OHLE]:[TRACK_TYPE_NARROW_GAUGE_RAILTYPE_NONE]],_xlfn.LAMBDA(_xlpm.r,OR(_xlpm.r))),FALSE)</f>
        <v>1</v>
      </c>
      <c r="AG930" s="38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1876</v>
      </c>
      <c r="B931" s="40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8" t="b" cm="1">
        <f t="array" ref="AE931">IFERROR(_xlfn.BYROW(TRACK_TYPES[[#This Row],[TRACK_TYPE_STANDARD_GAUGE_RAILTYPE_OHLE]:[TRACK_TYPE_STANDARD_GAUGE_RAILTYPE_NONE]],_xlfn.LAMBDA(_xlpm.r,OR(_xlpm.r))),FALSE)</f>
        <v>0</v>
      </c>
      <c r="AF931" s="38" t="b" cm="1">
        <f t="array" ref="AF931">IFERROR(_xlfn.BYROW(TRACK_TYPES[[#This Row],[TRACK_TYPE_NARROW_GAUGE_RAILTYPE_OHLE]:[TRACK_TYPE_NARROW_GAUGE_RAILTYPE_NONE]],_xlfn.LAMBDA(_xlpm.r,OR(_xlpm.r))),FALSE)</f>
        <v>1</v>
      </c>
      <c r="AG931" s="38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1877</v>
      </c>
      <c r="B932" s="40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8" t="b" cm="1">
        <f t="array" ref="AE932">IFERROR(_xlfn.BYROW(TRACK_TYPES[[#This Row],[TRACK_TYPE_STANDARD_GAUGE_RAILTYPE_OHLE]:[TRACK_TYPE_STANDARD_GAUGE_RAILTYPE_NONE]],_xlfn.LAMBDA(_xlpm.r,OR(_xlpm.r))),FALSE)</f>
        <v>0</v>
      </c>
      <c r="AF932" s="38" t="b" cm="1">
        <f t="array" ref="AF932">IFERROR(_xlfn.BYROW(TRACK_TYPES[[#This Row],[TRACK_TYPE_NARROW_GAUGE_RAILTYPE_OHLE]:[TRACK_TYPE_NARROW_GAUGE_RAILTYPE_NONE]],_xlfn.LAMBDA(_xlpm.r,OR(_xlpm.r))),FALSE)</f>
        <v>1</v>
      </c>
      <c r="AG932" s="38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1879</v>
      </c>
      <c r="B933" s="40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8" t="b" cm="1">
        <f t="array" ref="AE933">IFERROR(_xlfn.BYROW(TRACK_TYPES[[#This Row],[TRACK_TYPE_STANDARD_GAUGE_RAILTYPE_OHLE]:[TRACK_TYPE_STANDARD_GAUGE_RAILTYPE_NONE]],_xlfn.LAMBDA(_xlpm.r,OR(_xlpm.r))),FALSE)</f>
        <v>1</v>
      </c>
      <c r="AF933" s="38" t="b" cm="1">
        <f t="array" ref="AF933">IFERROR(_xlfn.BYROW(TRACK_TYPES[[#This Row],[TRACK_TYPE_NARROW_GAUGE_RAILTYPE_OHLE]:[TRACK_TYPE_NARROW_GAUGE_RAILTYPE_NONE]],_xlfn.LAMBDA(_xlpm.r,OR(_xlpm.r))),FALSE)</f>
        <v>0</v>
      </c>
      <c r="AG933" s="38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3366</v>
      </c>
      <c r="B934" s="40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8" t="b" cm="1">
        <f t="array" ref="AE934">IFERROR(_xlfn.BYROW(TRACK_TYPES[[#This Row],[TRACK_TYPE_STANDARD_GAUGE_RAILTYPE_OHLE]:[TRACK_TYPE_STANDARD_GAUGE_RAILTYPE_NONE]],_xlfn.LAMBDA(_xlpm.r,OR(_xlpm.r))),FALSE)</f>
        <v>1</v>
      </c>
      <c r="AF934" s="38" t="b" cm="1">
        <f t="array" ref="AF934">IFERROR(_xlfn.BYROW(TRACK_TYPES[[#This Row],[TRACK_TYPE_NARROW_GAUGE_RAILTYPE_OHLE]:[TRACK_TYPE_NARROW_GAUGE_RAILTYPE_NONE]],_xlfn.LAMBDA(_xlpm.r,OR(_xlpm.r))),FALSE)</f>
        <v>0</v>
      </c>
      <c r="AG934" s="38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3240</v>
      </c>
      <c r="B935" s="40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8" t="b" cm="1">
        <f t="array" ref="AE935">IFERROR(_xlfn.BYROW(TRACK_TYPES[[#This Row],[TRACK_TYPE_STANDARD_GAUGE_RAILTYPE_OHLE]:[TRACK_TYPE_STANDARD_GAUGE_RAILTYPE_NONE]],_xlfn.LAMBDA(_xlpm.r,OR(_xlpm.r))),FALSE)</f>
        <v>0</v>
      </c>
      <c r="AF935" s="38" t="b" cm="1">
        <f t="array" ref="AF935">IFERROR(_xlfn.BYROW(TRACK_TYPES[[#This Row],[TRACK_TYPE_NARROW_GAUGE_RAILTYPE_OHLE]:[TRACK_TYPE_NARROW_GAUGE_RAILTYPE_NONE]],_xlfn.LAMBDA(_xlpm.r,OR(_xlpm.r))),FALSE)</f>
        <v>1</v>
      </c>
      <c r="AG935" s="38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3367</v>
      </c>
      <c r="B936" s="40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8" t="b" cm="1">
        <f t="array" ref="AE936">IFERROR(_xlfn.BYROW(TRACK_TYPES[[#This Row],[TRACK_TYPE_STANDARD_GAUGE_RAILTYPE_OHLE]:[TRACK_TYPE_STANDARD_GAUGE_RAILTYPE_NONE]],_xlfn.LAMBDA(_xlpm.r,OR(_xlpm.r))),FALSE)</f>
        <v>0</v>
      </c>
      <c r="AF936" s="38" t="b" cm="1">
        <f t="array" ref="AF936">IFERROR(_xlfn.BYROW(TRACK_TYPES[[#This Row],[TRACK_TYPE_NARROW_GAUGE_RAILTYPE_OHLE]:[TRACK_TYPE_NARROW_GAUGE_RAILTYPE_NONE]],_xlfn.LAMBDA(_xlpm.r,OR(_xlpm.r))),FALSE)</f>
        <v>1</v>
      </c>
      <c r="AG936" s="38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3368</v>
      </c>
      <c r="B937" s="40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8" t="b" cm="1">
        <f t="array" ref="AE937">IFERROR(_xlfn.BYROW(TRACK_TYPES[[#This Row],[TRACK_TYPE_STANDARD_GAUGE_RAILTYPE_OHLE]:[TRACK_TYPE_STANDARD_GAUGE_RAILTYPE_NONE]],_xlfn.LAMBDA(_xlpm.r,OR(_xlpm.r))),FALSE)</f>
        <v>0</v>
      </c>
      <c r="AF937" s="38" t="b" cm="1">
        <f t="array" ref="AF937">IFERROR(_xlfn.BYROW(TRACK_TYPES[[#This Row],[TRACK_TYPE_NARROW_GAUGE_RAILTYPE_OHLE]:[TRACK_TYPE_NARROW_GAUGE_RAILTYPE_NONE]],_xlfn.LAMBDA(_xlpm.r,OR(_xlpm.r))),FALSE)</f>
        <v>1</v>
      </c>
      <c r="AG937" s="38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3369</v>
      </c>
      <c r="B938" s="40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8" t="b" cm="1">
        <f t="array" ref="AE938">IFERROR(_xlfn.BYROW(TRACK_TYPES[[#This Row],[TRACK_TYPE_STANDARD_GAUGE_RAILTYPE_OHLE]:[TRACK_TYPE_STANDARD_GAUGE_RAILTYPE_NONE]],_xlfn.LAMBDA(_xlpm.r,OR(_xlpm.r))),FALSE)</f>
        <v>1</v>
      </c>
      <c r="AF938" s="38" t="b" cm="1">
        <f t="array" ref="AF938">IFERROR(_xlfn.BYROW(TRACK_TYPES[[#This Row],[TRACK_TYPE_NARROW_GAUGE_RAILTYPE_OHLE]:[TRACK_TYPE_NARROW_GAUGE_RAILTYPE_NONE]],_xlfn.LAMBDA(_xlpm.r,OR(_xlpm.r))),FALSE)</f>
        <v>0</v>
      </c>
      <c r="AG938" s="38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3370</v>
      </c>
      <c r="B939" s="40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8" t="b" cm="1">
        <f t="array" ref="AE939">IFERROR(_xlfn.BYROW(TRACK_TYPES[[#This Row],[TRACK_TYPE_STANDARD_GAUGE_RAILTYPE_OHLE]:[TRACK_TYPE_STANDARD_GAUGE_RAILTYPE_NONE]],_xlfn.LAMBDA(_xlpm.r,OR(_xlpm.r))),FALSE)</f>
        <v>0</v>
      </c>
      <c r="AF939" s="38" t="b" cm="1">
        <f t="array" ref="AF939">IFERROR(_xlfn.BYROW(TRACK_TYPES[[#This Row],[TRACK_TYPE_NARROW_GAUGE_RAILTYPE_OHLE]:[TRACK_TYPE_NARROW_GAUGE_RAILTYPE_NONE]],_xlfn.LAMBDA(_xlpm.r,OR(_xlpm.r))),FALSE)</f>
        <v>1</v>
      </c>
      <c r="AG939" s="38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3371</v>
      </c>
      <c r="B940" s="40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8" t="b" cm="1">
        <f t="array" ref="AE940">IFERROR(_xlfn.BYROW(TRACK_TYPES[[#This Row],[TRACK_TYPE_STANDARD_GAUGE_RAILTYPE_OHLE]:[TRACK_TYPE_STANDARD_GAUGE_RAILTYPE_NONE]],_xlfn.LAMBDA(_xlpm.r,OR(_xlpm.r))),FALSE)</f>
        <v>1</v>
      </c>
      <c r="AF940" s="38" t="b" cm="1">
        <f t="array" ref="AF940">IFERROR(_xlfn.BYROW(TRACK_TYPES[[#This Row],[TRACK_TYPE_NARROW_GAUGE_RAILTYPE_OHLE]:[TRACK_TYPE_NARROW_GAUGE_RAILTYPE_NONE]],_xlfn.LAMBDA(_xlpm.r,OR(_xlpm.r))),FALSE)</f>
        <v>0</v>
      </c>
      <c r="AG940" s="38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3372</v>
      </c>
      <c r="B941" s="40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8" t="b" cm="1">
        <f t="array" ref="AE941">IFERROR(_xlfn.BYROW(TRACK_TYPES[[#This Row],[TRACK_TYPE_STANDARD_GAUGE_RAILTYPE_OHLE]:[TRACK_TYPE_STANDARD_GAUGE_RAILTYPE_NONE]],_xlfn.LAMBDA(_xlpm.r,OR(_xlpm.r))),FALSE)</f>
        <v>1</v>
      </c>
      <c r="AF941" s="38" t="b" cm="1">
        <f t="array" ref="AF941">IFERROR(_xlfn.BYROW(TRACK_TYPES[[#This Row],[TRACK_TYPE_NARROW_GAUGE_RAILTYPE_OHLE]:[TRACK_TYPE_NARROW_GAUGE_RAILTYPE_NONE]],_xlfn.LAMBDA(_xlpm.r,OR(_xlpm.r))),FALSE)</f>
        <v>0</v>
      </c>
      <c r="AG941" s="38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3373</v>
      </c>
      <c r="B942" s="40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8" t="b" cm="1">
        <f t="array" ref="AE942">IFERROR(_xlfn.BYROW(TRACK_TYPES[[#This Row],[TRACK_TYPE_STANDARD_GAUGE_RAILTYPE_OHLE]:[TRACK_TYPE_STANDARD_GAUGE_RAILTYPE_NONE]],_xlfn.LAMBDA(_xlpm.r,OR(_xlpm.r))),FALSE)</f>
        <v>1</v>
      </c>
      <c r="AF942" s="38" t="b" cm="1">
        <f t="array" ref="AF942">IFERROR(_xlfn.BYROW(TRACK_TYPES[[#This Row],[TRACK_TYPE_NARROW_GAUGE_RAILTYPE_OHLE]:[TRACK_TYPE_NARROW_GAUGE_RAILTYPE_NONE]],_xlfn.LAMBDA(_xlpm.r,OR(_xlpm.r))),FALSE)</f>
        <v>0</v>
      </c>
      <c r="AG942" s="38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3374</v>
      </c>
      <c r="B943" s="40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8" t="b" cm="1">
        <f t="array" ref="AE943">IFERROR(_xlfn.BYROW(TRACK_TYPES[[#This Row],[TRACK_TYPE_STANDARD_GAUGE_RAILTYPE_OHLE]:[TRACK_TYPE_STANDARD_GAUGE_RAILTYPE_NONE]],_xlfn.LAMBDA(_xlpm.r,OR(_xlpm.r))),FALSE)</f>
        <v>1</v>
      </c>
      <c r="AF943" s="38" t="b" cm="1">
        <f t="array" ref="AF943">IFERROR(_xlfn.BYROW(TRACK_TYPES[[#This Row],[TRACK_TYPE_NARROW_GAUGE_RAILTYPE_OHLE]:[TRACK_TYPE_NARROW_GAUGE_RAILTYPE_NONE]],_xlfn.LAMBDA(_xlpm.r,OR(_xlpm.r))),FALSE)</f>
        <v>0</v>
      </c>
      <c r="AG943" s="38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3375</v>
      </c>
      <c r="B944" s="40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8" t="b" cm="1">
        <f t="array" ref="AE944">IFERROR(_xlfn.BYROW(TRACK_TYPES[[#This Row],[TRACK_TYPE_STANDARD_GAUGE_RAILTYPE_OHLE]:[TRACK_TYPE_STANDARD_GAUGE_RAILTYPE_NONE]],_xlfn.LAMBDA(_xlpm.r,OR(_xlpm.r))),FALSE)</f>
        <v>1</v>
      </c>
      <c r="AF944" s="38" t="b" cm="1">
        <f t="array" ref="AF944">IFERROR(_xlfn.BYROW(TRACK_TYPES[[#This Row],[TRACK_TYPE_NARROW_GAUGE_RAILTYPE_OHLE]:[TRACK_TYPE_NARROW_GAUGE_RAILTYPE_NONE]],_xlfn.LAMBDA(_xlpm.r,OR(_xlpm.r))),FALSE)</f>
        <v>0</v>
      </c>
      <c r="AG944" s="38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3376</v>
      </c>
      <c r="B945" s="40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8" t="b" cm="1">
        <f t="array" ref="AE945">IFERROR(_xlfn.BYROW(TRACK_TYPES[[#This Row],[TRACK_TYPE_STANDARD_GAUGE_RAILTYPE_OHLE]:[TRACK_TYPE_STANDARD_GAUGE_RAILTYPE_NONE]],_xlfn.LAMBDA(_xlpm.r,OR(_xlpm.r))),FALSE)</f>
        <v>1</v>
      </c>
      <c r="AF945" s="38" t="b" cm="1">
        <f t="array" ref="AF945">IFERROR(_xlfn.BYROW(TRACK_TYPES[[#This Row],[TRACK_TYPE_NARROW_GAUGE_RAILTYPE_OHLE]:[TRACK_TYPE_NARROW_GAUGE_RAILTYPE_NONE]],_xlfn.LAMBDA(_xlpm.r,OR(_xlpm.r))),FALSE)</f>
        <v>0</v>
      </c>
      <c r="AG945" s="38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3377</v>
      </c>
      <c r="B946" s="40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8" t="b" cm="1">
        <f t="array" ref="AE946">IFERROR(_xlfn.BYROW(TRACK_TYPES[[#This Row],[TRACK_TYPE_STANDARD_GAUGE_RAILTYPE_OHLE]:[TRACK_TYPE_STANDARD_GAUGE_RAILTYPE_NONE]],_xlfn.LAMBDA(_xlpm.r,OR(_xlpm.r))),FALSE)</f>
        <v>1</v>
      </c>
      <c r="AF946" s="38" t="b" cm="1">
        <f t="array" ref="AF946">IFERROR(_xlfn.BYROW(TRACK_TYPES[[#This Row],[TRACK_TYPE_NARROW_GAUGE_RAILTYPE_OHLE]:[TRACK_TYPE_NARROW_GAUGE_RAILTYPE_NONE]],_xlfn.LAMBDA(_xlpm.r,OR(_xlpm.r))),FALSE)</f>
        <v>0</v>
      </c>
      <c r="AG946" s="38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3378</v>
      </c>
      <c r="B947" s="40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8" t="b" cm="1">
        <f t="array" ref="AE947">IFERROR(_xlfn.BYROW(TRACK_TYPES[[#This Row],[TRACK_TYPE_STANDARD_GAUGE_RAILTYPE_OHLE]:[TRACK_TYPE_STANDARD_GAUGE_RAILTYPE_NONE]],_xlfn.LAMBDA(_xlpm.r,OR(_xlpm.r))),FALSE)</f>
        <v>1</v>
      </c>
      <c r="AF947" s="38" t="b" cm="1">
        <f t="array" ref="AF947">IFERROR(_xlfn.BYROW(TRACK_TYPES[[#This Row],[TRACK_TYPE_NARROW_GAUGE_RAILTYPE_OHLE]:[TRACK_TYPE_NARROW_GAUGE_RAILTYPE_NONE]],_xlfn.LAMBDA(_xlpm.r,OR(_xlpm.r))),FALSE)</f>
        <v>0</v>
      </c>
      <c r="AG947" s="38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3379</v>
      </c>
      <c r="B948" s="40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8" t="b" cm="1">
        <f t="array" ref="AE948">IFERROR(_xlfn.BYROW(TRACK_TYPES[[#This Row],[TRACK_TYPE_STANDARD_GAUGE_RAILTYPE_OHLE]:[TRACK_TYPE_STANDARD_GAUGE_RAILTYPE_NONE]],_xlfn.LAMBDA(_xlpm.r,OR(_xlpm.r))),FALSE)</f>
        <v>1</v>
      </c>
      <c r="AF948" s="38" t="b" cm="1">
        <f t="array" ref="AF948">IFERROR(_xlfn.BYROW(TRACK_TYPES[[#This Row],[TRACK_TYPE_NARROW_GAUGE_RAILTYPE_OHLE]:[TRACK_TYPE_NARROW_GAUGE_RAILTYPE_NONE]],_xlfn.LAMBDA(_xlpm.r,OR(_xlpm.r))),FALSE)</f>
        <v>0</v>
      </c>
      <c r="AG948" s="38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3380</v>
      </c>
      <c r="B949" s="40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8" t="b" cm="1">
        <f t="array" ref="AE949">IFERROR(_xlfn.BYROW(TRACK_TYPES[[#This Row],[TRACK_TYPE_STANDARD_GAUGE_RAILTYPE_OHLE]:[TRACK_TYPE_STANDARD_GAUGE_RAILTYPE_NONE]],_xlfn.LAMBDA(_xlpm.r,OR(_xlpm.r))),FALSE)</f>
        <v>1</v>
      </c>
      <c r="AF949" s="38" t="b" cm="1">
        <f t="array" ref="AF949">IFERROR(_xlfn.BYROW(TRACK_TYPES[[#This Row],[TRACK_TYPE_NARROW_GAUGE_RAILTYPE_OHLE]:[TRACK_TYPE_NARROW_GAUGE_RAILTYPE_NONE]],_xlfn.LAMBDA(_xlpm.r,OR(_xlpm.r))),FALSE)</f>
        <v>0</v>
      </c>
      <c r="AG949" s="38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3381</v>
      </c>
      <c r="B950" s="40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8" t="b" cm="1">
        <f t="array" ref="AE950">IFERROR(_xlfn.BYROW(TRACK_TYPES[[#This Row],[TRACK_TYPE_STANDARD_GAUGE_RAILTYPE_OHLE]:[TRACK_TYPE_STANDARD_GAUGE_RAILTYPE_NONE]],_xlfn.LAMBDA(_xlpm.r,OR(_xlpm.r))),FALSE)</f>
        <v>1</v>
      </c>
      <c r="AF950" s="38" t="b" cm="1">
        <f t="array" ref="AF950">IFERROR(_xlfn.BYROW(TRACK_TYPES[[#This Row],[TRACK_TYPE_NARROW_GAUGE_RAILTYPE_OHLE]:[TRACK_TYPE_NARROW_GAUGE_RAILTYPE_NONE]],_xlfn.LAMBDA(_xlpm.r,OR(_xlpm.r))),FALSE)</f>
        <v>0</v>
      </c>
      <c r="AG950" s="38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3382</v>
      </c>
      <c r="B951" s="40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8" t="b" cm="1">
        <f t="array" ref="AE951">IFERROR(_xlfn.BYROW(TRACK_TYPES[[#This Row],[TRACK_TYPE_STANDARD_GAUGE_RAILTYPE_OHLE]:[TRACK_TYPE_STANDARD_GAUGE_RAILTYPE_NONE]],_xlfn.LAMBDA(_xlpm.r,OR(_xlpm.r))),FALSE)</f>
        <v>1</v>
      </c>
      <c r="AF951" s="38" t="b" cm="1">
        <f t="array" ref="AF951">IFERROR(_xlfn.BYROW(TRACK_TYPES[[#This Row],[TRACK_TYPE_NARROW_GAUGE_RAILTYPE_OHLE]:[TRACK_TYPE_NARROW_GAUGE_RAILTYPE_NONE]],_xlfn.LAMBDA(_xlpm.r,OR(_xlpm.r))),FALSE)</f>
        <v>1</v>
      </c>
      <c r="AG951" s="38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3383</v>
      </c>
      <c r="B952" s="40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8" t="b" cm="1">
        <f t="array" ref="AE952">IFERROR(_xlfn.BYROW(TRACK_TYPES[[#This Row],[TRACK_TYPE_STANDARD_GAUGE_RAILTYPE_OHLE]:[TRACK_TYPE_STANDARD_GAUGE_RAILTYPE_NONE]],_xlfn.LAMBDA(_xlpm.r,OR(_xlpm.r))),FALSE)</f>
        <v>1</v>
      </c>
      <c r="AF952" s="38" t="b" cm="1">
        <f t="array" ref="AF952">IFERROR(_xlfn.BYROW(TRACK_TYPES[[#This Row],[TRACK_TYPE_NARROW_GAUGE_RAILTYPE_OHLE]:[TRACK_TYPE_NARROW_GAUGE_RAILTYPE_NONE]],_xlfn.LAMBDA(_xlpm.r,OR(_xlpm.r))),FALSE)</f>
        <v>0</v>
      </c>
      <c r="AG952" s="38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3384</v>
      </c>
      <c r="B953" s="40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8" t="b" cm="1">
        <f t="array" ref="AE953">IFERROR(_xlfn.BYROW(TRACK_TYPES[[#This Row],[TRACK_TYPE_STANDARD_GAUGE_RAILTYPE_OHLE]:[TRACK_TYPE_STANDARD_GAUGE_RAILTYPE_NONE]],_xlfn.LAMBDA(_xlpm.r,OR(_xlpm.r))),FALSE)</f>
        <v>1</v>
      </c>
      <c r="AF953" s="38" t="b" cm="1">
        <f t="array" ref="AF953">IFERROR(_xlfn.BYROW(TRACK_TYPES[[#This Row],[TRACK_TYPE_NARROW_GAUGE_RAILTYPE_OHLE]:[TRACK_TYPE_NARROW_GAUGE_RAILTYPE_NONE]],_xlfn.LAMBDA(_xlpm.r,OR(_xlpm.r))),FALSE)</f>
        <v>1</v>
      </c>
      <c r="AG953" s="38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3385</v>
      </c>
      <c r="B954" s="40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8" t="b" cm="1">
        <f t="array" ref="AE954">IFERROR(_xlfn.BYROW(TRACK_TYPES[[#This Row],[TRACK_TYPE_STANDARD_GAUGE_RAILTYPE_OHLE]:[TRACK_TYPE_STANDARD_GAUGE_RAILTYPE_NONE]],_xlfn.LAMBDA(_xlpm.r,OR(_xlpm.r))),FALSE)</f>
        <v>1</v>
      </c>
      <c r="AF954" s="38" t="b" cm="1">
        <f t="array" ref="AF954">IFERROR(_xlfn.BYROW(TRACK_TYPES[[#This Row],[TRACK_TYPE_NARROW_GAUGE_RAILTYPE_OHLE]:[TRACK_TYPE_NARROW_GAUGE_RAILTYPE_NONE]],_xlfn.LAMBDA(_xlpm.r,OR(_xlpm.r))),FALSE)</f>
        <v>0</v>
      </c>
      <c r="AG954" s="38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3386</v>
      </c>
      <c r="B955" s="40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8" t="b" cm="1">
        <f t="array" ref="AE955">IFERROR(_xlfn.BYROW(TRACK_TYPES[[#This Row],[TRACK_TYPE_STANDARD_GAUGE_RAILTYPE_OHLE]:[TRACK_TYPE_STANDARD_GAUGE_RAILTYPE_NONE]],_xlfn.LAMBDA(_xlpm.r,OR(_xlpm.r))),FALSE)</f>
        <v>1</v>
      </c>
      <c r="AF955" s="38" t="b" cm="1">
        <f t="array" ref="AF955">IFERROR(_xlfn.BYROW(TRACK_TYPES[[#This Row],[TRACK_TYPE_NARROW_GAUGE_RAILTYPE_OHLE]:[TRACK_TYPE_NARROW_GAUGE_RAILTYPE_NONE]],_xlfn.LAMBDA(_xlpm.r,OR(_xlpm.r))),FALSE)</f>
        <v>0</v>
      </c>
      <c r="AG955" s="38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3387</v>
      </c>
      <c r="B956" s="40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8" t="b" cm="1">
        <f t="array" ref="AE956">IFERROR(_xlfn.BYROW(TRACK_TYPES[[#This Row],[TRACK_TYPE_STANDARD_GAUGE_RAILTYPE_OHLE]:[TRACK_TYPE_STANDARD_GAUGE_RAILTYPE_NONE]],_xlfn.LAMBDA(_xlpm.r,OR(_xlpm.r))),FALSE)</f>
        <v>1</v>
      </c>
      <c r="AF956" s="38" t="b" cm="1">
        <f t="array" ref="AF956">IFERROR(_xlfn.BYROW(TRACK_TYPES[[#This Row],[TRACK_TYPE_NARROW_GAUGE_RAILTYPE_OHLE]:[TRACK_TYPE_NARROW_GAUGE_RAILTYPE_NONE]],_xlfn.LAMBDA(_xlpm.r,OR(_xlpm.r))),FALSE)</f>
        <v>0</v>
      </c>
      <c r="AG956" s="38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3477</v>
      </c>
      <c r="B957" s="40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8" t="b" cm="1">
        <f t="array" ref="AE957">IFERROR(_xlfn.BYROW(TRACK_TYPES[[#This Row],[TRACK_TYPE_STANDARD_GAUGE_RAILTYPE_OHLE]:[TRACK_TYPE_STANDARD_GAUGE_RAILTYPE_NONE]],_xlfn.LAMBDA(_xlpm.r,OR(_xlpm.r))),FALSE)</f>
        <v>1</v>
      </c>
      <c r="AF957" s="38" t="b" cm="1">
        <f t="array" ref="AF957">IFERROR(_xlfn.BYROW(TRACK_TYPES[[#This Row],[TRACK_TYPE_NARROW_GAUGE_RAILTYPE_OHLE]:[TRACK_TYPE_NARROW_GAUGE_RAILTYPE_NONE]],_xlfn.LAMBDA(_xlpm.r,OR(_xlpm.r))),FALSE)</f>
        <v>0</v>
      </c>
      <c r="AG957" s="38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3388</v>
      </c>
      <c r="B958" s="40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8" t="b" cm="1">
        <f t="array" ref="AE958">IFERROR(_xlfn.BYROW(TRACK_TYPES[[#This Row],[TRACK_TYPE_STANDARD_GAUGE_RAILTYPE_OHLE]:[TRACK_TYPE_STANDARD_GAUGE_RAILTYPE_NONE]],_xlfn.LAMBDA(_xlpm.r,OR(_xlpm.r))),FALSE)</f>
        <v>1</v>
      </c>
      <c r="AF958" s="38" t="b" cm="1">
        <f t="array" ref="AF958">IFERROR(_xlfn.BYROW(TRACK_TYPES[[#This Row],[TRACK_TYPE_NARROW_GAUGE_RAILTYPE_OHLE]:[TRACK_TYPE_NARROW_GAUGE_RAILTYPE_NONE]],_xlfn.LAMBDA(_xlpm.r,OR(_xlpm.r))),FALSE)</f>
        <v>0</v>
      </c>
      <c r="AG958" s="38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3389</v>
      </c>
      <c r="B959" s="40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8" t="b" cm="1">
        <f t="array" ref="AE959">IFERROR(_xlfn.BYROW(TRACK_TYPES[[#This Row],[TRACK_TYPE_STANDARD_GAUGE_RAILTYPE_OHLE]:[TRACK_TYPE_STANDARD_GAUGE_RAILTYPE_NONE]],_xlfn.LAMBDA(_xlpm.r,OR(_xlpm.r))),FALSE)</f>
        <v>1</v>
      </c>
      <c r="AF959" s="38" t="b" cm="1">
        <f t="array" ref="AF959">IFERROR(_xlfn.BYROW(TRACK_TYPES[[#This Row],[TRACK_TYPE_NARROW_GAUGE_RAILTYPE_OHLE]:[TRACK_TYPE_NARROW_GAUGE_RAILTYPE_NONE]],_xlfn.LAMBDA(_xlpm.r,OR(_xlpm.r))),FALSE)</f>
        <v>0</v>
      </c>
      <c r="AG959" s="38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3390</v>
      </c>
      <c r="B960" s="40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8" t="b" cm="1">
        <f t="array" ref="AE960">IFERROR(_xlfn.BYROW(TRACK_TYPES[[#This Row],[TRACK_TYPE_STANDARD_GAUGE_RAILTYPE_OHLE]:[TRACK_TYPE_STANDARD_GAUGE_RAILTYPE_NONE]],_xlfn.LAMBDA(_xlpm.r,OR(_xlpm.r))),FALSE)</f>
        <v>1</v>
      </c>
      <c r="AF960" s="38" t="b" cm="1">
        <f t="array" ref="AF960">IFERROR(_xlfn.BYROW(TRACK_TYPES[[#This Row],[TRACK_TYPE_NARROW_GAUGE_RAILTYPE_OHLE]:[TRACK_TYPE_NARROW_GAUGE_RAILTYPE_NONE]],_xlfn.LAMBDA(_xlpm.r,OR(_xlpm.r))),FALSE)</f>
        <v>0</v>
      </c>
      <c r="AG960" s="38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3391</v>
      </c>
      <c r="B961" s="40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8" t="b" cm="1">
        <f t="array" ref="AE961">IFERROR(_xlfn.BYROW(TRACK_TYPES[[#This Row],[TRACK_TYPE_STANDARD_GAUGE_RAILTYPE_OHLE]:[TRACK_TYPE_STANDARD_GAUGE_RAILTYPE_NONE]],_xlfn.LAMBDA(_xlpm.r,OR(_xlpm.r))),FALSE)</f>
        <v>0</v>
      </c>
      <c r="AF961" s="38" t="b" cm="1">
        <f t="array" ref="AF961">IFERROR(_xlfn.BYROW(TRACK_TYPES[[#This Row],[TRACK_TYPE_NARROW_GAUGE_RAILTYPE_OHLE]:[TRACK_TYPE_NARROW_GAUGE_RAILTYPE_NONE]],_xlfn.LAMBDA(_xlpm.r,OR(_xlpm.r))),FALSE)</f>
        <v>0</v>
      </c>
      <c r="AG961" s="38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3392</v>
      </c>
      <c r="B962" s="40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8" t="b" cm="1">
        <f t="array" ref="AE962">IFERROR(_xlfn.BYROW(TRACK_TYPES[[#This Row],[TRACK_TYPE_STANDARD_GAUGE_RAILTYPE_OHLE]:[TRACK_TYPE_STANDARD_GAUGE_RAILTYPE_NONE]],_xlfn.LAMBDA(_xlpm.r,OR(_xlpm.r))),FALSE)</f>
        <v>0</v>
      </c>
      <c r="AF962" s="38" t="b" cm="1">
        <f t="array" ref="AF962">IFERROR(_xlfn.BYROW(TRACK_TYPES[[#This Row],[TRACK_TYPE_NARROW_GAUGE_RAILTYPE_OHLE]:[TRACK_TYPE_NARROW_GAUGE_RAILTYPE_NONE]],_xlfn.LAMBDA(_xlpm.r,OR(_xlpm.r))),FALSE)</f>
        <v>0</v>
      </c>
      <c r="AG962" s="38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1915</v>
      </c>
      <c r="B963" s="40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8" t="b" cm="1">
        <f t="array" ref="AE963">IFERROR(_xlfn.BYROW(TRACK_TYPES[[#This Row],[TRACK_TYPE_STANDARD_GAUGE_RAILTYPE_OHLE]:[TRACK_TYPE_STANDARD_GAUGE_RAILTYPE_NONE]],_xlfn.LAMBDA(_xlpm.r,OR(_xlpm.r))),FALSE)</f>
        <v>0</v>
      </c>
      <c r="AF963" s="38" t="b" cm="1">
        <f t="array" ref="AF963">IFERROR(_xlfn.BYROW(TRACK_TYPES[[#This Row],[TRACK_TYPE_NARROW_GAUGE_RAILTYPE_OHLE]:[TRACK_TYPE_NARROW_GAUGE_RAILTYPE_NONE]],_xlfn.LAMBDA(_xlpm.r,OR(_xlpm.r))),FALSE)</f>
        <v>0</v>
      </c>
      <c r="AG963" s="38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1916</v>
      </c>
      <c r="B964" s="40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8" t="b" cm="1">
        <f t="array" ref="AE964">IFERROR(_xlfn.BYROW(TRACK_TYPES[[#This Row],[TRACK_TYPE_STANDARD_GAUGE_RAILTYPE_OHLE]:[TRACK_TYPE_STANDARD_GAUGE_RAILTYPE_NONE]],_xlfn.LAMBDA(_xlpm.r,OR(_xlpm.r))),FALSE)</f>
        <v>0</v>
      </c>
      <c r="AF964" s="38" t="b" cm="1">
        <f t="array" ref="AF964">IFERROR(_xlfn.BYROW(TRACK_TYPES[[#This Row],[TRACK_TYPE_NARROW_GAUGE_RAILTYPE_OHLE]:[TRACK_TYPE_NARROW_GAUGE_RAILTYPE_NONE]],_xlfn.LAMBDA(_xlpm.r,OR(_xlpm.r))),FALSE)</f>
        <v>0</v>
      </c>
      <c r="AG964" s="38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3393</v>
      </c>
      <c r="B965" s="40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8" t="b" cm="1">
        <f t="array" ref="AE965">IFERROR(_xlfn.BYROW(TRACK_TYPES[[#This Row],[TRACK_TYPE_STANDARD_GAUGE_RAILTYPE_OHLE]:[TRACK_TYPE_STANDARD_GAUGE_RAILTYPE_NONE]],_xlfn.LAMBDA(_xlpm.r,OR(_xlpm.r))),FALSE)</f>
        <v>1</v>
      </c>
      <c r="AF965" s="38" t="b" cm="1">
        <f t="array" ref="AF965">IFERROR(_xlfn.BYROW(TRACK_TYPES[[#This Row],[TRACK_TYPE_NARROW_GAUGE_RAILTYPE_OHLE]:[TRACK_TYPE_NARROW_GAUGE_RAILTYPE_NONE]],_xlfn.LAMBDA(_xlpm.r,OR(_xlpm.r))),FALSE)</f>
        <v>0</v>
      </c>
      <c r="AG965" s="38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3394</v>
      </c>
      <c r="B966" s="40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8" t="b" cm="1">
        <f t="array" ref="AE966">IFERROR(_xlfn.BYROW(TRACK_TYPES[[#This Row],[TRACK_TYPE_STANDARD_GAUGE_RAILTYPE_OHLE]:[TRACK_TYPE_STANDARD_GAUGE_RAILTYPE_NONE]],_xlfn.LAMBDA(_xlpm.r,OR(_xlpm.r))),FALSE)</f>
        <v>1</v>
      </c>
      <c r="AF966" s="38" t="b" cm="1">
        <f t="array" ref="AF966">IFERROR(_xlfn.BYROW(TRACK_TYPES[[#This Row],[TRACK_TYPE_NARROW_GAUGE_RAILTYPE_OHLE]:[TRACK_TYPE_NARROW_GAUGE_RAILTYPE_NONE]],_xlfn.LAMBDA(_xlpm.r,OR(_xlpm.r))),FALSE)</f>
        <v>0</v>
      </c>
      <c r="AG966" s="38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3395</v>
      </c>
      <c r="B967" s="40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8" t="b" cm="1">
        <f t="array" ref="AE967">IFERROR(_xlfn.BYROW(TRACK_TYPES[[#This Row],[TRACK_TYPE_STANDARD_GAUGE_RAILTYPE_OHLE]:[TRACK_TYPE_STANDARD_GAUGE_RAILTYPE_NONE]],_xlfn.LAMBDA(_xlpm.r,OR(_xlpm.r))),FALSE)</f>
        <v>1</v>
      </c>
      <c r="AF967" s="38" t="b" cm="1">
        <f t="array" ref="AF967">IFERROR(_xlfn.BYROW(TRACK_TYPES[[#This Row],[TRACK_TYPE_NARROW_GAUGE_RAILTYPE_OHLE]:[TRACK_TYPE_NARROW_GAUGE_RAILTYPE_NONE]],_xlfn.LAMBDA(_xlpm.r,OR(_xlpm.r))),FALSE)</f>
        <v>0</v>
      </c>
      <c r="AG967" s="38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3396</v>
      </c>
      <c r="B968" s="40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8" t="b" cm="1">
        <f t="array" ref="AE968">IFERROR(_xlfn.BYROW(TRACK_TYPES[[#This Row],[TRACK_TYPE_STANDARD_GAUGE_RAILTYPE_OHLE]:[TRACK_TYPE_STANDARD_GAUGE_RAILTYPE_NONE]],_xlfn.LAMBDA(_xlpm.r,OR(_xlpm.r))),FALSE)</f>
        <v>1</v>
      </c>
      <c r="AF968" s="38" t="b" cm="1">
        <f t="array" ref="AF968">IFERROR(_xlfn.BYROW(TRACK_TYPES[[#This Row],[TRACK_TYPE_NARROW_GAUGE_RAILTYPE_OHLE]:[TRACK_TYPE_NARROW_GAUGE_RAILTYPE_NONE]],_xlfn.LAMBDA(_xlpm.r,OR(_xlpm.r))),FALSE)</f>
        <v>0</v>
      </c>
      <c r="AG968" s="38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3397</v>
      </c>
      <c r="B969" s="40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8" t="b" cm="1">
        <f t="array" ref="AE969">IFERROR(_xlfn.BYROW(TRACK_TYPES[[#This Row],[TRACK_TYPE_STANDARD_GAUGE_RAILTYPE_OHLE]:[TRACK_TYPE_STANDARD_GAUGE_RAILTYPE_NONE]],_xlfn.LAMBDA(_xlpm.r,OR(_xlpm.r))),FALSE)</f>
        <v>1</v>
      </c>
      <c r="AF969" s="38" t="b" cm="1">
        <f t="array" ref="AF969">IFERROR(_xlfn.BYROW(TRACK_TYPES[[#This Row],[TRACK_TYPE_NARROW_GAUGE_RAILTYPE_OHLE]:[TRACK_TYPE_NARROW_GAUGE_RAILTYPE_NONE]],_xlfn.LAMBDA(_xlpm.r,OR(_xlpm.r))),FALSE)</f>
        <v>0</v>
      </c>
      <c r="AG969" s="38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3398</v>
      </c>
      <c r="B970" s="40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8" t="b" cm="1">
        <f t="array" ref="AE970">IFERROR(_xlfn.BYROW(TRACK_TYPES[[#This Row],[TRACK_TYPE_STANDARD_GAUGE_RAILTYPE_OHLE]:[TRACK_TYPE_STANDARD_GAUGE_RAILTYPE_NONE]],_xlfn.LAMBDA(_xlpm.r,OR(_xlpm.r))),FALSE)</f>
        <v>1</v>
      </c>
      <c r="AF970" s="38" t="b" cm="1">
        <f t="array" ref="AF970">IFERROR(_xlfn.BYROW(TRACK_TYPES[[#This Row],[TRACK_TYPE_NARROW_GAUGE_RAILTYPE_OHLE]:[TRACK_TYPE_NARROW_GAUGE_RAILTYPE_NONE]],_xlfn.LAMBDA(_xlpm.r,OR(_xlpm.r))),FALSE)</f>
        <v>0</v>
      </c>
      <c r="AG970" s="38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3399</v>
      </c>
      <c r="B971" s="40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8" t="b" cm="1">
        <f t="array" ref="AE971">IFERROR(_xlfn.BYROW(TRACK_TYPES[[#This Row],[TRACK_TYPE_STANDARD_GAUGE_RAILTYPE_OHLE]:[TRACK_TYPE_STANDARD_GAUGE_RAILTYPE_NONE]],_xlfn.LAMBDA(_xlpm.r,OR(_xlpm.r))),FALSE)</f>
        <v>0</v>
      </c>
      <c r="AF971" s="38" t="b" cm="1">
        <f t="array" ref="AF971">IFERROR(_xlfn.BYROW(TRACK_TYPES[[#This Row],[TRACK_TYPE_NARROW_GAUGE_RAILTYPE_OHLE]:[TRACK_TYPE_NARROW_GAUGE_RAILTYPE_NONE]],_xlfn.LAMBDA(_xlpm.r,OR(_xlpm.r))),FALSE)</f>
        <v>0</v>
      </c>
      <c r="AG971" s="38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3400</v>
      </c>
      <c r="B972" s="40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8" t="b" cm="1">
        <f t="array" ref="AE972">IFERROR(_xlfn.BYROW(TRACK_TYPES[[#This Row],[TRACK_TYPE_STANDARD_GAUGE_RAILTYPE_OHLE]:[TRACK_TYPE_STANDARD_GAUGE_RAILTYPE_NONE]],_xlfn.LAMBDA(_xlpm.r,OR(_xlpm.r))),FALSE)</f>
        <v>0</v>
      </c>
      <c r="AF972" s="38" t="b" cm="1">
        <f t="array" ref="AF972">IFERROR(_xlfn.BYROW(TRACK_TYPES[[#This Row],[TRACK_TYPE_NARROW_GAUGE_RAILTYPE_OHLE]:[TRACK_TYPE_NARROW_GAUGE_RAILTYPE_NONE]],_xlfn.LAMBDA(_xlpm.r,OR(_xlpm.r))),FALSE)</f>
        <v>0</v>
      </c>
      <c r="AG972" s="38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3401</v>
      </c>
      <c r="B973" s="40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8" t="b" cm="1">
        <f t="array" ref="AE973">IFERROR(_xlfn.BYROW(TRACK_TYPES[[#This Row],[TRACK_TYPE_STANDARD_GAUGE_RAILTYPE_OHLE]:[TRACK_TYPE_STANDARD_GAUGE_RAILTYPE_NONE]],_xlfn.LAMBDA(_xlpm.r,OR(_xlpm.r))),FALSE)</f>
        <v>0</v>
      </c>
      <c r="AF973" s="38" t="b" cm="1">
        <f t="array" ref="AF973">IFERROR(_xlfn.BYROW(TRACK_TYPES[[#This Row],[TRACK_TYPE_NARROW_GAUGE_RAILTYPE_OHLE]:[TRACK_TYPE_NARROW_GAUGE_RAILTYPE_NONE]],_xlfn.LAMBDA(_xlpm.r,OR(_xlpm.r))),FALSE)</f>
        <v>0</v>
      </c>
      <c r="AG973" s="38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3402</v>
      </c>
      <c r="B974" s="40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8" t="b" cm="1">
        <f t="array" ref="AE974">IFERROR(_xlfn.BYROW(TRACK_TYPES[[#This Row],[TRACK_TYPE_STANDARD_GAUGE_RAILTYPE_OHLE]:[TRACK_TYPE_STANDARD_GAUGE_RAILTYPE_NONE]],_xlfn.LAMBDA(_xlpm.r,OR(_xlpm.r))),FALSE)</f>
        <v>0</v>
      </c>
      <c r="AF974" s="38" t="b" cm="1">
        <f t="array" ref="AF974">IFERROR(_xlfn.BYROW(TRACK_TYPES[[#This Row],[TRACK_TYPE_NARROW_GAUGE_RAILTYPE_OHLE]:[TRACK_TYPE_NARROW_GAUGE_RAILTYPE_NONE]],_xlfn.LAMBDA(_xlpm.r,OR(_xlpm.r))),FALSE)</f>
        <v>0</v>
      </c>
      <c r="AG974" s="38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3403</v>
      </c>
      <c r="B975" s="40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8" t="b" cm="1">
        <f t="array" ref="AE975">IFERROR(_xlfn.BYROW(TRACK_TYPES[[#This Row],[TRACK_TYPE_STANDARD_GAUGE_RAILTYPE_OHLE]:[TRACK_TYPE_STANDARD_GAUGE_RAILTYPE_NONE]],_xlfn.LAMBDA(_xlpm.r,OR(_xlpm.r))),FALSE)</f>
        <v>1</v>
      </c>
      <c r="AF975" s="38" t="b" cm="1">
        <f t="array" ref="AF975">IFERROR(_xlfn.BYROW(TRACK_TYPES[[#This Row],[TRACK_TYPE_NARROW_GAUGE_RAILTYPE_OHLE]:[TRACK_TYPE_NARROW_GAUGE_RAILTYPE_NONE]],_xlfn.LAMBDA(_xlpm.r,OR(_xlpm.r))),FALSE)</f>
        <v>0</v>
      </c>
      <c r="AG975" s="38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3404</v>
      </c>
      <c r="B976" s="40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8" t="b" cm="1">
        <f t="array" ref="AE976">IFERROR(_xlfn.BYROW(TRACK_TYPES[[#This Row],[TRACK_TYPE_STANDARD_GAUGE_RAILTYPE_OHLE]:[TRACK_TYPE_STANDARD_GAUGE_RAILTYPE_NONE]],_xlfn.LAMBDA(_xlpm.r,OR(_xlpm.r))),FALSE)</f>
        <v>1</v>
      </c>
      <c r="AF976" s="38" t="b" cm="1">
        <f t="array" ref="AF976">IFERROR(_xlfn.BYROW(TRACK_TYPES[[#This Row],[TRACK_TYPE_NARROW_GAUGE_RAILTYPE_OHLE]:[TRACK_TYPE_NARROW_GAUGE_RAILTYPE_NONE]],_xlfn.LAMBDA(_xlpm.r,OR(_xlpm.r))),FALSE)</f>
        <v>0</v>
      </c>
      <c r="AG976" s="38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3405</v>
      </c>
      <c r="B977" s="40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8" t="b" cm="1">
        <f t="array" ref="AE977">IFERROR(_xlfn.BYROW(TRACK_TYPES[[#This Row],[TRACK_TYPE_STANDARD_GAUGE_RAILTYPE_OHLE]:[TRACK_TYPE_STANDARD_GAUGE_RAILTYPE_NONE]],_xlfn.LAMBDA(_xlpm.r,OR(_xlpm.r))),FALSE)</f>
        <v>1</v>
      </c>
      <c r="AF977" s="38" t="b" cm="1">
        <f t="array" ref="AF977">IFERROR(_xlfn.BYROW(TRACK_TYPES[[#This Row],[TRACK_TYPE_NARROW_GAUGE_RAILTYPE_OHLE]:[TRACK_TYPE_NARROW_GAUGE_RAILTYPE_NONE]],_xlfn.LAMBDA(_xlpm.r,OR(_xlpm.r))),FALSE)</f>
        <v>0</v>
      </c>
      <c r="AG977" s="38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3406</v>
      </c>
      <c r="B978" s="40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8" t="b" cm="1">
        <f t="array" ref="AE978">IFERROR(_xlfn.BYROW(TRACK_TYPES[[#This Row],[TRACK_TYPE_STANDARD_GAUGE_RAILTYPE_OHLE]:[TRACK_TYPE_STANDARD_GAUGE_RAILTYPE_NONE]],_xlfn.LAMBDA(_xlpm.r,OR(_xlpm.r))),FALSE)</f>
        <v>1</v>
      </c>
      <c r="AF978" s="38" t="b" cm="1">
        <f t="array" ref="AF978">IFERROR(_xlfn.BYROW(TRACK_TYPES[[#This Row],[TRACK_TYPE_NARROW_GAUGE_RAILTYPE_OHLE]:[TRACK_TYPE_NARROW_GAUGE_RAILTYPE_NONE]],_xlfn.LAMBDA(_xlpm.r,OR(_xlpm.r))),FALSE)</f>
        <v>0</v>
      </c>
      <c r="AG978" s="38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3407</v>
      </c>
      <c r="B979" s="40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8" t="b" cm="1">
        <f t="array" ref="AE979">IFERROR(_xlfn.BYROW(TRACK_TYPES[[#This Row],[TRACK_TYPE_STANDARD_GAUGE_RAILTYPE_OHLE]:[TRACK_TYPE_STANDARD_GAUGE_RAILTYPE_NONE]],_xlfn.LAMBDA(_xlpm.r,OR(_xlpm.r))),FALSE)</f>
        <v>1</v>
      </c>
      <c r="AF979" s="38" t="b" cm="1">
        <f t="array" ref="AF979">IFERROR(_xlfn.BYROW(TRACK_TYPES[[#This Row],[TRACK_TYPE_NARROW_GAUGE_RAILTYPE_OHLE]:[TRACK_TYPE_NARROW_GAUGE_RAILTYPE_NONE]],_xlfn.LAMBDA(_xlpm.r,OR(_xlpm.r))),FALSE)</f>
        <v>0</v>
      </c>
      <c r="AG979" s="38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3408</v>
      </c>
      <c r="B980" s="40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8" t="b" cm="1">
        <f t="array" ref="AE980">IFERROR(_xlfn.BYROW(TRACK_TYPES[[#This Row],[TRACK_TYPE_STANDARD_GAUGE_RAILTYPE_OHLE]:[TRACK_TYPE_STANDARD_GAUGE_RAILTYPE_NONE]],_xlfn.LAMBDA(_xlpm.r,OR(_xlpm.r))),FALSE)</f>
        <v>1</v>
      </c>
      <c r="AF980" s="38" t="b" cm="1">
        <f t="array" ref="AF980">IFERROR(_xlfn.BYROW(TRACK_TYPES[[#This Row],[TRACK_TYPE_NARROW_GAUGE_RAILTYPE_OHLE]:[TRACK_TYPE_NARROW_GAUGE_RAILTYPE_NONE]],_xlfn.LAMBDA(_xlpm.r,OR(_xlpm.r))),FALSE)</f>
        <v>0</v>
      </c>
      <c r="AG980" s="38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3409</v>
      </c>
      <c r="B981" s="40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8" t="b" cm="1">
        <f t="array" ref="AE981">IFERROR(_xlfn.BYROW(TRACK_TYPES[[#This Row],[TRACK_TYPE_STANDARD_GAUGE_RAILTYPE_OHLE]:[TRACK_TYPE_STANDARD_GAUGE_RAILTYPE_NONE]],_xlfn.LAMBDA(_xlpm.r,OR(_xlpm.r))),FALSE)</f>
        <v>1</v>
      </c>
      <c r="AF981" s="38" t="b" cm="1">
        <f t="array" ref="AF981">IFERROR(_xlfn.BYROW(TRACK_TYPES[[#This Row],[TRACK_TYPE_NARROW_GAUGE_RAILTYPE_OHLE]:[TRACK_TYPE_NARROW_GAUGE_RAILTYPE_NONE]],_xlfn.LAMBDA(_xlpm.r,OR(_xlpm.r))),FALSE)</f>
        <v>0</v>
      </c>
      <c r="AG981" s="38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3410</v>
      </c>
      <c r="B982" s="40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8" t="b" cm="1">
        <f t="array" ref="AE982">IFERROR(_xlfn.BYROW(TRACK_TYPES[[#This Row],[TRACK_TYPE_STANDARD_GAUGE_RAILTYPE_OHLE]:[TRACK_TYPE_STANDARD_GAUGE_RAILTYPE_NONE]],_xlfn.LAMBDA(_xlpm.r,OR(_xlpm.r))),FALSE)</f>
        <v>1</v>
      </c>
      <c r="AF982" s="38" t="b" cm="1">
        <f t="array" ref="AF982">IFERROR(_xlfn.BYROW(TRACK_TYPES[[#This Row],[TRACK_TYPE_NARROW_GAUGE_RAILTYPE_OHLE]:[TRACK_TYPE_NARROW_GAUGE_RAILTYPE_NONE]],_xlfn.LAMBDA(_xlpm.r,OR(_xlpm.r))),FALSE)</f>
        <v>0</v>
      </c>
      <c r="AG982" s="38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3411</v>
      </c>
      <c r="B983" s="40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8" t="b" cm="1">
        <f t="array" ref="AE983">IFERROR(_xlfn.BYROW(TRACK_TYPES[[#This Row],[TRACK_TYPE_STANDARD_GAUGE_RAILTYPE_OHLE]:[TRACK_TYPE_STANDARD_GAUGE_RAILTYPE_NONE]],_xlfn.LAMBDA(_xlpm.r,OR(_xlpm.r))),FALSE)</f>
        <v>0</v>
      </c>
      <c r="AF983" s="38" t="b" cm="1">
        <f t="array" ref="AF983">IFERROR(_xlfn.BYROW(TRACK_TYPES[[#This Row],[TRACK_TYPE_NARROW_GAUGE_RAILTYPE_OHLE]:[TRACK_TYPE_NARROW_GAUGE_RAILTYPE_NONE]],_xlfn.LAMBDA(_xlpm.r,OR(_xlpm.r))),FALSE)</f>
        <v>0</v>
      </c>
      <c r="AG983" s="38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3412</v>
      </c>
      <c r="B984" s="40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8" t="b" cm="1">
        <f t="array" ref="AE984">IFERROR(_xlfn.BYROW(TRACK_TYPES[[#This Row],[TRACK_TYPE_STANDARD_GAUGE_RAILTYPE_OHLE]:[TRACK_TYPE_STANDARD_GAUGE_RAILTYPE_NONE]],_xlfn.LAMBDA(_xlpm.r,OR(_xlpm.r))),FALSE)</f>
        <v>1</v>
      </c>
      <c r="AF984" s="38" t="b" cm="1">
        <f t="array" ref="AF984">IFERROR(_xlfn.BYROW(TRACK_TYPES[[#This Row],[TRACK_TYPE_NARROW_GAUGE_RAILTYPE_OHLE]:[TRACK_TYPE_NARROW_GAUGE_RAILTYPE_NONE]],_xlfn.LAMBDA(_xlpm.r,OR(_xlpm.r))),FALSE)</f>
        <v>0</v>
      </c>
      <c r="AG984" s="38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3413</v>
      </c>
      <c r="B985" s="40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8" t="b" cm="1">
        <f t="array" ref="AE985">IFERROR(_xlfn.BYROW(TRACK_TYPES[[#This Row],[TRACK_TYPE_STANDARD_GAUGE_RAILTYPE_OHLE]:[TRACK_TYPE_STANDARD_GAUGE_RAILTYPE_NONE]],_xlfn.LAMBDA(_xlpm.r,OR(_xlpm.r))),FALSE)</f>
        <v>1</v>
      </c>
      <c r="AF985" s="38" t="b" cm="1">
        <f t="array" ref="AF985">IFERROR(_xlfn.BYROW(TRACK_TYPES[[#This Row],[TRACK_TYPE_NARROW_GAUGE_RAILTYPE_OHLE]:[TRACK_TYPE_NARROW_GAUGE_RAILTYPE_NONE]],_xlfn.LAMBDA(_xlpm.r,OR(_xlpm.r))),FALSE)</f>
        <v>0</v>
      </c>
      <c r="AG985" s="38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3414</v>
      </c>
      <c r="B986" s="40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8" t="b" cm="1">
        <f t="array" ref="AE986">IFERROR(_xlfn.BYROW(TRACK_TYPES[[#This Row],[TRACK_TYPE_STANDARD_GAUGE_RAILTYPE_OHLE]:[TRACK_TYPE_STANDARD_GAUGE_RAILTYPE_NONE]],_xlfn.LAMBDA(_xlpm.r,OR(_xlpm.r))),FALSE)</f>
        <v>1</v>
      </c>
      <c r="AF986" s="38" t="b" cm="1">
        <f t="array" ref="AF986">IFERROR(_xlfn.BYROW(TRACK_TYPES[[#This Row],[TRACK_TYPE_NARROW_GAUGE_RAILTYPE_OHLE]:[TRACK_TYPE_NARROW_GAUGE_RAILTYPE_NONE]],_xlfn.LAMBDA(_xlpm.r,OR(_xlpm.r))),FALSE)</f>
        <v>0</v>
      </c>
      <c r="AG986" s="38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3415</v>
      </c>
      <c r="B987" s="40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8" t="b" cm="1">
        <f t="array" ref="AE987">IFERROR(_xlfn.BYROW(TRACK_TYPES[[#This Row],[TRACK_TYPE_STANDARD_GAUGE_RAILTYPE_OHLE]:[TRACK_TYPE_STANDARD_GAUGE_RAILTYPE_NONE]],_xlfn.LAMBDA(_xlpm.r,OR(_xlpm.r))),FALSE)</f>
        <v>0</v>
      </c>
      <c r="AF987" s="38" t="b" cm="1">
        <f t="array" ref="AF987">IFERROR(_xlfn.BYROW(TRACK_TYPES[[#This Row],[TRACK_TYPE_NARROW_GAUGE_RAILTYPE_OHLE]:[TRACK_TYPE_NARROW_GAUGE_RAILTYPE_NONE]],_xlfn.LAMBDA(_xlpm.r,OR(_xlpm.r))),FALSE)</f>
        <v>0</v>
      </c>
      <c r="AG987" s="38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3416</v>
      </c>
      <c r="B988" s="40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8" t="b" cm="1">
        <f t="array" ref="AE988">IFERROR(_xlfn.BYROW(TRACK_TYPES[[#This Row],[TRACK_TYPE_STANDARD_GAUGE_RAILTYPE_OHLE]:[TRACK_TYPE_STANDARD_GAUGE_RAILTYPE_NONE]],_xlfn.LAMBDA(_xlpm.r,OR(_xlpm.r))),FALSE)</f>
        <v>1</v>
      </c>
      <c r="AF988" s="38" t="b" cm="1">
        <f t="array" ref="AF988">IFERROR(_xlfn.BYROW(TRACK_TYPES[[#This Row],[TRACK_TYPE_NARROW_GAUGE_RAILTYPE_OHLE]:[TRACK_TYPE_NARROW_GAUGE_RAILTYPE_NONE]],_xlfn.LAMBDA(_xlpm.r,OR(_xlpm.r))),FALSE)</f>
        <v>0</v>
      </c>
      <c r="AG988" s="38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3417</v>
      </c>
      <c r="B989" s="40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8" t="b" cm="1">
        <f t="array" ref="AE989">IFERROR(_xlfn.BYROW(TRACK_TYPES[[#This Row],[TRACK_TYPE_STANDARD_GAUGE_RAILTYPE_OHLE]:[TRACK_TYPE_STANDARD_GAUGE_RAILTYPE_NONE]],_xlfn.LAMBDA(_xlpm.r,OR(_xlpm.r))),FALSE)</f>
        <v>1</v>
      </c>
      <c r="AF989" s="38" t="b" cm="1">
        <f t="array" ref="AF989">IFERROR(_xlfn.BYROW(TRACK_TYPES[[#This Row],[TRACK_TYPE_NARROW_GAUGE_RAILTYPE_OHLE]:[TRACK_TYPE_NARROW_GAUGE_RAILTYPE_NONE]],_xlfn.LAMBDA(_xlpm.r,OR(_xlpm.r))),FALSE)</f>
        <v>0</v>
      </c>
      <c r="AG989" s="38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3418</v>
      </c>
      <c r="B990" s="40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8" t="b" cm="1">
        <f t="array" ref="AE990">IFERROR(_xlfn.BYROW(TRACK_TYPES[[#This Row],[TRACK_TYPE_STANDARD_GAUGE_RAILTYPE_OHLE]:[TRACK_TYPE_STANDARD_GAUGE_RAILTYPE_NONE]],_xlfn.LAMBDA(_xlpm.r,OR(_xlpm.r))),FALSE)</f>
        <v>1</v>
      </c>
      <c r="AF990" s="38" t="b" cm="1">
        <f t="array" ref="AF990">IFERROR(_xlfn.BYROW(TRACK_TYPES[[#This Row],[TRACK_TYPE_NARROW_GAUGE_RAILTYPE_OHLE]:[TRACK_TYPE_NARROW_GAUGE_RAILTYPE_NONE]],_xlfn.LAMBDA(_xlpm.r,OR(_xlpm.r))),FALSE)</f>
        <v>0</v>
      </c>
      <c r="AG990" s="38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3419</v>
      </c>
      <c r="B991" s="40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8" t="b" cm="1">
        <f t="array" ref="AE991">IFERROR(_xlfn.BYROW(TRACK_TYPES[[#This Row],[TRACK_TYPE_STANDARD_GAUGE_RAILTYPE_OHLE]:[TRACK_TYPE_STANDARD_GAUGE_RAILTYPE_NONE]],_xlfn.LAMBDA(_xlpm.r,OR(_xlpm.r))),FALSE)</f>
        <v>1</v>
      </c>
      <c r="AF991" s="38" t="b" cm="1">
        <f t="array" ref="AF991">IFERROR(_xlfn.BYROW(TRACK_TYPES[[#This Row],[TRACK_TYPE_NARROW_GAUGE_RAILTYPE_OHLE]:[TRACK_TYPE_NARROW_GAUGE_RAILTYPE_NONE]],_xlfn.LAMBDA(_xlpm.r,OR(_xlpm.r))),FALSE)</f>
        <v>0</v>
      </c>
      <c r="AG991" s="38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3420</v>
      </c>
      <c r="B992" s="40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8" t="b" cm="1">
        <f t="array" ref="AE992">IFERROR(_xlfn.BYROW(TRACK_TYPES[[#This Row],[TRACK_TYPE_STANDARD_GAUGE_RAILTYPE_OHLE]:[TRACK_TYPE_STANDARD_GAUGE_RAILTYPE_NONE]],_xlfn.LAMBDA(_xlpm.r,OR(_xlpm.r))),FALSE)</f>
        <v>1</v>
      </c>
      <c r="AF992" s="38" t="b" cm="1">
        <f t="array" ref="AF992">IFERROR(_xlfn.BYROW(TRACK_TYPES[[#This Row],[TRACK_TYPE_NARROW_GAUGE_RAILTYPE_OHLE]:[TRACK_TYPE_NARROW_GAUGE_RAILTYPE_NONE]],_xlfn.LAMBDA(_xlpm.r,OR(_xlpm.r))),FALSE)</f>
        <v>0</v>
      </c>
      <c r="AG992" s="38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3421</v>
      </c>
      <c r="B993" s="40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8" t="b" cm="1">
        <f t="array" ref="AE993">IFERROR(_xlfn.BYROW(TRACK_TYPES[[#This Row],[TRACK_TYPE_STANDARD_GAUGE_RAILTYPE_OHLE]:[TRACK_TYPE_STANDARD_GAUGE_RAILTYPE_NONE]],_xlfn.LAMBDA(_xlpm.r,OR(_xlpm.r))),FALSE)</f>
        <v>1</v>
      </c>
      <c r="AF993" s="38" t="b" cm="1">
        <f t="array" ref="AF993">IFERROR(_xlfn.BYROW(TRACK_TYPES[[#This Row],[TRACK_TYPE_NARROW_GAUGE_RAILTYPE_OHLE]:[TRACK_TYPE_NARROW_GAUGE_RAILTYPE_NONE]],_xlfn.LAMBDA(_xlpm.r,OR(_xlpm.r))),FALSE)</f>
        <v>0</v>
      </c>
      <c r="AG993" s="38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3422</v>
      </c>
      <c r="B994" s="40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8" t="b" cm="1">
        <f t="array" ref="AE994">IFERROR(_xlfn.BYROW(TRACK_TYPES[[#This Row],[TRACK_TYPE_STANDARD_GAUGE_RAILTYPE_OHLE]:[TRACK_TYPE_STANDARD_GAUGE_RAILTYPE_NONE]],_xlfn.LAMBDA(_xlpm.r,OR(_xlpm.r))),FALSE)</f>
        <v>1</v>
      </c>
      <c r="AF994" s="38" t="b" cm="1">
        <f t="array" ref="AF994">IFERROR(_xlfn.BYROW(TRACK_TYPES[[#This Row],[TRACK_TYPE_NARROW_GAUGE_RAILTYPE_OHLE]:[TRACK_TYPE_NARROW_GAUGE_RAILTYPE_NONE]],_xlfn.LAMBDA(_xlpm.r,OR(_xlpm.r))),FALSE)</f>
        <v>0</v>
      </c>
      <c r="AG994" s="38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3423</v>
      </c>
      <c r="B995" s="40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8" t="b" cm="1">
        <f t="array" ref="AE995">IFERROR(_xlfn.BYROW(TRACK_TYPES[[#This Row],[TRACK_TYPE_STANDARD_GAUGE_RAILTYPE_OHLE]:[TRACK_TYPE_STANDARD_GAUGE_RAILTYPE_NONE]],_xlfn.LAMBDA(_xlpm.r,OR(_xlpm.r))),FALSE)</f>
        <v>1</v>
      </c>
      <c r="AF995" s="38" t="b" cm="1">
        <f t="array" ref="AF995">IFERROR(_xlfn.BYROW(TRACK_TYPES[[#This Row],[TRACK_TYPE_NARROW_GAUGE_RAILTYPE_OHLE]:[TRACK_TYPE_NARROW_GAUGE_RAILTYPE_NONE]],_xlfn.LAMBDA(_xlpm.r,OR(_xlpm.r))),FALSE)</f>
        <v>0</v>
      </c>
      <c r="AG995" s="38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3424</v>
      </c>
      <c r="B996" s="40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8" t="b" cm="1">
        <f t="array" ref="AE996">IFERROR(_xlfn.BYROW(TRACK_TYPES[[#This Row],[TRACK_TYPE_STANDARD_GAUGE_RAILTYPE_OHLE]:[TRACK_TYPE_STANDARD_GAUGE_RAILTYPE_NONE]],_xlfn.LAMBDA(_xlpm.r,OR(_xlpm.r))),FALSE)</f>
        <v>1</v>
      </c>
      <c r="AF996" s="38" t="b" cm="1">
        <f t="array" ref="AF996">IFERROR(_xlfn.BYROW(TRACK_TYPES[[#This Row],[TRACK_TYPE_NARROW_GAUGE_RAILTYPE_OHLE]:[TRACK_TYPE_NARROW_GAUGE_RAILTYPE_NONE]],_xlfn.LAMBDA(_xlpm.r,OR(_xlpm.r))),FALSE)</f>
        <v>0</v>
      </c>
      <c r="AG996" s="38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3425</v>
      </c>
      <c r="B997" s="40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8" t="b" cm="1">
        <f t="array" ref="AE997">IFERROR(_xlfn.BYROW(TRACK_TYPES[[#This Row],[TRACK_TYPE_STANDARD_GAUGE_RAILTYPE_OHLE]:[TRACK_TYPE_STANDARD_GAUGE_RAILTYPE_NONE]],_xlfn.LAMBDA(_xlpm.r,OR(_xlpm.r))),FALSE)</f>
        <v>1</v>
      </c>
      <c r="AF997" s="38" t="b" cm="1">
        <f t="array" ref="AF997">IFERROR(_xlfn.BYROW(TRACK_TYPES[[#This Row],[TRACK_TYPE_NARROW_GAUGE_RAILTYPE_OHLE]:[TRACK_TYPE_NARROW_GAUGE_RAILTYPE_NONE]],_xlfn.LAMBDA(_xlpm.r,OR(_xlpm.r))),FALSE)</f>
        <v>0</v>
      </c>
      <c r="AG997" s="38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3426</v>
      </c>
      <c r="B998" s="40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8" t="b" cm="1">
        <f t="array" ref="AE998">IFERROR(_xlfn.BYROW(TRACK_TYPES[[#This Row],[TRACK_TYPE_STANDARD_GAUGE_RAILTYPE_OHLE]:[TRACK_TYPE_STANDARD_GAUGE_RAILTYPE_NONE]],_xlfn.LAMBDA(_xlpm.r,OR(_xlpm.r))),FALSE)</f>
        <v>1</v>
      </c>
      <c r="AF998" s="38" t="b" cm="1">
        <f t="array" ref="AF998">IFERROR(_xlfn.BYROW(TRACK_TYPES[[#This Row],[TRACK_TYPE_NARROW_GAUGE_RAILTYPE_OHLE]:[TRACK_TYPE_NARROW_GAUGE_RAILTYPE_NONE]],_xlfn.LAMBDA(_xlpm.r,OR(_xlpm.r))),FALSE)</f>
        <v>0</v>
      </c>
      <c r="AG998" s="38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3427</v>
      </c>
      <c r="B999" s="40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8" t="b" cm="1">
        <f t="array" ref="AE999">IFERROR(_xlfn.BYROW(TRACK_TYPES[[#This Row],[TRACK_TYPE_STANDARD_GAUGE_RAILTYPE_OHLE]:[TRACK_TYPE_STANDARD_GAUGE_RAILTYPE_NONE]],_xlfn.LAMBDA(_xlpm.r,OR(_xlpm.r))),FALSE)</f>
        <v>1</v>
      </c>
      <c r="AF999" s="38" t="b" cm="1">
        <f t="array" ref="AF999">IFERROR(_xlfn.BYROW(TRACK_TYPES[[#This Row],[TRACK_TYPE_NARROW_GAUGE_RAILTYPE_OHLE]:[TRACK_TYPE_NARROW_GAUGE_RAILTYPE_NONE]],_xlfn.LAMBDA(_xlpm.r,OR(_xlpm.r))),FALSE)</f>
        <v>0</v>
      </c>
      <c r="AG999" s="38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3428</v>
      </c>
      <c r="B1000" s="40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8" t="b" cm="1">
        <f t="array" ref="AE1000">IFERROR(_xlfn.BYROW(TRACK_TYPES[[#This Row],[TRACK_TYPE_STANDARD_GAUGE_RAILTYPE_OHLE]:[TRACK_TYPE_STANDARD_GAUGE_RAILTYPE_NONE]],_xlfn.LAMBDA(_xlpm.r,OR(_xlpm.r))),FALSE)</f>
        <v>1</v>
      </c>
      <c r="AF1000" s="38" t="b" cm="1">
        <f t="array" ref="AF1000">IFERROR(_xlfn.BYROW(TRACK_TYPES[[#This Row],[TRACK_TYPE_NARROW_GAUGE_RAILTYPE_OHLE]:[TRACK_TYPE_NARROW_GAUGE_RAILTYPE_NONE]],_xlfn.LAMBDA(_xlpm.r,OR(_xlpm.r))),FALSE)</f>
        <v>0</v>
      </c>
      <c r="AG1000" s="38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3429</v>
      </c>
      <c r="B1001" s="40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8" t="b" cm="1">
        <f t="array" ref="AE1001">IFERROR(_xlfn.BYROW(TRACK_TYPES[[#This Row],[TRACK_TYPE_STANDARD_GAUGE_RAILTYPE_OHLE]:[TRACK_TYPE_STANDARD_GAUGE_RAILTYPE_NONE]],_xlfn.LAMBDA(_xlpm.r,OR(_xlpm.r))),FALSE)</f>
        <v>1</v>
      </c>
      <c r="AF1001" s="38" t="b" cm="1">
        <f t="array" ref="AF1001">IFERROR(_xlfn.BYROW(TRACK_TYPES[[#This Row],[TRACK_TYPE_NARROW_GAUGE_RAILTYPE_OHLE]:[TRACK_TYPE_NARROW_GAUGE_RAILTYPE_NONE]],_xlfn.LAMBDA(_xlpm.r,OR(_xlpm.r))),FALSE)</f>
        <v>0</v>
      </c>
      <c r="AG1001" s="38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3430</v>
      </c>
      <c r="B1002" s="40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8" t="b" cm="1">
        <f t="array" ref="AE1002">IFERROR(_xlfn.BYROW(TRACK_TYPES[[#This Row],[TRACK_TYPE_STANDARD_GAUGE_RAILTYPE_OHLE]:[TRACK_TYPE_STANDARD_GAUGE_RAILTYPE_NONE]],_xlfn.LAMBDA(_xlpm.r,OR(_xlpm.r))),FALSE)</f>
        <v>1</v>
      </c>
      <c r="AF1002" s="38" t="b" cm="1">
        <f t="array" ref="AF1002">IFERROR(_xlfn.BYROW(TRACK_TYPES[[#This Row],[TRACK_TYPE_NARROW_GAUGE_RAILTYPE_OHLE]:[TRACK_TYPE_NARROW_GAUGE_RAILTYPE_NONE]],_xlfn.LAMBDA(_xlpm.r,OR(_xlpm.r))),FALSE)</f>
        <v>0</v>
      </c>
      <c r="AG1002" s="38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3431</v>
      </c>
      <c r="B1003" s="40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8" t="b" cm="1">
        <f t="array" ref="AE1003">IFERROR(_xlfn.BYROW(TRACK_TYPES[[#This Row],[TRACK_TYPE_STANDARD_GAUGE_RAILTYPE_OHLE]:[TRACK_TYPE_STANDARD_GAUGE_RAILTYPE_NONE]],_xlfn.LAMBDA(_xlpm.r,OR(_xlpm.r))),FALSE)</f>
        <v>0</v>
      </c>
      <c r="AF1003" s="38" t="b" cm="1">
        <f t="array" ref="AF1003">IFERROR(_xlfn.BYROW(TRACK_TYPES[[#This Row],[TRACK_TYPE_NARROW_GAUGE_RAILTYPE_OHLE]:[TRACK_TYPE_NARROW_GAUGE_RAILTYPE_NONE]],_xlfn.LAMBDA(_xlpm.r,OR(_xlpm.r))),FALSE)</f>
        <v>0</v>
      </c>
      <c r="AG1003" s="38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3432</v>
      </c>
      <c r="B1004" s="40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8" t="b" cm="1">
        <f t="array" ref="AE1004">IFERROR(_xlfn.BYROW(TRACK_TYPES[[#This Row],[TRACK_TYPE_STANDARD_GAUGE_RAILTYPE_OHLE]:[TRACK_TYPE_STANDARD_GAUGE_RAILTYPE_NONE]],_xlfn.LAMBDA(_xlpm.r,OR(_xlpm.r))),FALSE)</f>
        <v>0</v>
      </c>
      <c r="AF1004" s="38" t="b" cm="1">
        <f t="array" ref="AF1004">IFERROR(_xlfn.BYROW(TRACK_TYPES[[#This Row],[TRACK_TYPE_NARROW_GAUGE_RAILTYPE_OHLE]:[TRACK_TYPE_NARROW_GAUGE_RAILTYPE_NONE]],_xlfn.LAMBDA(_xlpm.r,OR(_xlpm.r))),FALSE)</f>
        <v>1</v>
      </c>
      <c r="AG1004" s="38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3433</v>
      </c>
      <c r="B1005" s="40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8" t="b" cm="1">
        <f t="array" ref="AE1005">IFERROR(_xlfn.BYROW(TRACK_TYPES[[#This Row],[TRACK_TYPE_STANDARD_GAUGE_RAILTYPE_OHLE]:[TRACK_TYPE_STANDARD_GAUGE_RAILTYPE_NONE]],_xlfn.LAMBDA(_xlpm.r,OR(_xlpm.r))),FALSE)</f>
        <v>0</v>
      </c>
      <c r="AF1005" s="38" t="b" cm="1">
        <f t="array" ref="AF1005">IFERROR(_xlfn.BYROW(TRACK_TYPES[[#This Row],[TRACK_TYPE_NARROW_GAUGE_RAILTYPE_OHLE]:[TRACK_TYPE_NARROW_GAUGE_RAILTYPE_NONE]],_xlfn.LAMBDA(_xlpm.r,OR(_xlpm.r))),FALSE)</f>
        <v>1</v>
      </c>
      <c r="AG1005" s="38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3434</v>
      </c>
      <c r="B1006" s="40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8" t="b" cm="1">
        <f t="array" ref="AE1006">IFERROR(_xlfn.BYROW(TRACK_TYPES[[#This Row],[TRACK_TYPE_STANDARD_GAUGE_RAILTYPE_OHLE]:[TRACK_TYPE_STANDARD_GAUGE_RAILTYPE_NONE]],_xlfn.LAMBDA(_xlpm.r,OR(_xlpm.r))),FALSE)</f>
        <v>1</v>
      </c>
      <c r="AF1006" s="38" t="b" cm="1">
        <f t="array" ref="AF1006">IFERROR(_xlfn.BYROW(TRACK_TYPES[[#This Row],[TRACK_TYPE_NARROW_GAUGE_RAILTYPE_OHLE]:[TRACK_TYPE_NARROW_GAUGE_RAILTYPE_NONE]],_xlfn.LAMBDA(_xlpm.r,OR(_xlpm.r))),FALSE)</f>
        <v>0</v>
      </c>
      <c r="AG1006" s="38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3435</v>
      </c>
      <c r="B1007" s="40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8" t="b" cm="1">
        <f t="array" ref="AE1007">IFERROR(_xlfn.BYROW(TRACK_TYPES[[#This Row],[TRACK_TYPE_STANDARD_GAUGE_RAILTYPE_OHLE]:[TRACK_TYPE_STANDARD_GAUGE_RAILTYPE_NONE]],_xlfn.LAMBDA(_xlpm.r,OR(_xlpm.r))),FALSE)</f>
        <v>0</v>
      </c>
      <c r="AF1007" s="38" t="b" cm="1">
        <f t="array" ref="AF1007">IFERROR(_xlfn.BYROW(TRACK_TYPES[[#This Row],[TRACK_TYPE_NARROW_GAUGE_RAILTYPE_OHLE]:[TRACK_TYPE_NARROW_GAUGE_RAILTYPE_NONE]],_xlfn.LAMBDA(_xlpm.r,OR(_xlpm.r))),FALSE)</f>
        <v>0</v>
      </c>
      <c r="AG1007" s="38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3436</v>
      </c>
      <c r="B1008" s="40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8" t="b" cm="1">
        <f t="array" ref="AE1008">IFERROR(_xlfn.BYROW(TRACK_TYPES[[#This Row],[TRACK_TYPE_STANDARD_GAUGE_RAILTYPE_OHLE]:[TRACK_TYPE_STANDARD_GAUGE_RAILTYPE_NONE]],_xlfn.LAMBDA(_xlpm.r,OR(_xlpm.r))),FALSE)</f>
        <v>0</v>
      </c>
      <c r="AF1008" s="38" t="b" cm="1">
        <f t="array" ref="AF1008">IFERROR(_xlfn.BYROW(TRACK_TYPES[[#This Row],[TRACK_TYPE_NARROW_GAUGE_RAILTYPE_OHLE]:[TRACK_TYPE_NARROW_GAUGE_RAILTYPE_NONE]],_xlfn.LAMBDA(_xlpm.r,OR(_xlpm.r))),FALSE)</f>
        <v>0</v>
      </c>
      <c r="AG1008" s="38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3437</v>
      </c>
      <c r="B1009" s="40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8" t="b" cm="1">
        <f t="array" ref="AE1009">IFERROR(_xlfn.BYROW(TRACK_TYPES[[#This Row],[TRACK_TYPE_STANDARD_GAUGE_RAILTYPE_OHLE]:[TRACK_TYPE_STANDARD_GAUGE_RAILTYPE_NONE]],_xlfn.LAMBDA(_xlpm.r,OR(_xlpm.r))),FALSE)</f>
        <v>1</v>
      </c>
      <c r="AF1009" s="38" t="b" cm="1">
        <f t="array" ref="AF1009">IFERROR(_xlfn.BYROW(TRACK_TYPES[[#This Row],[TRACK_TYPE_NARROW_GAUGE_RAILTYPE_OHLE]:[TRACK_TYPE_NARROW_GAUGE_RAILTYPE_NONE]],_xlfn.LAMBDA(_xlpm.r,OR(_xlpm.r))),FALSE)</f>
        <v>0</v>
      </c>
      <c r="AG1009" s="38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3438</v>
      </c>
      <c r="B1010" s="40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8" t="b" cm="1">
        <f t="array" ref="AE1010">IFERROR(_xlfn.BYROW(TRACK_TYPES[[#This Row],[TRACK_TYPE_STANDARD_GAUGE_RAILTYPE_OHLE]:[TRACK_TYPE_STANDARD_GAUGE_RAILTYPE_NONE]],_xlfn.LAMBDA(_xlpm.r,OR(_xlpm.r))),FALSE)</f>
        <v>0</v>
      </c>
      <c r="AF1010" s="38" t="b" cm="1">
        <f t="array" ref="AF1010">IFERROR(_xlfn.BYROW(TRACK_TYPES[[#This Row],[TRACK_TYPE_NARROW_GAUGE_RAILTYPE_OHLE]:[TRACK_TYPE_NARROW_GAUGE_RAILTYPE_NONE]],_xlfn.LAMBDA(_xlpm.r,OR(_xlpm.r))),FALSE)</f>
        <v>1</v>
      </c>
      <c r="AG1010" s="38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3487</v>
      </c>
      <c r="B1011" s="40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8" t="b" cm="1">
        <f t="array" ref="AE1011">IFERROR(_xlfn.BYROW(TRACK_TYPES[[#This Row],[TRACK_TYPE_STANDARD_GAUGE_RAILTYPE_OHLE]:[TRACK_TYPE_STANDARD_GAUGE_RAILTYPE_NONE]],_xlfn.LAMBDA(_xlpm.r,OR(_xlpm.r))),FALSE)</f>
        <v>0</v>
      </c>
      <c r="AF1011" s="38" t="b" cm="1">
        <f t="array" ref="AF1011">IFERROR(_xlfn.BYROW(TRACK_TYPES[[#This Row],[TRACK_TYPE_NARROW_GAUGE_RAILTYPE_OHLE]:[TRACK_TYPE_NARROW_GAUGE_RAILTYPE_NONE]],_xlfn.LAMBDA(_xlpm.r,OR(_xlpm.r))),FALSE)</f>
        <v>1</v>
      </c>
      <c r="AG1011" s="38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3479</v>
      </c>
      <c r="B1012" s="40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8" t="b" cm="1">
        <f t="array" ref="AE1012">IFERROR(_xlfn.BYROW(TRACK_TYPES[[#This Row],[TRACK_TYPE_STANDARD_GAUGE_RAILTYPE_OHLE]:[TRACK_TYPE_STANDARD_GAUGE_RAILTYPE_NONE]],_xlfn.LAMBDA(_xlpm.r,OR(_xlpm.r))),FALSE)</f>
        <v>0</v>
      </c>
      <c r="AF1012" s="38" t="b" cm="1">
        <f t="array" ref="AF1012">IFERROR(_xlfn.BYROW(TRACK_TYPES[[#This Row],[TRACK_TYPE_NARROW_GAUGE_RAILTYPE_OHLE]:[TRACK_TYPE_NARROW_GAUGE_RAILTYPE_NONE]],_xlfn.LAMBDA(_xlpm.r,OR(_xlpm.r))),FALSE)</f>
        <v>1</v>
      </c>
      <c r="AG1012" s="38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3491</v>
      </c>
      <c r="B1013" s="40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8" t="b" cm="1">
        <f t="array" ref="AE1013">IFERROR(_xlfn.BYROW(TRACK_TYPES[[#This Row],[TRACK_TYPE_STANDARD_GAUGE_RAILTYPE_OHLE]:[TRACK_TYPE_STANDARD_GAUGE_RAILTYPE_NONE]],_xlfn.LAMBDA(_xlpm.r,OR(_xlpm.r))),FALSE)</f>
        <v>0</v>
      </c>
      <c r="AF1013" s="38" t="b" cm="1">
        <f t="array" ref="AF1013">IFERROR(_xlfn.BYROW(TRACK_TYPES[[#This Row],[TRACK_TYPE_NARROW_GAUGE_RAILTYPE_OHLE]:[TRACK_TYPE_NARROW_GAUGE_RAILTYPE_NONE]],_xlfn.LAMBDA(_xlpm.r,OR(_xlpm.r))),FALSE)</f>
        <v>1</v>
      </c>
      <c r="AG1013" s="38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3494</v>
      </c>
      <c r="B1014" s="40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8" t="b" cm="1">
        <f t="array" ref="AE1014">IFERROR(_xlfn.BYROW(TRACK_TYPES[[#This Row],[TRACK_TYPE_STANDARD_GAUGE_RAILTYPE_OHLE]:[TRACK_TYPE_STANDARD_GAUGE_RAILTYPE_NONE]],_xlfn.LAMBDA(_xlpm.r,OR(_xlpm.r))),FALSE)</f>
        <v>1</v>
      </c>
      <c r="AF1014" s="38" t="b" cm="1">
        <f t="array" ref="AF1014">IFERROR(_xlfn.BYROW(TRACK_TYPES[[#This Row],[TRACK_TYPE_NARROW_GAUGE_RAILTYPE_OHLE]:[TRACK_TYPE_NARROW_GAUGE_RAILTYPE_NONE]],_xlfn.LAMBDA(_xlpm.r,OR(_xlpm.r))),FALSE)</f>
        <v>1</v>
      </c>
      <c r="AG1014" s="38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3499</v>
      </c>
      <c r="B1015" s="40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8" t="b" cm="1">
        <f t="array" ref="AE1015">IFERROR(_xlfn.BYROW(TRACK_TYPES[[#This Row],[TRACK_TYPE_STANDARD_GAUGE_RAILTYPE_OHLE]:[TRACK_TYPE_STANDARD_GAUGE_RAILTYPE_NONE]],_xlfn.LAMBDA(_xlpm.r,OR(_xlpm.r))),FALSE)</f>
        <v>0</v>
      </c>
      <c r="AF1015" s="38" t="b" cm="1">
        <f t="array" ref="AF1015">IFERROR(_xlfn.BYROW(TRACK_TYPES[[#This Row],[TRACK_TYPE_NARROW_GAUGE_RAILTYPE_OHLE]:[TRACK_TYPE_NARROW_GAUGE_RAILTYPE_NONE]],_xlfn.LAMBDA(_xlpm.r,OR(_xlpm.r))),FALSE)</f>
        <v>1</v>
      </c>
      <c r="AG1015" s="38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3492</v>
      </c>
      <c r="B1016" s="40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8" t="b" cm="1">
        <f t="array" ref="AE1016">IFERROR(_xlfn.BYROW(TRACK_TYPES[[#This Row],[TRACK_TYPE_STANDARD_GAUGE_RAILTYPE_OHLE]:[TRACK_TYPE_STANDARD_GAUGE_RAILTYPE_NONE]],_xlfn.LAMBDA(_xlpm.r,OR(_xlpm.r))),FALSE)</f>
        <v>0</v>
      </c>
      <c r="AF1016" s="38" t="b" cm="1">
        <f t="array" ref="AF1016">IFERROR(_xlfn.BYROW(TRACK_TYPES[[#This Row],[TRACK_TYPE_NARROW_GAUGE_RAILTYPE_OHLE]:[TRACK_TYPE_NARROW_GAUGE_RAILTYPE_NONE]],_xlfn.LAMBDA(_xlpm.r,OR(_xlpm.r))),FALSE)</f>
        <v>0</v>
      </c>
      <c r="AG1016" s="38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3502</v>
      </c>
      <c r="B1017" s="40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8" t="b" cm="1">
        <f t="array" ref="AE1017">IFERROR(_xlfn.BYROW(TRACK_TYPES[[#This Row],[TRACK_TYPE_STANDARD_GAUGE_RAILTYPE_OHLE]:[TRACK_TYPE_STANDARD_GAUGE_RAILTYPE_NONE]],_xlfn.LAMBDA(_xlpm.r,OR(_xlpm.r))),FALSE)</f>
        <v>0</v>
      </c>
      <c r="AF1017" s="38" t="b" cm="1">
        <f t="array" ref="AF1017">IFERROR(_xlfn.BYROW(TRACK_TYPES[[#This Row],[TRACK_TYPE_NARROW_GAUGE_RAILTYPE_OHLE]:[TRACK_TYPE_NARROW_GAUGE_RAILTYPE_NONE]],_xlfn.LAMBDA(_xlpm.r,OR(_xlpm.r))),FALSE)</f>
        <v>0</v>
      </c>
      <c r="AG1017" s="38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3703</v>
      </c>
      <c r="B1018" s="40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8" t="b" cm="1">
        <f t="array" ref="AE1018">IFERROR(_xlfn.BYROW(TRACK_TYPES[[#This Row],[TRACK_TYPE_STANDARD_GAUGE_RAILTYPE_OHLE]:[TRACK_TYPE_STANDARD_GAUGE_RAILTYPE_NONE]],_xlfn.LAMBDA(_xlpm.r,OR(_xlpm.r))),FALSE)</f>
        <v>1</v>
      </c>
      <c r="AF1018" s="38" t="b" cm="1">
        <f t="array" ref="AF1018">IFERROR(_xlfn.BYROW(TRACK_TYPES[[#This Row],[TRACK_TYPE_NARROW_GAUGE_RAILTYPE_OHLE]:[TRACK_TYPE_NARROW_GAUGE_RAILTYPE_NONE]],_xlfn.LAMBDA(_xlpm.r,OR(_xlpm.r))),FALSE)</f>
        <v>1</v>
      </c>
      <c r="AG1018" s="38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3558</v>
      </c>
      <c r="B1019" s="40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8" t="b" cm="1">
        <f t="array" ref="AE1019">IFERROR(_xlfn.BYROW(TRACK_TYPES[[#This Row],[TRACK_TYPE_STANDARD_GAUGE_RAILTYPE_OHLE]:[TRACK_TYPE_STANDARD_GAUGE_RAILTYPE_NONE]],_xlfn.LAMBDA(_xlpm.r,OR(_xlpm.r))),FALSE)</f>
        <v>1</v>
      </c>
      <c r="AF1019" s="38" t="b" cm="1">
        <f t="array" ref="AF1019">IFERROR(_xlfn.BYROW(TRACK_TYPES[[#This Row],[TRACK_TYPE_NARROW_GAUGE_RAILTYPE_OHLE]:[TRACK_TYPE_NARROW_GAUGE_RAILTYPE_NONE]],_xlfn.LAMBDA(_xlpm.r,OR(_xlpm.r))),FALSE)</f>
        <v>1</v>
      </c>
      <c r="AG1019" s="38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3561</v>
      </c>
      <c r="B1020" s="40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8" t="b" cm="1">
        <f t="array" ref="AE1020">IFERROR(_xlfn.BYROW(TRACK_TYPES[[#This Row],[TRACK_TYPE_STANDARD_GAUGE_RAILTYPE_OHLE]:[TRACK_TYPE_STANDARD_GAUGE_RAILTYPE_NONE]],_xlfn.LAMBDA(_xlpm.r,OR(_xlpm.r))),FALSE)</f>
        <v>1</v>
      </c>
      <c r="AF1020" s="38" t="b" cm="1">
        <f t="array" ref="AF1020">IFERROR(_xlfn.BYROW(TRACK_TYPES[[#This Row],[TRACK_TYPE_NARROW_GAUGE_RAILTYPE_OHLE]:[TRACK_TYPE_NARROW_GAUGE_RAILTYPE_NONE]],_xlfn.LAMBDA(_xlpm.r,OR(_xlpm.r))),FALSE)</f>
        <v>0</v>
      </c>
      <c r="AG1020" s="38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3570</v>
      </c>
      <c r="B1021" s="40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8" t="b" cm="1">
        <f t="array" ref="AE1021">IFERROR(_xlfn.BYROW(TRACK_TYPES[[#This Row],[TRACK_TYPE_STANDARD_GAUGE_RAILTYPE_OHLE]:[TRACK_TYPE_STANDARD_GAUGE_RAILTYPE_NONE]],_xlfn.LAMBDA(_xlpm.r,OR(_xlpm.r))),FALSE)</f>
        <v>1</v>
      </c>
      <c r="AF1021" s="38" t="b" cm="1">
        <f t="array" ref="AF1021">IFERROR(_xlfn.BYROW(TRACK_TYPES[[#This Row],[TRACK_TYPE_NARROW_GAUGE_RAILTYPE_OHLE]:[TRACK_TYPE_NARROW_GAUGE_RAILTYPE_NONE]],_xlfn.LAMBDA(_xlpm.r,OR(_xlpm.r))),FALSE)</f>
        <v>1</v>
      </c>
      <c r="AG1021" s="38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3575</v>
      </c>
      <c r="B1022" s="40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8" t="b" cm="1">
        <f t="array" ref="AE1022">IFERROR(_xlfn.BYROW(TRACK_TYPES[[#This Row],[TRACK_TYPE_STANDARD_GAUGE_RAILTYPE_OHLE]:[TRACK_TYPE_STANDARD_GAUGE_RAILTYPE_NONE]],_xlfn.LAMBDA(_xlpm.r,OR(_xlpm.r))),FALSE)</f>
        <v>1</v>
      </c>
      <c r="AF1022" s="38" t="b" cm="1">
        <f t="array" ref="AF1022">IFERROR(_xlfn.BYROW(TRACK_TYPES[[#This Row],[TRACK_TYPE_NARROW_GAUGE_RAILTYPE_OHLE]:[TRACK_TYPE_NARROW_GAUGE_RAILTYPE_NONE]],_xlfn.LAMBDA(_xlpm.r,OR(_xlpm.r))),FALSE)</f>
        <v>1</v>
      </c>
      <c r="AG1022" s="38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3574</v>
      </c>
      <c r="B1023" s="40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8" t="b" cm="1">
        <f t="array" ref="AE1023">IFERROR(_xlfn.BYROW(TRACK_TYPES[[#This Row],[TRACK_TYPE_STANDARD_GAUGE_RAILTYPE_OHLE]:[TRACK_TYPE_STANDARD_GAUGE_RAILTYPE_NONE]],_xlfn.LAMBDA(_xlpm.r,OR(_xlpm.r))),FALSE)</f>
        <v>1</v>
      </c>
      <c r="AF1023" s="38" t="b" cm="1">
        <f t="array" ref="AF1023">IFERROR(_xlfn.BYROW(TRACK_TYPES[[#This Row],[TRACK_TYPE_NARROW_GAUGE_RAILTYPE_OHLE]:[TRACK_TYPE_NARROW_GAUGE_RAILTYPE_NONE]],_xlfn.LAMBDA(_xlpm.r,OR(_xlpm.r))),FALSE)</f>
        <v>1</v>
      </c>
      <c r="AG1023" s="38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3581</v>
      </c>
      <c r="B1024" s="40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8" t="b" cm="1">
        <f t="array" ref="AE1024">IFERROR(_xlfn.BYROW(TRACK_TYPES[[#This Row],[TRACK_TYPE_STANDARD_GAUGE_RAILTYPE_OHLE]:[TRACK_TYPE_STANDARD_GAUGE_RAILTYPE_NONE]],_xlfn.LAMBDA(_xlpm.r,OR(_xlpm.r))),FALSE)</f>
        <v>1</v>
      </c>
      <c r="AF1024" s="38" t="b" cm="1">
        <f t="array" ref="AF1024">IFERROR(_xlfn.BYROW(TRACK_TYPES[[#This Row],[TRACK_TYPE_NARROW_GAUGE_RAILTYPE_OHLE]:[TRACK_TYPE_NARROW_GAUGE_RAILTYPE_NONE]],_xlfn.LAMBDA(_xlpm.r,OR(_xlpm.r))),FALSE)</f>
        <v>1</v>
      </c>
      <c r="AG1024" s="38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3583</v>
      </c>
      <c r="B1025" s="40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8" t="b" cm="1">
        <f t="array" ref="AE1025">IFERROR(_xlfn.BYROW(TRACK_TYPES[[#This Row],[TRACK_TYPE_STANDARD_GAUGE_RAILTYPE_OHLE]:[TRACK_TYPE_STANDARD_GAUGE_RAILTYPE_NONE]],_xlfn.LAMBDA(_xlpm.r,OR(_xlpm.r))),FALSE)</f>
        <v>1</v>
      </c>
      <c r="AF1025" s="38" t="b" cm="1">
        <f t="array" ref="AF1025">IFERROR(_xlfn.BYROW(TRACK_TYPES[[#This Row],[TRACK_TYPE_NARROW_GAUGE_RAILTYPE_OHLE]:[TRACK_TYPE_NARROW_GAUGE_RAILTYPE_NONE]],_xlfn.LAMBDA(_xlpm.r,OR(_xlpm.r))),FALSE)</f>
        <v>0</v>
      </c>
      <c r="AG1025" s="38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3586</v>
      </c>
      <c r="B1026" s="40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8" t="b" cm="1">
        <f t="array" ref="AE1026">IFERROR(_xlfn.BYROW(TRACK_TYPES[[#This Row],[TRACK_TYPE_STANDARD_GAUGE_RAILTYPE_OHLE]:[TRACK_TYPE_STANDARD_GAUGE_RAILTYPE_NONE]],_xlfn.LAMBDA(_xlpm.r,OR(_xlpm.r))),FALSE)</f>
        <v>1</v>
      </c>
      <c r="AF1026" s="38" t="b" cm="1">
        <f t="array" ref="AF1026">IFERROR(_xlfn.BYROW(TRACK_TYPES[[#This Row],[TRACK_TYPE_NARROW_GAUGE_RAILTYPE_OHLE]:[TRACK_TYPE_NARROW_GAUGE_RAILTYPE_NONE]],_xlfn.LAMBDA(_xlpm.r,OR(_xlpm.r))),FALSE)</f>
        <v>0</v>
      </c>
      <c r="AG1026" s="38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3591</v>
      </c>
      <c r="B1027" s="40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8" t="b" cm="1">
        <f t="array" ref="AE1027">IFERROR(_xlfn.BYROW(TRACK_TYPES[[#This Row],[TRACK_TYPE_STANDARD_GAUGE_RAILTYPE_OHLE]:[TRACK_TYPE_STANDARD_GAUGE_RAILTYPE_NONE]],_xlfn.LAMBDA(_xlpm.r,OR(_xlpm.r))),FALSE)</f>
        <v>1</v>
      </c>
      <c r="AF1027" s="38" t="b" cm="1">
        <f t="array" ref="AF1027">IFERROR(_xlfn.BYROW(TRACK_TYPES[[#This Row],[TRACK_TYPE_NARROW_GAUGE_RAILTYPE_OHLE]:[TRACK_TYPE_NARROW_GAUGE_RAILTYPE_NONE]],_xlfn.LAMBDA(_xlpm.r,OR(_xlpm.r))),FALSE)</f>
        <v>0</v>
      </c>
      <c r="AG1027" s="38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3592</v>
      </c>
      <c r="B1028" s="40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8" t="b" cm="1">
        <f t="array" ref="AE1028">IFERROR(_xlfn.BYROW(TRACK_TYPES[[#This Row],[TRACK_TYPE_STANDARD_GAUGE_RAILTYPE_OHLE]:[TRACK_TYPE_STANDARD_GAUGE_RAILTYPE_NONE]],_xlfn.LAMBDA(_xlpm.r,OR(_xlpm.r))),FALSE)</f>
        <v>1</v>
      </c>
      <c r="AF1028" s="38" t="b" cm="1">
        <f t="array" ref="AF1028">IFERROR(_xlfn.BYROW(TRACK_TYPES[[#This Row],[TRACK_TYPE_NARROW_GAUGE_RAILTYPE_OHLE]:[TRACK_TYPE_NARROW_GAUGE_RAILTYPE_NONE]],_xlfn.LAMBDA(_xlpm.r,OR(_xlpm.r))),FALSE)</f>
        <v>0</v>
      </c>
      <c r="AG1028" s="38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3596</v>
      </c>
      <c r="B1029" s="40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8" t="b" cm="1">
        <f t="array" ref="AE1029">IFERROR(_xlfn.BYROW(TRACK_TYPES[[#This Row],[TRACK_TYPE_STANDARD_GAUGE_RAILTYPE_OHLE]:[TRACK_TYPE_STANDARD_GAUGE_RAILTYPE_NONE]],_xlfn.LAMBDA(_xlpm.r,OR(_xlpm.r))),FALSE)</f>
        <v>1</v>
      </c>
      <c r="AF1029" s="38" t="b" cm="1">
        <f t="array" ref="AF1029">IFERROR(_xlfn.BYROW(TRACK_TYPES[[#This Row],[TRACK_TYPE_NARROW_GAUGE_RAILTYPE_OHLE]:[TRACK_TYPE_NARROW_GAUGE_RAILTYPE_NONE]],_xlfn.LAMBDA(_xlpm.r,OR(_xlpm.r))),FALSE)</f>
        <v>0</v>
      </c>
      <c r="AG1029" s="38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3598</v>
      </c>
      <c r="B1030" s="40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8" t="b" cm="1">
        <f t="array" ref="AE1030">IFERROR(_xlfn.BYROW(TRACK_TYPES[[#This Row],[TRACK_TYPE_STANDARD_GAUGE_RAILTYPE_OHLE]:[TRACK_TYPE_STANDARD_GAUGE_RAILTYPE_NONE]],_xlfn.LAMBDA(_xlpm.r,OR(_xlpm.r))),FALSE)</f>
        <v>1</v>
      </c>
      <c r="AF1030" s="38" t="b" cm="1">
        <f t="array" ref="AF1030">IFERROR(_xlfn.BYROW(TRACK_TYPES[[#This Row],[TRACK_TYPE_NARROW_GAUGE_RAILTYPE_OHLE]:[TRACK_TYPE_NARROW_GAUGE_RAILTYPE_NONE]],_xlfn.LAMBDA(_xlpm.r,OR(_xlpm.r))),FALSE)</f>
        <v>1</v>
      </c>
      <c r="AG1030" s="38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3603</v>
      </c>
      <c r="B1031" s="40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8" t="b" cm="1">
        <f t="array" ref="AE1031">IFERROR(_xlfn.BYROW(TRACK_TYPES[[#This Row],[TRACK_TYPE_STANDARD_GAUGE_RAILTYPE_OHLE]:[TRACK_TYPE_STANDARD_GAUGE_RAILTYPE_NONE]],_xlfn.LAMBDA(_xlpm.r,OR(_xlpm.r))),FALSE)</f>
        <v>1</v>
      </c>
      <c r="AF1031" s="38" t="b" cm="1">
        <f t="array" ref="AF1031">IFERROR(_xlfn.BYROW(TRACK_TYPES[[#This Row],[TRACK_TYPE_NARROW_GAUGE_RAILTYPE_OHLE]:[TRACK_TYPE_NARROW_GAUGE_RAILTYPE_NONE]],_xlfn.LAMBDA(_xlpm.r,OR(_xlpm.r))),FALSE)</f>
        <v>0</v>
      </c>
      <c r="AG1031" s="38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3604</v>
      </c>
      <c r="B1032" s="40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8" t="b" cm="1">
        <f t="array" ref="AE1032">IFERROR(_xlfn.BYROW(TRACK_TYPES[[#This Row],[TRACK_TYPE_STANDARD_GAUGE_RAILTYPE_OHLE]:[TRACK_TYPE_STANDARD_GAUGE_RAILTYPE_NONE]],_xlfn.LAMBDA(_xlpm.r,OR(_xlpm.r))),FALSE)</f>
        <v>1</v>
      </c>
      <c r="AF1032" s="38" t="b" cm="1">
        <f t="array" ref="AF1032">IFERROR(_xlfn.BYROW(TRACK_TYPES[[#This Row],[TRACK_TYPE_NARROW_GAUGE_RAILTYPE_OHLE]:[TRACK_TYPE_NARROW_GAUGE_RAILTYPE_NONE]],_xlfn.LAMBDA(_xlpm.r,OR(_xlpm.r))),FALSE)</f>
        <v>0</v>
      </c>
      <c r="AG1032" s="38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3606</v>
      </c>
      <c r="B1033" s="40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8" t="b" cm="1">
        <f t="array" ref="AE1033">IFERROR(_xlfn.BYROW(TRACK_TYPES[[#This Row],[TRACK_TYPE_STANDARD_GAUGE_RAILTYPE_OHLE]:[TRACK_TYPE_STANDARD_GAUGE_RAILTYPE_NONE]],_xlfn.LAMBDA(_xlpm.r,OR(_xlpm.r))),FALSE)</f>
        <v>1</v>
      </c>
      <c r="AF1033" s="38" t="b" cm="1">
        <f t="array" ref="AF1033">IFERROR(_xlfn.BYROW(TRACK_TYPES[[#This Row],[TRACK_TYPE_NARROW_GAUGE_RAILTYPE_OHLE]:[TRACK_TYPE_NARROW_GAUGE_RAILTYPE_NONE]],_xlfn.LAMBDA(_xlpm.r,OR(_xlpm.r))),FALSE)</f>
        <v>0</v>
      </c>
      <c r="AG1033" s="38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3605</v>
      </c>
      <c r="B1034" s="40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8" t="b" cm="1">
        <f t="array" ref="AE1034">IFERROR(_xlfn.BYROW(TRACK_TYPES[[#This Row],[TRACK_TYPE_STANDARD_GAUGE_RAILTYPE_OHLE]:[TRACK_TYPE_STANDARD_GAUGE_RAILTYPE_NONE]],_xlfn.LAMBDA(_xlpm.r,OR(_xlpm.r))),FALSE)</f>
        <v>1</v>
      </c>
      <c r="AF1034" s="38" t="b" cm="1">
        <f t="array" ref="AF1034">IFERROR(_xlfn.BYROW(TRACK_TYPES[[#This Row],[TRACK_TYPE_NARROW_GAUGE_RAILTYPE_OHLE]:[TRACK_TYPE_NARROW_GAUGE_RAILTYPE_NONE]],_xlfn.LAMBDA(_xlpm.r,OR(_xlpm.r))),FALSE)</f>
        <v>0</v>
      </c>
      <c r="AG1034" s="38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3612</v>
      </c>
      <c r="B1035" s="40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8" t="b" cm="1">
        <f t="array" ref="AE1035">IFERROR(_xlfn.BYROW(TRACK_TYPES[[#This Row],[TRACK_TYPE_STANDARD_GAUGE_RAILTYPE_OHLE]:[TRACK_TYPE_STANDARD_GAUGE_RAILTYPE_NONE]],_xlfn.LAMBDA(_xlpm.r,OR(_xlpm.r))),FALSE)</f>
        <v>1</v>
      </c>
      <c r="AF1035" s="38" t="b" cm="1">
        <f t="array" ref="AF1035">IFERROR(_xlfn.BYROW(TRACK_TYPES[[#This Row],[TRACK_TYPE_NARROW_GAUGE_RAILTYPE_OHLE]:[TRACK_TYPE_NARROW_GAUGE_RAILTYPE_NONE]],_xlfn.LAMBDA(_xlpm.r,OR(_xlpm.r))),FALSE)</f>
        <v>0</v>
      </c>
      <c r="AG1035" s="38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3614</v>
      </c>
      <c r="B1036" s="40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8" t="b" cm="1">
        <f t="array" ref="AE1036">IFERROR(_xlfn.BYROW(TRACK_TYPES[[#This Row],[TRACK_TYPE_STANDARD_GAUGE_RAILTYPE_OHLE]:[TRACK_TYPE_STANDARD_GAUGE_RAILTYPE_NONE]],_xlfn.LAMBDA(_xlpm.r,OR(_xlpm.r))),FALSE)</f>
        <v>0</v>
      </c>
      <c r="AF1036" s="38" t="b" cm="1">
        <f t="array" ref="AF1036">IFERROR(_xlfn.BYROW(TRACK_TYPES[[#This Row],[TRACK_TYPE_NARROW_GAUGE_RAILTYPE_OHLE]:[TRACK_TYPE_NARROW_GAUGE_RAILTYPE_NONE]],_xlfn.LAMBDA(_xlpm.r,OR(_xlpm.r))),FALSE)</f>
        <v>0</v>
      </c>
      <c r="AG1036" s="38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3615</v>
      </c>
      <c r="B1037" s="40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8" t="b" cm="1">
        <f t="array" ref="AE1037">IFERROR(_xlfn.BYROW(TRACK_TYPES[[#This Row],[TRACK_TYPE_STANDARD_GAUGE_RAILTYPE_OHLE]:[TRACK_TYPE_STANDARD_GAUGE_RAILTYPE_NONE]],_xlfn.LAMBDA(_xlpm.r,OR(_xlpm.r))),FALSE)</f>
        <v>0</v>
      </c>
      <c r="AF1037" s="38" t="b" cm="1">
        <f t="array" ref="AF1037">IFERROR(_xlfn.BYROW(TRACK_TYPES[[#This Row],[TRACK_TYPE_NARROW_GAUGE_RAILTYPE_OHLE]:[TRACK_TYPE_NARROW_GAUGE_RAILTYPE_NONE]],_xlfn.LAMBDA(_xlpm.r,OR(_xlpm.r))),FALSE)</f>
        <v>0</v>
      </c>
      <c r="AG1037" s="38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3616</v>
      </c>
      <c r="B1038" s="40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8" t="b" cm="1">
        <f t="array" ref="AE1038">IFERROR(_xlfn.BYROW(TRACK_TYPES[[#This Row],[TRACK_TYPE_STANDARD_GAUGE_RAILTYPE_OHLE]:[TRACK_TYPE_STANDARD_GAUGE_RAILTYPE_NONE]],_xlfn.LAMBDA(_xlpm.r,OR(_xlpm.r))),FALSE)</f>
        <v>0</v>
      </c>
      <c r="AF1038" s="38" t="b" cm="1">
        <f t="array" ref="AF1038">IFERROR(_xlfn.BYROW(TRACK_TYPES[[#This Row],[TRACK_TYPE_NARROW_GAUGE_RAILTYPE_OHLE]:[TRACK_TYPE_NARROW_GAUGE_RAILTYPE_NONE]],_xlfn.LAMBDA(_xlpm.r,OR(_xlpm.r))),FALSE)</f>
        <v>0</v>
      </c>
      <c r="AG1038" s="38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t="s">
        <v>3656</v>
      </c>
      <c r="B1039" s="40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8" t="b" cm="1">
        <f t="array" ref="AE1039">IFERROR(_xlfn.BYROW(TRACK_TYPES[[#This Row],[TRACK_TYPE_STANDARD_GAUGE_RAILTYPE_OHLE]:[TRACK_TYPE_STANDARD_GAUGE_RAILTYPE_NONE]],_xlfn.LAMBDA(_xlpm.r,OR(_xlpm.r))),FALSE)</f>
        <v>0</v>
      </c>
      <c r="AF1039" s="38" t="b" cm="1">
        <f t="array" ref="AF1039">IFERROR(_xlfn.BYROW(TRACK_TYPES[[#This Row],[TRACK_TYPE_NARROW_GAUGE_RAILTYPE_OHLE]:[TRACK_TYPE_NARROW_GAUGE_RAILTYPE_NONE]],_xlfn.LAMBDA(_xlpm.r,OR(_xlpm.r))),FALSE)</f>
        <v>1</v>
      </c>
      <c r="AG1039" s="38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3619</v>
      </c>
      <c r="B1040" s="40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8" t="b" cm="1">
        <f t="array" ref="AE1040">IFERROR(_xlfn.BYROW(TRACK_TYPES[[#This Row],[TRACK_TYPE_STANDARD_GAUGE_RAILTYPE_OHLE]:[TRACK_TYPE_STANDARD_GAUGE_RAILTYPE_NONE]],_xlfn.LAMBDA(_xlpm.r,OR(_xlpm.r))),FALSE)</f>
        <v>0</v>
      </c>
      <c r="AF1040" s="38" t="b" cm="1">
        <f t="array" ref="AF1040">IFERROR(_xlfn.BYROW(TRACK_TYPES[[#This Row],[TRACK_TYPE_NARROW_GAUGE_RAILTYPE_OHLE]:[TRACK_TYPE_NARROW_GAUGE_RAILTYPE_NONE]],_xlfn.LAMBDA(_xlpm.r,OR(_xlpm.r))),FALSE)</f>
        <v>1</v>
      </c>
      <c r="AG1040" s="38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3621</v>
      </c>
      <c r="B1041" s="40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8" t="b" cm="1">
        <f t="array" ref="AE1041">IFERROR(_xlfn.BYROW(TRACK_TYPES[[#This Row],[TRACK_TYPE_STANDARD_GAUGE_RAILTYPE_OHLE]:[TRACK_TYPE_STANDARD_GAUGE_RAILTYPE_NONE]],_xlfn.LAMBDA(_xlpm.r,OR(_xlpm.r))),FALSE)</f>
        <v>0</v>
      </c>
      <c r="AF1041" s="38" t="b" cm="1">
        <f t="array" ref="AF1041">IFERROR(_xlfn.BYROW(TRACK_TYPES[[#This Row],[TRACK_TYPE_NARROW_GAUGE_RAILTYPE_OHLE]:[TRACK_TYPE_NARROW_GAUGE_RAILTYPE_NONE]],_xlfn.LAMBDA(_xlpm.r,OR(_xlpm.r))),FALSE)</f>
        <v>1</v>
      </c>
      <c r="AG1041" s="38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3625</v>
      </c>
      <c r="B1042" s="40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8" t="b" cm="1">
        <f t="array" ref="AE1042">IFERROR(_xlfn.BYROW(TRACK_TYPES[[#This Row],[TRACK_TYPE_STANDARD_GAUGE_RAILTYPE_OHLE]:[TRACK_TYPE_STANDARD_GAUGE_RAILTYPE_NONE]],_xlfn.LAMBDA(_xlpm.r,OR(_xlpm.r))),FALSE)</f>
        <v>0</v>
      </c>
      <c r="AF1042" s="38" t="b" cm="1">
        <f t="array" ref="AF1042">IFERROR(_xlfn.BYROW(TRACK_TYPES[[#This Row],[TRACK_TYPE_NARROW_GAUGE_RAILTYPE_OHLE]:[TRACK_TYPE_NARROW_GAUGE_RAILTYPE_NONE]],_xlfn.LAMBDA(_xlpm.r,OR(_xlpm.r))),FALSE)</f>
        <v>1</v>
      </c>
      <c r="AG1042" s="38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3627</v>
      </c>
      <c r="B1043" s="40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8" t="b" cm="1">
        <f t="array" ref="AE1043">IFERROR(_xlfn.BYROW(TRACK_TYPES[[#This Row],[TRACK_TYPE_STANDARD_GAUGE_RAILTYPE_OHLE]:[TRACK_TYPE_STANDARD_GAUGE_RAILTYPE_NONE]],_xlfn.LAMBDA(_xlpm.r,OR(_xlpm.r))),FALSE)</f>
        <v>1</v>
      </c>
      <c r="AF1043" s="38" t="b" cm="1">
        <f t="array" ref="AF1043">IFERROR(_xlfn.BYROW(TRACK_TYPES[[#This Row],[TRACK_TYPE_NARROW_GAUGE_RAILTYPE_OHLE]:[TRACK_TYPE_NARROW_GAUGE_RAILTYPE_NONE]],_xlfn.LAMBDA(_xlpm.r,OR(_xlpm.r))),FALSE)</f>
        <v>1</v>
      </c>
      <c r="AG1043" s="38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3632</v>
      </c>
      <c r="B1044" s="40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8" t="b" cm="1">
        <f t="array" ref="AE1044">IFERROR(_xlfn.BYROW(TRACK_TYPES[[#This Row],[TRACK_TYPE_STANDARD_GAUGE_RAILTYPE_OHLE]:[TRACK_TYPE_STANDARD_GAUGE_RAILTYPE_NONE]],_xlfn.LAMBDA(_xlpm.r,OR(_xlpm.r))),FALSE)</f>
        <v>1</v>
      </c>
      <c r="AF1044" s="38" t="b" cm="1">
        <f t="array" ref="AF1044">IFERROR(_xlfn.BYROW(TRACK_TYPES[[#This Row],[TRACK_TYPE_NARROW_GAUGE_RAILTYPE_OHLE]:[TRACK_TYPE_NARROW_GAUGE_RAILTYPE_NONE]],_xlfn.LAMBDA(_xlpm.r,OR(_xlpm.r))),FALSE)</f>
        <v>0</v>
      </c>
      <c r="AG1044" s="38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3630</v>
      </c>
      <c r="B1045" s="40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8" t="b" cm="1">
        <f t="array" ref="AE1045">IFERROR(_xlfn.BYROW(TRACK_TYPES[[#This Row],[TRACK_TYPE_STANDARD_GAUGE_RAILTYPE_OHLE]:[TRACK_TYPE_STANDARD_GAUGE_RAILTYPE_NONE]],_xlfn.LAMBDA(_xlpm.r,OR(_xlpm.r))),FALSE)</f>
        <v>1</v>
      </c>
      <c r="AF1045" s="38" t="b" cm="1">
        <f t="array" ref="AF1045">IFERROR(_xlfn.BYROW(TRACK_TYPES[[#This Row],[TRACK_TYPE_NARROW_GAUGE_RAILTYPE_OHLE]:[TRACK_TYPE_NARROW_GAUGE_RAILTYPE_NONE]],_xlfn.LAMBDA(_xlpm.r,OR(_xlpm.r))),FALSE)</f>
        <v>0</v>
      </c>
      <c r="AG1045" s="38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3676</v>
      </c>
      <c r="B1046" s="40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8" t="b" cm="1">
        <f t="array" ref="AE1046">IFERROR(_xlfn.BYROW(TRACK_TYPES[[#This Row],[TRACK_TYPE_STANDARD_GAUGE_RAILTYPE_OHLE]:[TRACK_TYPE_STANDARD_GAUGE_RAILTYPE_NONE]],_xlfn.LAMBDA(_xlpm.r,OR(_xlpm.r))),FALSE)</f>
        <v>1</v>
      </c>
      <c r="AF1046" s="38" t="b" cm="1">
        <f t="array" ref="AF1046">IFERROR(_xlfn.BYROW(TRACK_TYPES[[#This Row],[TRACK_TYPE_NARROW_GAUGE_RAILTYPE_OHLE]:[TRACK_TYPE_NARROW_GAUGE_RAILTYPE_NONE]],_xlfn.LAMBDA(_xlpm.r,OR(_xlpm.r))),FALSE)</f>
        <v>0</v>
      </c>
      <c r="AG1046" s="38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3641</v>
      </c>
      <c r="B1047" s="40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8" t="b" cm="1">
        <f t="array" ref="AE1047">IFERROR(_xlfn.BYROW(TRACK_TYPES[[#This Row],[TRACK_TYPE_STANDARD_GAUGE_RAILTYPE_OHLE]:[TRACK_TYPE_STANDARD_GAUGE_RAILTYPE_NONE]],_xlfn.LAMBDA(_xlpm.r,OR(_xlpm.r))),FALSE)</f>
        <v>1</v>
      </c>
      <c r="AF1047" s="38" t="b" cm="1">
        <f t="array" ref="AF1047">IFERROR(_xlfn.BYROW(TRACK_TYPES[[#This Row],[TRACK_TYPE_NARROW_GAUGE_RAILTYPE_OHLE]:[TRACK_TYPE_NARROW_GAUGE_RAILTYPE_NONE]],_xlfn.LAMBDA(_xlpm.r,OR(_xlpm.r))),FALSE)</f>
        <v>0</v>
      </c>
      <c r="AG1047" s="38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3638</v>
      </c>
      <c r="B1048" s="40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8" t="b" cm="1">
        <f t="array" ref="AE1048">IFERROR(_xlfn.BYROW(TRACK_TYPES[[#This Row],[TRACK_TYPE_STANDARD_GAUGE_RAILTYPE_OHLE]:[TRACK_TYPE_STANDARD_GAUGE_RAILTYPE_NONE]],_xlfn.LAMBDA(_xlpm.r,OR(_xlpm.r))),FALSE)</f>
        <v>1</v>
      </c>
      <c r="AF1048" s="38" t="b" cm="1">
        <f t="array" ref="AF1048">IFERROR(_xlfn.BYROW(TRACK_TYPES[[#This Row],[TRACK_TYPE_NARROW_GAUGE_RAILTYPE_OHLE]:[TRACK_TYPE_NARROW_GAUGE_RAILTYPE_NONE]],_xlfn.LAMBDA(_xlpm.r,OR(_xlpm.r))),FALSE)</f>
        <v>0</v>
      </c>
      <c r="AG1048" s="38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9" spans="1:34" x14ac:dyDescent="0.35">
      <c r="A1049" s="2" t="s">
        <v>3659</v>
      </c>
      <c r="B1049" s="40" t="str">
        <f>_xlfn.XLOOKUP(PROPERTIES[[#This Row],[VEHIDCODE]],CONTROL[VEHIDCODE],CONTROL[ENGLISH])</f>
        <v>Tours/Chapelon 2-12-0 SNCF 160A</v>
      </c>
      <c r="J1049" s="2" t="b">
        <v>1</v>
      </c>
      <c r="AC1049" s="2"/>
      <c r="AD1049" s="2" t="b">
        <f>LEN(_xlfn.CONCAT(TRACK_TYPES[[#This Row],[TRACK_TYPE_STANDARD_GAUGE_RAILTYPE_OHLE]:[TRACK_TYPE_MTRO]]))&gt;0</f>
        <v>1</v>
      </c>
      <c r="AE1049" s="38" t="b" cm="1">
        <f t="array" ref="AE1049">IFERROR(_xlfn.BYROW(TRACK_TYPES[[#This Row],[TRACK_TYPE_STANDARD_GAUGE_RAILTYPE_OHLE]:[TRACK_TYPE_STANDARD_GAUGE_RAILTYPE_NONE]],_xlfn.LAMBDA(_xlpm.r,OR(_xlpm.r))),FALSE)</f>
        <v>1</v>
      </c>
      <c r="AF1049" s="38" t="b" cm="1">
        <f t="array" ref="AF1049">IFERROR(_xlfn.BYROW(TRACK_TYPES[[#This Row],[TRACK_TYPE_NARROW_GAUGE_RAILTYPE_OHLE]:[TRACK_TYPE_NARROW_GAUGE_RAILTYPE_NONE]],_xlfn.LAMBDA(_xlpm.r,OR(_xlpm.r))),FALSE)</f>
        <v>0</v>
      </c>
      <c r="AG1049" s="38" t="b" cm="1">
        <f t="array" ref="AG1049">IFERROR(_xlfn.BYROW(TRACK_TYPES[[#This Row],[TRACK_TYPE_BROAD_GAUGE_RAILTYPE_OHLE]:[TRACK_TYPE_BROAD_GAUGE_RAILTYPE_NONE]],_xlfn.LAMBDA(_xlpm.r,OR(_xlpm.r))),FALSE)</f>
        <v>0</v>
      </c>
      <c r="AH10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50" spans="1:34" x14ac:dyDescent="0.35">
      <c r="A1050" s="2" t="s">
        <v>3674</v>
      </c>
      <c r="B1050" s="40" t="str">
        <f>_xlfn.XLOOKUP(PROPERTIES[[#This Row],[VEHIDCODE]],CONTROL[VEHIDCODE],CONTROL[ENGLISH])</f>
        <v>LTZ 2TE116</v>
      </c>
      <c r="J1050" s="2" t="b">
        <v>1</v>
      </c>
      <c r="Z1050" s="2" t="b">
        <v>1</v>
      </c>
      <c r="AC1050" s="2"/>
      <c r="AD1050" s="2" t="b">
        <f>LEN(_xlfn.CONCAT(TRACK_TYPES[[#This Row],[TRACK_TYPE_STANDARD_GAUGE_RAILTYPE_OHLE]:[TRACK_TYPE_MTRO]]))&gt;0</f>
        <v>1</v>
      </c>
      <c r="AE1050" s="38" t="b" cm="1">
        <f t="array" ref="AE1050">IFERROR(_xlfn.BYROW(TRACK_TYPES[[#This Row],[TRACK_TYPE_STANDARD_GAUGE_RAILTYPE_OHLE]:[TRACK_TYPE_STANDARD_GAUGE_RAILTYPE_NONE]],_xlfn.LAMBDA(_xlpm.r,OR(_xlpm.r))),FALSE)</f>
        <v>1</v>
      </c>
      <c r="AF1050" s="38" t="b" cm="1">
        <f t="array" ref="AF1050">IFERROR(_xlfn.BYROW(TRACK_TYPES[[#This Row],[TRACK_TYPE_NARROW_GAUGE_RAILTYPE_OHLE]:[TRACK_TYPE_NARROW_GAUGE_RAILTYPE_NONE]],_xlfn.LAMBDA(_xlpm.r,OR(_xlpm.r))),FALSE)</f>
        <v>0</v>
      </c>
      <c r="AG1050" s="38" t="b" cm="1">
        <f t="array" ref="AG1050">IFERROR(_xlfn.BYROW(TRACK_TYPES[[#This Row],[TRACK_TYPE_BROAD_GAUGE_RAILTYPE_OHLE]:[TRACK_TYPE_BROAD_GAUGE_RAILTYPE_NONE]],_xlfn.LAMBDA(_xlpm.r,OR(_xlpm.r))),FALSE)</f>
        <v>1</v>
      </c>
      <c r="AH10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51" spans="1:34" x14ac:dyDescent="0.35">
      <c r="A1051" s="2" t="s">
        <v>3700</v>
      </c>
      <c r="B1051" s="40" t="str">
        <f>_xlfn.XLOOKUP(PROPERTIES[[#This Row],[VEHIDCODE]],CONTROL[VEHIDCODE],CONTROL[ENGLISH])</f>
        <v>Ganz-MAVAG SN61</v>
      </c>
      <c r="J1051" s="2" t="b">
        <v>1</v>
      </c>
      <c r="AC1051" s="2"/>
      <c r="AD1051" s="2" t="b">
        <f>LEN(_xlfn.CONCAT(TRACK_TYPES[[#This Row],[TRACK_TYPE_STANDARD_GAUGE_RAILTYPE_OHLE]:[TRACK_TYPE_MTRO]]))&gt;0</f>
        <v>1</v>
      </c>
      <c r="AE1051" s="38" t="b" cm="1">
        <f t="array" ref="AE1051">IFERROR(_xlfn.BYROW(TRACK_TYPES[[#This Row],[TRACK_TYPE_STANDARD_GAUGE_RAILTYPE_OHLE]:[TRACK_TYPE_STANDARD_GAUGE_RAILTYPE_NONE]],_xlfn.LAMBDA(_xlpm.r,OR(_xlpm.r))),FALSE)</f>
        <v>1</v>
      </c>
      <c r="AF1051" s="38" t="b" cm="1">
        <f t="array" ref="AF1051">IFERROR(_xlfn.BYROW(TRACK_TYPES[[#This Row],[TRACK_TYPE_NARROW_GAUGE_RAILTYPE_OHLE]:[TRACK_TYPE_NARROW_GAUGE_RAILTYPE_NONE]],_xlfn.LAMBDA(_xlpm.r,OR(_xlpm.r))),FALSE)</f>
        <v>0</v>
      </c>
      <c r="AG1051" s="38" t="b" cm="1">
        <f t="array" ref="AG1051">IFERROR(_xlfn.BYROW(TRACK_TYPES[[#This Row],[TRACK_TYPE_BROAD_GAUGE_RAILTYPE_OHLE]:[TRACK_TYPE_BROAD_GAUGE_RAILTYPE_NONE]],_xlfn.LAMBDA(_xlpm.r,OR(_xlpm.r))),FALSE)</f>
        <v>0</v>
      </c>
      <c r="AH10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2:A894">
    <cfRule type="expression" dxfId="41" priority="9">
      <formula>$Q892=TRUE</formula>
    </cfRule>
  </conditionalFormatting>
  <conditionalFormatting sqref="A892:A940">
    <cfRule type="containsText" dxfId="40" priority="10" operator="containsText" text=" ">
      <formula>NOT(ISERROR(SEARCH(" ",A892)))</formula>
    </cfRule>
  </conditionalFormatting>
  <conditionalFormatting sqref="A942:A943">
    <cfRule type="containsText" dxfId="39" priority="116" operator="containsText" text=" ">
      <formula>NOT(ISERROR(SEARCH(" ",A942)))</formula>
    </cfRule>
  </conditionalFormatting>
  <conditionalFormatting sqref="A946:A950">
    <cfRule type="containsText" dxfId="38" priority="112" operator="containsText" text=" ">
      <formula>NOT(ISERROR(SEARCH(" ",A946)))</formula>
    </cfRule>
  </conditionalFormatting>
  <conditionalFormatting sqref="A952:A953">
    <cfRule type="containsText" dxfId="37" priority="110" operator="containsText" text=" ">
      <formula>NOT(ISERROR(SEARCH(" ",A952)))</formula>
    </cfRule>
  </conditionalFormatting>
  <conditionalFormatting sqref="A956:A971">
    <cfRule type="containsText" dxfId="36" priority="94" operator="containsText" text=" ">
      <formula>NOT(ISERROR(SEARCH(" ",A956)))</formula>
    </cfRule>
  </conditionalFormatting>
  <conditionalFormatting sqref="A974:A977">
    <cfRule type="containsText" dxfId="35" priority="90" operator="containsText" text=" ">
      <formula>NOT(ISERROR(SEARCH(" ",A974)))</formula>
    </cfRule>
  </conditionalFormatting>
  <conditionalFormatting sqref="A979:A982">
    <cfRule type="containsText" dxfId="34" priority="86" operator="containsText" text=" ">
      <formula>NOT(ISERROR(SEARCH(" ",A979)))</formula>
    </cfRule>
  </conditionalFormatting>
  <conditionalFormatting sqref="A985:A986">
    <cfRule type="containsText" dxfId="33" priority="84" operator="containsText" text=" ">
      <formula>NOT(ISERROR(SEARCH(" ",A985)))</formula>
    </cfRule>
  </conditionalFormatting>
  <conditionalFormatting sqref="A988:A991">
    <cfRule type="containsText" dxfId="32" priority="80" operator="containsText" text=" ">
      <formula>NOT(ISERROR(SEARCH(" ",A988)))</formula>
    </cfRule>
  </conditionalFormatting>
  <conditionalFormatting sqref="A994:A1029">
    <cfRule type="containsText" dxfId="31" priority="44" operator="containsText" text=" ">
      <formula>NOT(ISERROR(SEARCH(" ",A994)))</formula>
    </cfRule>
  </conditionalFormatting>
  <conditionalFormatting sqref="A1031:A1051">
    <cfRule type="containsText" dxfId="30" priority="2" operator="containsText" text=" ">
      <formula>NOT(ISERROR(SEARCH(" ",A1031)))</formula>
    </cfRule>
  </conditionalFormatting>
  <conditionalFormatting sqref="A1050">
    <cfRule type="expression" dxfId="29" priority="31">
      <formula>$AT1050=TRUE</formula>
    </cfRule>
  </conditionalFormatting>
  <conditionalFormatting sqref="A1050:A1051">
    <cfRule type="expression" dxfId="28" priority="1">
      <formula>$Q1050=TRUE</formula>
    </cfRule>
  </conditionalFormatting>
  <conditionalFormatting sqref="AD1:AD1048576 AH790:AH1048576">
    <cfRule type="cellIs" dxfId="27" priority="173" operator="equal">
      <formula>FALSE</formula>
    </cfRule>
  </conditionalFormatting>
  <conditionalFormatting sqref="AE1:AG1048576">
    <cfRule type="containsText" dxfId="26" priority="56" operator="containsText" text="FALSE">
      <formula>NOT(ISERROR(SEARCH("FALSE",AE1)))</formula>
    </cfRule>
  </conditionalFormatting>
  <conditionalFormatting sqref="AH1">
    <cfRule type="cellIs" dxfId="25" priority="167" operator="equal">
      <formula>FALSE</formula>
    </cfRule>
  </conditionalFormatting>
  <dataValidations count="3"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I790:AI1048576 AM790:AQ1048576 AH1049:AH1048576 C1:AC1048576" xr:uid="{49A9B598-B8DB-4809-AD01-29B98BDBD5F7}">
      <formula1>"TRUE"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L1244"/>
  <sheetViews>
    <sheetView zoomScaleNormal="100" workbookViewId="0">
      <pane xSplit="1" ySplit="1" topLeftCell="B1035" activePane="bottomRight" state="frozen"/>
      <selection activeCell="Q19" sqref="Q19"/>
      <selection pane="topRight" activeCell="Q19" sqref="Q19"/>
      <selection pane="bottomLeft" activeCell="Q19" sqref="Q19"/>
      <selection pane="bottomRight" activeCell="D1051" sqref="D1051"/>
    </sheetView>
  </sheetViews>
  <sheetFormatPr defaultRowHeight="14.5" x14ac:dyDescent="0.35"/>
  <cols>
    <col min="1" max="1" width="54.6328125" bestFit="1" customWidth="1"/>
    <col min="2" max="5" width="9" customWidth="1"/>
    <col min="9" max="10" width="18.26953125" bestFit="1" customWidth="1"/>
    <col min="11" max="11" width="22.26953125" bestFit="1" customWidth="1"/>
    <col min="12" max="12" width="19.1796875" style="6" bestFit="1" customWidth="1"/>
    <col min="13" max="13" width="23.7265625" bestFit="1" customWidth="1"/>
    <col min="14" max="14" width="26.7265625" bestFit="1" customWidth="1"/>
    <col min="15" max="15" width="26.90625" bestFit="1" customWidth="1"/>
    <col min="16" max="16" width="19" bestFit="1" customWidth="1"/>
    <col min="17" max="17" width="25.1796875" bestFit="1" customWidth="1"/>
    <col min="18" max="18" width="20.6328125" bestFit="1" customWidth="1"/>
    <col min="19" max="19" width="11.1796875" customWidth="1"/>
    <col min="20" max="21" width="21.36328125" customWidth="1"/>
    <col min="22" max="22" width="20.90625" bestFit="1" customWidth="1"/>
    <col min="23" max="23" width="18.90625" bestFit="1" customWidth="1"/>
    <col min="25" max="27" width="11.1796875" customWidth="1"/>
    <col min="28" max="28" width="11.54296875" bestFit="1" customWidth="1"/>
  </cols>
  <sheetData>
    <row r="1" spans="1:12" s="1" customFormat="1" ht="44.15" customHeight="1" x14ac:dyDescent="0.35">
      <c r="A1" s="1" t="s">
        <v>0</v>
      </c>
      <c r="B1" s="1" t="s">
        <v>69</v>
      </c>
      <c r="C1" s="1" t="s">
        <v>522</v>
      </c>
      <c r="D1" s="1" t="s">
        <v>504</v>
      </c>
      <c r="E1" s="1" t="s">
        <v>514</v>
      </c>
    </row>
    <row r="2" spans="1:12" x14ac:dyDescent="0.35">
      <c r="A2" t="s">
        <v>71</v>
      </c>
      <c r="B2">
        <v>0</v>
      </c>
      <c r="C2" t="s">
        <v>523</v>
      </c>
      <c r="D2" t="s">
        <v>506</v>
      </c>
      <c r="E2" t="s">
        <v>520</v>
      </c>
      <c r="L2"/>
    </row>
    <row r="3" spans="1:12" x14ac:dyDescent="0.35">
      <c r="A3" t="s">
        <v>72</v>
      </c>
      <c r="B3">
        <v>0</v>
      </c>
      <c r="C3" t="s">
        <v>523</v>
      </c>
      <c r="D3" t="s">
        <v>506</v>
      </c>
      <c r="E3" t="s">
        <v>520</v>
      </c>
      <c r="L3"/>
    </row>
    <row r="4" spans="1:12" x14ac:dyDescent="0.35">
      <c r="A4" t="s">
        <v>2649</v>
      </c>
      <c r="B4">
        <v>-3</v>
      </c>
      <c r="C4" t="s">
        <v>523</v>
      </c>
      <c r="D4" t="s">
        <v>506</v>
      </c>
      <c r="E4" t="s">
        <v>516</v>
      </c>
      <c r="L4"/>
    </row>
    <row r="5" spans="1:12" x14ac:dyDescent="0.35">
      <c r="A5" t="s">
        <v>2650</v>
      </c>
      <c r="B5">
        <v>-3</v>
      </c>
      <c r="C5" t="s">
        <v>523</v>
      </c>
      <c r="D5" t="s">
        <v>513</v>
      </c>
      <c r="E5" t="s">
        <v>517</v>
      </c>
      <c r="L5"/>
    </row>
    <row r="6" spans="1:12" x14ac:dyDescent="0.35">
      <c r="A6" t="s">
        <v>2651</v>
      </c>
      <c r="B6">
        <v>0</v>
      </c>
      <c r="C6" t="s">
        <v>523</v>
      </c>
      <c r="D6" t="s">
        <v>513</v>
      </c>
      <c r="E6" t="s">
        <v>517</v>
      </c>
      <c r="L6"/>
    </row>
    <row r="7" spans="1:12" x14ac:dyDescent="0.35">
      <c r="A7" t="s">
        <v>2652</v>
      </c>
      <c r="B7">
        <v>0</v>
      </c>
      <c r="C7" t="s">
        <v>523</v>
      </c>
      <c r="D7" t="s">
        <v>513</v>
      </c>
      <c r="E7" t="s">
        <v>517</v>
      </c>
      <c r="L7"/>
    </row>
    <row r="8" spans="1:12" x14ac:dyDescent="0.35">
      <c r="A8" t="s">
        <v>2653</v>
      </c>
      <c r="B8">
        <v>0</v>
      </c>
      <c r="C8" t="s">
        <v>523</v>
      </c>
      <c r="D8" t="s">
        <v>506</v>
      </c>
      <c r="E8" t="s">
        <v>516</v>
      </c>
      <c r="L8"/>
    </row>
    <row r="9" spans="1:12" x14ac:dyDescent="0.35">
      <c r="A9" t="s">
        <v>2654</v>
      </c>
      <c r="B9">
        <v>0</v>
      </c>
      <c r="C9" t="s">
        <v>523</v>
      </c>
      <c r="D9" t="s">
        <v>508</v>
      </c>
      <c r="E9" t="s">
        <v>516</v>
      </c>
      <c r="L9"/>
    </row>
    <row r="10" spans="1:12" x14ac:dyDescent="0.35">
      <c r="A10" t="s">
        <v>2655</v>
      </c>
      <c r="B10">
        <v>0</v>
      </c>
      <c r="C10" t="s">
        <v>523</v>
      </c>
      <c r="D10" t="s">
        <v>513</v>
      </c>
      <c r="E10" t="s">
        <v>517</v>
      </c>
      <c r="L10"/>
    </row>
    <row r="11" spans="1:12" x14ac:dyDescent="0.35">
      <c r="A11" t="s">
        <v>2656</v>
      </c>
      <c r="B11">
        <v>-3</v>
      </c>
      <c r="C11" t="s">
        <v>523</v>
      </c>
      <c r="D11" t="s">
        <v>513</v>
      </c>
      <c r="E11" t="s">
        <v>517</v>
      </c>
      <c r="L11"/>
    </row>
    <row r="12" spans="1:12" x14ac:dyDescent="0.35">
      <c r="A12" t="s">
        <v>2657</v>
      </c>
      <c r="B12">
        <v>-3</v>
      </c>
      <c r="C12" t="s">
        <v>523</v>
      </c>
      <c r="D12" t="s">
        <v>506</v>
      </c>
      <c r="E12" t="s">
        <v>516</v>
      </c>
      <c r="L12"/>
    </row>
    <row r="13" spans="1:12" x14ac:dyDescent="0.35">
      <c r="A13" t="s">
        <v>2658</v>
      </c>
      <c r="B13">
        <v>-3</v>
      </c>
      <c r="C13" t="s">
        <v>523</v>
      </c>
      <c r="D13" t="s">
        <v>506</v>
      </c>
      <c r="E13" t="s">
        <v>516</v>
      </c>
      <c r="L13"/>
    </row>
    <row r="14" spans="1:12" x14ac:dyDescent="0.35">
      <c r="A14" t="s">
        <v>2659</v>
      </c>
      <c r="B14">
        <v>-3</v>
      </c>
      <c r="C14" t="s">
        <v>523</v>
      </c>
      <c r="D14" t="s">
        <v>506</v>
      </c>
      <c r="E14" t="s">
        <v>516</v>
      </c>
      <c r="L14"/>
    </row>
    <row r="15" spans="1:12" x14ac:dyDescent="0.35">
      <c r="A15" t="s">
        <v>2660</v>
      </c>
      <c r="B15">
        <v>-3</v>
      </c>
      <c r="C15" t="s">
        <v>523</v>
      </c>
      <c r="D15" t="s">
        <v>506</v>
      </c>
      <c r="E15" t="s">
        <v>516</v>
      </c>
      <c r="L15"/>
    </row>
    <row r="16" spans="1:12" x14ac:dyDescent="0.35">
      <c r="A16" t="s">
        <v>2661</v>
      </c>
      <c r="B16">
        <v>-3</v>
      </c>
      <c r="C16" t="s">
        <v>523</v>
      </c>
      <c r="D16" t="s">
        <v>506</v>
      </c>
      <c r="E16" t="s">
        <v>516</v>
      </c>
      <c r="L16"/>
    </row>
    <row r="17" spans="1:12" x14ac:dyDescent="0.35">
      <c r="A17" t="s">
        <v>2662</v>
      </c>
      <c r="B17">
        <v>-3</v>
      </c>
      <c r="C17" t="s">
        <v>523</v>
      </c>
      <c r="D17" t="s">
        <v>506</v>
      </c>
      <c r="E17" t="s">
        <v>516</v>
      </c>
      <c r="L17"/>
    </row>
    <row r="18" spans="1:12" x14ac:dyDescent="0.35">
      <c r="A18" t="s">
        <v>2663</v>
      </c>
      <c r="B18">
        <v>-3</v>
      </c>
      <c r="C18" t="s">
        <v>523</v>
      </c>
      <c r="D18" t="s">
        <v>506</v>
      </c>
      <c r="E18" t="s">
        <v>516</v>
      </c>
      <c r="L18"/>
    </row>
    <row r="19" spans="1:12" x14ac:dyDescent="0.35">
      <c r="A19" t="s">
        <v>2664</v>
      </c>
      <c r="B19">
        <v>-3</v>
      </c>
      <c r="C19" t="s">
        <v>523</v>
      </c>
      <c r="D19" t="s">
        <v>506</v>
      </c>
      <c r="E19" t="s">
        <v>516</v>
      </c>
      <c r="L19"/>
    </row>
    <row r="20" spans="1:12" x14ac:dyDescent="0.35">
      <c r="A20" t="s">
        <v>2665</v>
      </c>
      <c r="B20">
        <v>-3</v>
      </c>
      <c r="C20" t="s">
        <v>523</v>
      </c>
      <c r="D20" t="s">
        <v>506</v>
      </c>
      <c r="E20" t="s">
        <v>516</v>
      </c>
      <c r="L20"/>
    </row>
    <row r="21" spans="1:12" x14ac:dyDescent="0.35">
      <c r="A21" t="s">
        <v>2666</v>
      </c>
      <c r="B21">
        <v>-3</v>
      </c>
      <c r="C21" t="s">
        <v>523</v>
      </c>
      <c r="D21" t="s">
        <v>506</v>
      </c>
      <c r="E21" t="s">
        <v>516</v>
      </c>
      <c r="L21"/>
    </row>
    <row r="22" spans="1:12" x14ac:dyDescent="0.35">
      <c r="A22" t="s">
        <v>2667</v>
      </c>
      <c r="B22">
        <v>-3</v>
      </c>
      <c r="C22" t="s">
        <v>523</v>
      </c>
      <c r="D22" t="s">
        <v>506</v>
      </c>
      <c r="E22" t="s">
        <v>516</v>
      </c>
      <c r="L22"/>
    </row>
    <row r="23" spans="1:12" x14ac:dyDescent="0.35">
      <c r="A23" t="s">
        <v>2668</v>
      </c>
      <c r="B23">
        <v>-3</v>
      </c>
      <c r="C23" t="s">
        <v>523</v>
      </c>
      <c r="D23" t="s">
        <v>506</v>
      </c>
      <c r="E23" t="s">
        <v>516</v>
      </c>
      <c r="L23"/>
    </row>
    <row r="24" spans="1:12" x14ac:dyDescent="0.35">
      <c r="A24" t="s">
        <v>2669</v>
      </c>
      <c r="B24">
        <v>-3</v>
      </c>
      <c r="C24" t="s">
        <v>523</v>
      </c>
      <c r="D24" t="s">
        <v>506</v>
      </c>
      <c r="E24" t="s">
        <v>516</v>
      </c>
      <c r="L24"/>
    </row>
    <row r="25" spans="1:12" x14ac:dyDescent="0.35">
      <c r="A25" t="s">
        <v>2670</v>
      </c>
      <c r="B25">
        <v>-3</v>
      </c>
      <c r="C25" t="s">
        <v>523</v>
      </c>
      <c r="D25" t="s">
        <v>506</v>
      </c>
      <c r="E25" t="s">
        <v>516</v>
      </c>
      <c r="L25"/>
    </row>
    <row r="26" spans="1:12" x14ac:dyDescent="0.35">
      <c r="A26" t="s">
        <v>2671</v>
      </c>
      <c r="B26">
        <v>-3</v>
      </c>
      <c r="C26" t="s">
        <v>523</v>
      </c>
      <c r="D26" t="s">
        <v>506</v>
      </c>
      <c r="E26" t="s">
        <v>516</v>
      </c>
      <c r="L26"/>
    </row>
    <row r="27" spans="1:12" x14ac:dyDescent="0.35">
      <c r="A27" t="s">
        <v>2672</v>
      </c>
      <c r="B27">
        <v>-3</v>
      </c>
      <c r="C27" t="s">
        <v>523</v>
      </c>
      <c r="D27" t="s">
        <v>506</v>
      </c>
      <c r="E27" t="s">
        <v>516</v>
      </c>
      <c r="L27"/>
    </row>
    <row r="28" spans="1:12" x14ac:dyDescent="0.35">
      <c r="A28" t="s">
        <v>2673</v>
      </c>
      <c r="B28">
        <v>0</v>
      </c>
      <c r="C28" t="s">
        <v>523</v>
      </c>
      <c r="D28" t="s">
        <v>506</v>
      </c>
      <c r="E28" t="s">
        <v>516</v>
      </c>
      <c r="L28"/>
    </row>
    <row r="29" spans="1:12" x14ac:dyDescent="0.35">
      <c r="A29" t="s">
        <v>2674</v>
      </c>
      <c r="B29">
        <v>0</v>
      </c>
      <c r="C29" t="s">
        <v>523</v>
      </c>
      <c r="D29" t="s">
        <v>506</v>
      </c>
      <c r="E29" t="s">
        <v>516</v>
      </c>
      <c r="L29"/>
    </row>
    <row r="30" spans="1:12" x14ac:dyDescent="0.35">
      <c r="A30" t="s">
        <v>2675</v>
      </c>
      <c r="B30">
        <v>0</v>
      </c>
      <c r="C30" t="s">
        <v>523</v>
      </c>
      <c r="D30" t="s">
        <v>509</v>
      </c>
      <c r="E30" t="s">
        <v>515</v>
      </c>
      <c r="L30"/>
    </row>
    <row r="31" spans="1:12" x14ac:dyDescent="0.35">
      <c r="A31" t="s">
        <v>2676</v>
      </c>
      <c r="B31">
        <v>0</v>
      </c>
      <c r="C31" t="s">
        <v>523</v>
      </c>
      <c r="D31" t="s">
        <v>506</v>
      </c>
      <c r="E31" t="s">
        <v>516</v>
      </c>
      <c r="L31"/>
    </row>
    <row r="32" spans="1:12" x14ac:dyDescent="0.35">
      <c r="A32" t="s">
        <v>2677</v>
      </c>
      <c r="B32">
        <v>0</v>
      </c>
      <c r="C32" t="s">
        <v>523</v>
      </c>
      <c r="D32" t="s">
        <v>506</v>
      </c>
      <c r="E32" t="s">
        <v>516</v>
      </c>
      <c r="L32"/>
    </row>
    <row r="33" spans="1:12" x14ac:dyDescent="0.35">
      <c r="A33" t="s">
        <v>2678</v>
      </c>
      <c r="B33">
        <v>0</v>
      </c>
      <c r="C33" t="s">
        <v>523</v>
      </c>
      <c r="D33" t="s">
        <v>506</v>
      </c>
      <c r="E33" t="s">
        <v>516</v>
      </c>
      <c r="L33"/>
    </row>
    <row r="34" spans="1:12" x14ac:dyDescent="0.35">
      <c r="A34" t="s">
        <v>2679</v>
      </c>
      <c r="B34">
        <v>0</v>
      </c>
      <c r="C34" t="s">
        <v>523</v>
      </c>
      <c r="D34" t="s">
        <v>506</v>
      </c>
      <c r="E34" t="s">
        <v>516</v>
      </c>
      <c r="L34"/>
    </row>
    <row r="35" spans="1:12" x14ac:dyDescent="0.35">
      <c r="A35" t="s">
        <v>2680</v>
      </c>
      <c r="B35">
        <v>0</v>
      </c>
      <c r="C35" t="s">
        <v>523</v>
      </c>
      <c r="D35" t="s">
        <v>513</v>
      </c>
      <c r="E35" t="s">
        <v>517</v>
      </c>
      <c r="L35"/>
    </row>
    <row r="36" spans="1:12" x14ac:dyDescent="0.35">
      <c r="A36" t="s">
        <v>2681</v>
      </c>
      <c r="B36">
        <v>0</v>
      </c>
      <c r="C36" t="s">
        <v>523</v>
      </c>
      <c r="D36" t="s">
        <v>506</v>
      </c>
      <c r="E36" t="s">
        <v>516</v>
      </c>
      <c r="L36"/>
    </row>
    <row r="37" spans="1:12" x14ac:dyDescent="0.35">
      <c r="A37" t="s">
        <v>2682</v>
      </c>
      <c r="B37">
        <v>0</v>
      </c>
      <c r="C37" t="s">
        <v>523</v>
      </c>
      <c r="D37" t="s">
        <v>506</v>
      </c>
      <c r="E37" t="s">
        <v>516</v>
      </c>
      <c r="L37"/>
    </row>
    <row r="38" spans="1:12" x14ac:dyDescent="0.35">
      <c r="A38" t="s">
        <v>2683</v>
      </c>
      <c r="B38">
        <v>0</v>
      </c>
      <c r="C38" t="s">
        <v>523</v>
      </c>
      <c r="D38" t="s">
        <v>506</v>
      </c>
      <c r="E38" t="s">
        <v>516</v>
      </c>
      <c r="L38"/>
    </row>
    <row r="39" spans="1:12" x14ac:dyDescent="0.35">
      <c r="A39" t="s">
        <v>2684</v>
      </c>
      <c r="B39">
        <v>0</v>
      </c>
      <c r="C39" t="s">
        <v>523</v>
      </c>
      <c r="D39" t="s">
        <v>506</v>
      </c>
      <c r="E39" t="s">
        <v>516</v>
      </c>
      <c r="L39"/>
    </row>
    <row r="40" spans="1:12" x14ac:dyDescent="0.35">
      <c r="A40" t="s">
        <v>2685</v>
      </c>
      <c r="B40">
        <v>0</v>
      </c>
      <c r="C40" t="s">
        <v>523</v>
      </c>
      <c r="D40" t="s">
        <v>506</v>
      </c>
      <c r="E40" t="s">
        <v>516</v>
      </c>
      <c r="L40"/>
    </row>
    <row r="41" spans="1:12" x14ac:dyDescent="0.35">
      <c r="A41" t="s">
        <v>2686</v>
      </c>
      <c r="B41">
        <v>0</v>
      </c>
      <c r="C41" t="s">
        <v>523</v>
      </c>
      <c r="D41" t="s">
        <v>506</v>
      </c>
      <c r="E41" t="s">
        <v>516</v>
      </c>
      <c r="L41"/>
    </row>
    <row r="42" spans="1:12" x14ac:dyDescent="0.35">
      <c r="A42" t="s">
        <v>2687</v>
      </c>
      <c r="B42">
        <v>0</v>
      </c>
      <c r="C42" t="s">
        <v>523</v>
      </c>
      <c r="D42" t="s">
        <v>506</v>
      </c>
      <c r="E42" t="s">
        <v>516</v>
      </c>
      <c r="L42"/>
    </row>
    <row r="43" spans="1:12" x14ac:dyDescent="0.35">
      <c r="A43" t="s">
        <v>2688</v>
      </c>
      <c r="B43">
        <v>0</v>
      </c>
      <c r="C43" t="s">
        <v>523</v>
      </c>
      <c r="D43" t="s">
        <v>506</v>
      </c>
      <c r="E43" t="s">
        <v>516</v>
      </c>
      <c r="L43"/>
    </row>
    <row r="44" spans="1:12" x14ac:dyDescent="0.35">
      <c r="A44" t="s">
        <v>2689</v>
      </c>
      <c r="B44">
        <v>0</v>
      </c>
      <c r="C44" t="s">
        <v>523</v>
      </c>
      <c r="D44" t="s">
        <v>506</v>
      </c>
      <c r="E44" t="s">
        <v>516</v>
      </c>
      <c r="L44"/>
    </row>
    <row r="45" spans="1:12" x14ac:dyDescent="0.35">
      <c r="A45" t="s">
        <v>2690</v>
      </c>
      <c r="B45">
        <v>0</v>
      </c>
      <c r="C45" t="s">
        <v>523</v>
      </c>
      <c r="D45" t="s">
        <v>506</v>
      </c>
      <c r="E45" t="s">
        <v>516</v>
      </c>
      <c r="L45"/>
    </row>
    <row r="46" spans="1:12" x14ac:dyDescent="0.35">
      <c r="A46" t="s">
        <v>2691</v>
      </c>
      <c r="B46">
        <v>0</v>
      </c>
      <c r="C46" t="s">
        <v>523</v>
      </c>
      <c r="D46" t="s">
        <v>506</v>
      </c>
      <c r="E46" t="s">
        <v>516</v>
      </c>
      <c r="L46"/>
    </row>
    <row r="47" spans="1:12" x14ac:dyDescent="0.35">
      <c r="A47" t="s">
        <v>2692</v>
      </c>
      <c r="B47">
        <v>0</v>
      </c>
      <c r="C47" t="s">
        <v>523</v>
      </c>
      <c r="D47" t="s">
        <v>506</v>
      </c>
      <c r="E47" t="s">
        <v>516</v>
      </c>
      <c r="L47"/>
    </row>
    <row r="48" spans="1:12" x14ac:dyDescent="0.35">
      <c r="A48" t="s">
        <v>3454</v>
      </c>
      <c r="B48">
        <v>0</v>
      </c>
      <c r="C48" t="s">
        <v>523</v>
      </c>
      <c r="D48" t="s">
        <v>506</v>
      </c>
      <c r="E48" t="s">
        <v>516</v>
      </c>
      <c r="L48"/>
    </row>
    <row r="49" spans="1:12" x14ac:dyDescent="0.35">
      <c r="A49" t="s">
        <v>2693</v>
      </c>
      <c r="B49">
        <v>0</v>
      </c>
      <c r="C49" t="s">
        <v>523</v>
      </c>
      <c r="D49" t="s">
        <v>506</v>
      </c>
      <c r="E49" t="s">
        <v>516</v>
      </c>
      <c r="L49"/>
    </row>
    <row r="50" spans="1:12" x14ac:dyDescent="0.35">
      <c r="A50" t="s">
        <v>2694</v>
      </c>
      <c r="B50">
        <v>0</v>
      </c>
      <c r="C50" t="s">
        <v>523</v>
      </c>
      <c r="D50" t="s">
        <v>506</v>
      </c>
      <c r="E50" t="s">
        <v>516</v>
      </c>
      <c r="L50"/>
    </row>
    <row r="51" spans="1:12" x14ac:dyDescent="0.35">
      <c r="A51" t="s">
        <v>2695</v>
      </c>
      <c r="B51">
        <v>0</v>
      </c>
      <c r="C51" t="s">
        <v>523</v>
      </c>
      <c r="D51" t="s">
        <v>506</v>
      </c>
      <c r="E51" t="s">
        <v>516</v>
      </c>
      <c r="L51"/>
    </row>
    <row r="52" spans="1:12" x14ac:dyDescent="0.35">
      <c r="A52" t="s">
        <v>2696</v>
      </c>
      <c r="B52">
        <v>-3</v>
      </c>
      <c r="C52" t="s">
        <v>523</v>
      </c>
      <c r="D52" t="s">
        <v>506</v>
      </c>
      <c r="E52" t="s">
        <v>516</v>
      </c>
      <c r="L52"/>
    </row>
    <row r="53" spans="1:12" x14ac:dyDescent="0.35">
      <c r="A53" t="s">
        <v>3471</v>
      </c>
      <c r="B53">
        <v>-3</v>
      </c>
      <c r="C53" t="s">
        <v>523</v>
      </c>
      <c r="D53" t="s">
        <v>506</v>
      </c>
      <c r="E53" t="s">
        <v>516</v>
      </c>
      <c r="L53"/>
    </row>
    <row r="54" spans="1:12" x14ac:dyDescent="0.35">
      <c r="A54" t="s">
        <v>2697</v>
      </c>
      <c r="B54">
        <v>0</v>
      </c>
      <c r="C54" t="s">
        <v>523</v>
      </c>
      <c r="D54" t="s">
        <v>506</v>
      </c>
      <c r="E54" t="s">
        <v>516</v>
      </c>
      <c r="L54"/>
    </row>
    <row r="55" spans="1:12" x14ac:dyDescent="0.35">
      <c r="A55" t="s">
        <v>2698</v>
      </c>
      <c r="B55">
        <v>-3</v>
      </c>
      <c r="C55" t="s">
        <v>523</v>
      </c>
      <c r="D55" t="s">
        <v>506</v>
      </c>
      <c r="E55" t="s">
        <v>516</v>
      </c>
      <c r="L55"/>
    </row>
    <row r="56" spans="1:12" x14ac:dyDescent="0.35">
      <c r="A56" t="s">
        <v>2699</v>
      </c>
      <c r="B56">
        <v>0</v>
      </c>
      <c r="C56" t="s">
        <v>523</v>
      </c>
      <c r="D56" t="s">
        <v>506</v>
      </c>
      <c r="E56" t="s">
        <v>516</v>
      </c>
      <c r="L56"/>
    </row>
    <row r="57" spans="1:12" x14ac:dyDescent="0.35">
      <c r="A57" t="s">
        <v>2700</v>
      </c>
      <c r="B57">
        <v>0</v>
      </c>
      <c r="C57" t="s">
        <v>523</v>
      </c>
      <c r="D57" t="s">
        <v>506</v>
      </c>
      <c r="E57" t="s">
        <v>516</v>
      </c>
      <c r="L57"/>
    </row>
    <row r="58" spans="1:12" x14ac:dyDescent="0.35">
      <c r="A58" t="s">
        <v>2701</v>
      </c>
      <c r="B58">
        <v>-3</v>
      </c>
      <c r="C58" t="s">
        <v>523</v>
      </c>
      <c r="D58" t="s">
        <v>506</v>
      </c>
      <c r="E58" t="s">
        <v>516</v>
      </c>
      <c r="L58"/>
    </row>
    <row r="59" spans="1:12" x14ac:dyDescent="0.35">
      <c r="A59" t="s">
        <v>2702</v>
      </c>
      <c r="B59">
        <v>0</v>
      </c>
      <c r="C59" t="s">
        <v>523</v>
      </c>
      <c r="D59" t="s">
        <v>506</v>
      </c>
      <c r="E59" t="s">
        <v>516</v>
      </c>
      <c r="L59"/>
    </row>
    <row r="60" spans="1:12" x14ac:dyDescent="0.35">
      <c r="A60" t="s">
        <v>2703</v>
      </c>
      <c r="B60">
        <v>0</v>
      </c>
      <c r="C60" t="s">
        <v>523</v>
      </c>
      <c r="D60" t="s">
        <v>506</v>
      </c>
      <c r="E60" t="s">
        <v>516</v>
      </c>
      <c r="L60"/>
    </row>
    <row r="61" spans="1:12" x14ac:dyDescent="0.35">
      <c r="A61" t="s">
        <v>2704</v>
      </c>
      <c r="B61">
        <v>0</v>
      </c>
      <c r="C61" t="s">
        <v>523</v>
      </c>
      <c r="D61" t="s">
        <v>506</v>
      </c>
      <c r="E61" t="s">
        <v>516</v>
      </c>
      <c r="L61"/>
    </row>
    <row r="62" spans="1:12" x14ac:dyDescent="0.35">
      <c r="A62" t="s">
        <v>2705</v>
      </c>
      <c r="B62">
        <v>-3</v>
      </c>
      <c r="C62" t="s">
        <v>523</v>
      </c>
      <c r="D62" t="s">
        <v>506</v>
      </c>
      <c r="E62" t="s">
        <v>516</v>
      </c>
      <c r="L62"/>
    </row>
    <row r="63" spans="1:12" x14ac:dyDescent="0.35">
      <c r="A63" t="s">
        <v>2706</v>
      </c>
      <c r="B63">
        <v>0</v>
      </c>
      <c r="C63" t="s">
        <v>523</v>
      </c>
      <c r="D63" t="s">
        <v>506</v>
      </c>
      <c r="E63" t="s">
        <v>516</v>
      </c>
      <c r="L63"/>
    </row>
    <row r="64" spans="1:12" x14ac:dyDescent="0.35">
      <c r="A64" t="s">
        <v>2707</v>
      </c>
      <c r="B64">
        <v>0</v>
      </c>
      <c r="C64" t="s">
        <v>523</v>
      </c>
      <c r="D64" t="s">
        <v>506</v>
      </c>
      <c r="E64" t="s">
        <v>516</v>
      </c>
      <c r="L64"/>
    </row>
    <row r="65" spans="1:12" x14ac:dyDescent="0.35">
      <c r="A65" t="s">
        <v>2708</v>
      </c>
      <c r="B65">
        <v>0</v>
      </c>
      <c r="C65" t="s">
        <v>523</v>
      </c>
      <c r="D65" t="s">
        <v>506</v>
      </c>
      <c r="E65" t="s">
        <v>516</v>
      </c>
      <c r="L65"/>
    </row>
    <row r="66" spans="1:12" x14ac:dyDescent="0.35">
      <c r="A66" t="s">
        <v>2709</v>
      </c>
      <c r="B66">
        <v>-3</v>
      </c>
      <c r="C66" t="s">
        <v>523</v>
      </c>
      <c r="D66" t="s">
        <v>513</v>
      </c>
      <c r="E66" t="s">
        <v>517</v>
      </c>
      <c r="L66"/>
    </row>
    <row r="67" spans="1:12" x14ac:dyDescent="0.35">
      <c r="A67" t="s">
        <v>2710</v>
      </c>
      <c r="B67">
        <v>0</v>
      </c>
      <c r="C67" t="s">
        <v>523</v>
      </c>
      <c r="D67" t="s">
        <v>513</v>
      </c>
      <c r="E67" t="s">
        <v>515</v>
      </c>
      <c r="L67"/>
    </row>
    <row r="68" spans="1:12" x14ac:dyDescent="0.35">
      <c r="A68" t="s">
        <v>2711</v>
      </c>
      <c r="B68">
        <v>-3</v>
      </c>
      <c r="C68" t="s">
        <v>523</v>
      </c>
      <c r="D68" t="s">
        <v>513</v>
      </c>
      <c r="E68" t="s">
        <v>517</v>
      </c>
      <c r="L68"/>
    </row>
    <row r="69" spans="1:12" x14ac:dyDescent="0.35">
      <c r="A69" t="s">
        <v>2712</v>
      </c>
      <c r="B69">
        <v>0</v>
      </c>
      <c r="C69" t="s">
        <v>523</v>
      </c>
      <c r="D69" t="s">
        <v>513</v>
      </c>
      <c r="E69" t="s">
        <v>515</v>
      </c>
      <c r="L69"/>
    </row>
    <row r="70" spans="1:12" x14ac:dyDescent="0.35">
      <c r="A70" t="s">
        <v>2713</v>
      </c>
      <c r="B70">
        <v>0</v>
      </c>
      <c r="C70" t="s">
        <v>523</v>
      </c>
      <c r="D70" t="s">
        <v>513</v>
      </c>
      <c r="E70" t="s">
        <v>515</v>
      </c>
      <c r="L70"/>
    </row>
    <row r="71" spans="1:12" x14ac:dyDescent="0.35">
      <c r="A71" t="s">
        <v>2714</v>
      </c>
      <c r="B71">
        <v>-3</v>
      </c>
      <c r="C71" t="s">
        <v>523</v>
      </c>
      <c r="D71" t="s">
        <v>513</v>
      </c>
      <c r="E71" t="s">
        <v>517</v>
      </c>
      <c r="L71"/>
    </row>
    <row r="72" spans="1:12" x14ac:dyDescent="0.35">
      <c r="A72" t="s">
        <v>2715</v>
      </c>
      <c r="B72">
        <v>-3</v>
      </c>
      <c r="C72" t="s">
        <v>523</v>
      </c>
      <c r="D72" t="s">
        <v>513</v>
      </c>
      <c r="E72" t="s">
        <v>517</v>
      </c>
      <c r="L72"/>
    </row>
    <row r="73" spans="1:12" x14ac:dyDescent="0.35">
      <c r="A73" t="s">
        <v>2716</v>
      </c>
      <c r="B73">
        <v>-3</v>
      </c>
      <c r="C73" t="s">
        <v>523</v>
      </c>
      <c r="D73" t="s">
        <v>513</v>
      </c>
      <c r="E73" t="s">
        <v>517</v>
      </c>
      <c r="L73"/>
    </row>
    <row r="74" spans="1:12" x14ac:dyDescent="0.35">
      <c r="A74" t="s">
        <v>2717</v>
      </c>
      <c r="B74">
        <v>0</v>
      </c>
      <c r="C74" t="s">
        <v>523</v>
      </c>
      <c r="D74" t="s">
        <v>513</v>
      </c>
      <c r="E74" t="s">
        <v>515</v>
      </c>
      <c r="L74"/>
    </row>
    <row r="75" spans="1:12" x14ac:dyDescent="0.35">
      <c r="A75" t="s">
        <v>2718</v>
      </c>
      <c r="B75">
        <v>0</v>
      </c>
      <c r="C75" t="s">
        <v>523</v>
      </c>
      <c r="D75" t="s">
        <v>513</v>
      </c>
      <c r="E75" t="s">
        <v>517</v>
      </c>
      <c r="L75"/>
    </row>
    <row r="76" spans="1:12" x14ac:dyDescent="0.35">
      <c r="A76" t="s">
        <v>2719</v>
      </c>
      <c r="B76">
        <v>0</v>
      </c>
      <c r="C76" t="s">
        <v>523</v>
      </c>
      <c r="D76" t="s">
        <v>513</v>
      </c>
      <c r="E76" t="s">
        <v>517</v>
      </c>
      <c r="L76"/>
    </row>
    <row r="77" spans="1:12" x14ac:dyDescent="0.35">
      <c r="A77" t="s">
        <v>2720</v>
      </c>
      <c r="B77">
        <v>0</v>
      </c>
      <c r="C77" t="s">
        <v>523</v>
      </c>
      <c r="D77" t="s">
        <v>513</v>
      </c>
      <c r="E77" t="s">
        <v>515</v>
      </c>
      <c r="L77"/>
    </row>
    <row r="78" spans="1:12" x14ac:dyDescent="0.35">
      <c r="A78" t="s">
        <v>3450</v>
      </c>
      <c r="B78">
        <v>-3</v>
      </c>
      <c r="C78" t="s">
        <v>523</v>
      </c>
      <c r="D78" t="s">
        <v>513</v>
      </c>
      <c r="E78" t="s">
        <v>517</v>
      </c>
      <c r="L78"/>
    </row>
    <row r="79" spans="1:12" x14ac:dyDescent="0.35">
      <c r="A79" t="s">
        <v>2721</v>
      </c>
      <c r="B79">
        <v>-3</v>
      </c>
      <c r="C79" t="s">
        <v>523</v>
      </c>
      <c r="D79" t="s">
        <v>513</v>
      </c>
      <c r="E79" t="s">
        <v>517</v>
      </c>
      <c r="L79"/>
    </row>
    <row r="80" spans="1:12" x14ac:dyDescent="0.35">
      <c r="A80" t="s">
        <v>2722</v>
      </c>
      <c r="B80">
        <v>0</v>
      </c>
      <c r="C80" t="s">
        <v>523</v>
      </c>
      <c r="D80" t="s">
        <v>513</v>
      </c>
      <c r="E80" t="s">
        <v>515</v>
      </c>
      <c r="L80"/>
    </row>
    <row r="81" spans="1:12" x14ac:dyDescent="0.35">
      <c r="A81" t="s">
        <v>2723</v>
      </c>
      <c r="B81">
        <v>0</v>
      </c>
      <c r="C81" t="s">
        <v>523</v>
      </c>
      <c r="D81" t="s">
        <v>513</v>
      </c>
      <c r="E81" t="s">
        <v>515</v>
      </c>
      <c r="L81"/>
    </row>
    <row r="82" spans="1:12" x14ac:dyDescent="0.35">
      <c r="A82" t="s">
        <v>3472</v>
      </c>
      <c r="B82">
        <v>-3</v>
      </c>
      <c r="C82" t="s">
        <v>523</v>
      </c>
      <c r="D82" t="s">
        <v>513</v>
      </c>
      <c r="E82" t="s">
        <v>517</v>
      </c>
      <c r="L82"/>
    </row>
    <row r="83" spans="1:12" x14ac:dyDescent="0.35">
      <c r="A83" t="s">
        <v>2724</v>
      </c>
      <c r="B83">
        <v>0</v>
      </c>
      <c r="C83" t="s">
        <v>523</v>
      </c>
      <c r="D83" t="s">
        <v>513</v>
      </c>
      <c r="E83" t="s">
        <v>515</v>
      </c>
      <c r="L83"/>
    </row>
    <row r="84" spans="1:12" x14ac:dyDescent="0.35">
      <c r="A84" t="s">
        <v>2725</v>
      </c>
      <c r="B84">
        <v>-3</v>
      </c>
      <c r="C84" t="s">
        <v>523</v>
      </c>
      <c r="D84" t="s">
        <v>513</v>
      </c>
      <c r="E84" t="s">
        <v>517</v>
      </c>
      <c r="L84"/>
    </row>
    <row r="85" spans="1:12" x14ac:dyDescent="0.35">
      <c r="A85" t="s">
        <v>2726</v>
      </c>
      <c r="B85">
        <v>0</v>
      </c>
      <c r="C85" t="s">
        <v>523</v>
      </c>
      <c r="D85" t="s">
        <v>513</v>
      </c>
      <c r="E85" t="s">
        <v>517</v>
      </c>
      <c r="L85"/>
    </row>
    <row r="86" spans="1:12" x14ac:dyDescent="0.35">
      <c r="A86" t="s">
        <v>2727</v>
      </c>
      <c r="B86">
        <v>0</v>
      </c>
      <c r="C86" t="s">
        <v>523</v>
      </c>
      <c r="D86" t="s">
        <v>513</v>
      </c>
      <c r="E86" t="s">
        <v>515</v>
      </c>
      <c r="L86"/>
    </row>
    <row r="87" spans="1:12" x14ac:dyDescent="0.35">
      <c r="A87" t="s">
        <v>2728</v>
      </c>
      <c r="B87">
        <v>0</v>
      </c>
      <c r="C87" t="s">
        <v>523</v>
      </c>
      <c r="D87" t="s">
        <v>513</v>
      </c>
      <c r="E87" t="s">
        <v>515</v>
      </c>
      <c r="L87"/>
    </row>
    <row r="88" spans="1:12" x14ac:dyDescent="0.35">
      <c r="A88" t="s">
        <v>2729</v>
      </c>
      <c r="B88">
        <v>0</v>
      </c>
      <c r="C88" t="s">
        <v>523</v>
      </c>
      <c r="D88" t="s">
        <v>513</v>
      </c>
      <c r="E88" t="s">
        <v>515</v>
      </c>
      <c r="L88"/>
    </row>
    <row r="89" spans="1:12" x14ac:dyDescent="0.35">
      <c r="A89" t="s">
        <v>2730</v>
      </c>
      <c r="B89">
        <v>-3</v>
      </c>
      <c r="C89" t="s">
        <v>523</v>
      </c>
      <c r="D89" t="s">
        <v>513</v>
      </c>
      <c r="E89" t="s">
        <v>517</v>
      </c>
      <c r="L89"/>
    </row>
    <row r="90" spans="1:12" x14ac:dyDescent="0.35">
      <c r="A90" t="s">
        <v>2731</v>
      </c>
      <c r="B90">
        <v>0</v>
      </c>
      <c r="C90" t="s">
        <v>523</v>
      </c>
      <c r="D90" t="s">
        <v>513</v>
      </c>
      <c r="E90" t="s">
        <v>515</v>
      </c>
      <c r="L90"/>
    </row>
    <row r="91" spans="1:12" x14ac:dyDescent="0.35">
      <c r="A91" t="s">
        <v>2732</v>
      </c>
      <c r="B91">
        <v>0</v>
      </c>
      <c r="C91" t="s">
        <v>523</v>
      </c>
      <c r="D91" t="s">
        <v>513</v>
      </c>
      <c r="E91" t="s">
        <v>515</v>
      </c>
      <c r="L91"/>
    </row>
    <row r="92" spans="1:12" x14ac:dyDescent="0.35">
      <c r="A92" t="s">
        <v>2733</v>
      </c>
      <c r="B92">
        <v>-3</v>
      </c>
      <c r="C92" t="s">
        <v>523</v>
      </c>
      <c r="D92" t="s">
        <v>513</v>
      </c>
      <c r="E92" t="s">
        <v>515</v>
      </c>
      <c r="L92"/>
    </row>
    <row r="93" spans="1:12" x14ac:dyDescent="0.35">
      <c r="A93" t="s">
        <v>2734</v>
      </c>
      <c r="B93">
        <v>0</v>
      </c>
      <c r="C93" t="s">
        <v>523</v>
      </c>
      <c r="D93" t="s">
        <v>513</v>
      </c>
      <c r="E93" t="s">
        <v>515</v>
      </c>
      <c r="L93"/>
    </row>
    <row r="94" spans="1:12" x14ac:dyDescent="0.35">
      <c r="A94" t="s">
        <v>2735</v>
      </c>
      <c r="B94">
        <v>0</v>
      </c>
      <c r="C94" t="s">
        <v>523</v>
      </c>
      <c r="D94" t="s">
        <v>513</v>
      </c>
      <c r="E94" t="s">
        <v>515</v>
      </c>
      <c r="L94"/>
    </row>
    <row r="95" spans="1:12" x14ac:dyDescent="0.35">
      <c r="A95" t="s">
        <v>2736</v>
      </c>
      <c r="B95">
        <v>0</v>
      </c>
      <c r="C95" t="s">
        <v>523</v>
      </c>
      <c r="D95" t="s">
        <v>513</v>
      </c>
      <c r="E95" t="s">
        <v>515</v>
      </c>
      <c r="L95"/>
    </row>
    <row r="96" spans="1:12" x14ac:dyDescent="0.35">
      <c r="A96" t="s">
        <v>2737</v>
      </c>
      <c r="B96">
        <v>0</v>
      </c>
      <c r="C96" t="s">
        <v>523</v>
      </c>
      <c r="D96" t="s">
        <v>513</v>
      </c>
      <c r="E96" t="s">
        <v>515</v>
      </c>
      <c r="L96"/>
    </row>
    <row r="97" spans="1:12" x14ac:dyDescent="0.35">
      <c r="A97" t="s">
        <v>2738</v>
      </c>
      <c r="B97">
        <v>0</v>
      </c>
      <c r="C97" t="s">
        <v>523</v>
      </c>
      <c r="D97" t="s">
        <v>513</v>
      </c>
      <c r="E97" t="s">
        <v>515</v>
      </c>
      <c r="L97"/>
    </row>
    <row r="98" spans="1:12" x14ac:dyDescent="0.35">
      <c r="A98" t="s">
        <v>2739</v>
      </c>
      <c r="B98">
        <v>-3</v>
      </c>
      <c r="C98" t="s">
        <v>523</v>
      </c>
      <c r="D98" t="s">
        <v>513</v>
      </c>
      <c r="E98" t="s">
        <v>517</v>
      </c>
      <c r="L98"/>
    </row>
    <row r="99" spans="1:12" x14ac:dyDescent="0.35">
      <c r="A99" t="s">
        <v>2740</v>
      </c>
      <c r="B99">
        <v>-3</v>
      </c>
      <c r="C99" t="s">
        <v>523</v>
      </c>
      <c r="D99" t="s">
        <v>513</v>
      </c>
      <c r="E99" t="s">
        <v>517</v>
      </c>
      <c r="L99"/>
    </row>
    <row r="100" spans="1:12" x14ac:dyDescent="0.35">
      <c r="A100" t="s">
        <v>2741</v>
      </c>
      <c r="B100">
        <v>0</v>
      </c>
      <c r="C100" t="s">
        <v>523</v>
      </c>
      <c r="D100" t="s">
        <v>513</v>
      </c>
      <c r="E100" t="s">
        <v>515</v>
      </c>
      <c r="L100"/>
    </row>
    <row r="101" spans="1:12" x14ac:dyDescent="0.35">
      <c r="A101" t="s">
        <v>2742</v>
      </c>
      <c r="B101">
        <v>0</v>
      </c>
      <c r="C101" t="s">
        <v>523</v>
      </c>
      <c r="D101" t="s">
        <v>513</v>
      </c>
      <c r="E101" t="s">
        <v>521</v>
      </c>
      <c r="L101"/>
    </row>
    <row r="102" spans="1:12" x14ac:dyDescent="0.35">
      <c r="A102" t="s">
        <v>2743</v>
      </c>
      <c r="B102">
        <v>0</v>
      </c>
      <c r="C102" t="s">
        <v>523</v>
      </c>
      <c r="D102" t="s">
        <v>513</v>
      </c>
      <c r="E102" t="s">
        <v>515</v>
      </c>
      <c r="L102"/>
    </row>
    <row r="103" spans="1:12" x14ac:dyDescent="0.35">
      <c r="A103" t="s">
        <v>2744</v>
      </c>
      <c r="B103">
        <v>0</v>
      </c>
      <c r="C103" t="s">
        <v>523</v>
      </c>
      <c r="D103" t="s">
        <v>513</v>
      </c>
      <c r="E103" t="s">
        <v>515</v>
      </c>
      <c r="L103"/>
    </row>
    <row r="104" spans="1:12" x14ac:dyDescent="0.35">
      <c r="A104" t="s">
        <v>2745</v>
      </c>
      <c r="B104">
        <v>0</v>
      </c>
      <c r="C104" t="s">
        <v>523</v>
      </c>
      <c r="D104" t="s">
        <v>513</v>
      </c>
      <c r="E104" t="s">
        <v>515</v>
      </c>
      <c r="L104"/>
    </row>
    <row r="105" spans="1:12" x14ac:dyDescent="0.35">
      <c r="A105" t="s">
        <v>2746</v>
      </c>
      <c r="B105">
        <v>0</v>
      </c>
      <c r="C105" t="s">
        <v>523</v>
      </c>
      <c r="D105" t="s">
        <v>513</v>
      </c>
      <c r="E105" t="s">
        <v>515</v>
      </c>
      <c r="L105"/>
    </row>
    <row r="106" spans="1:12" x14ac:dyDescent="0.35">
      <c r="A106" t="s">
        <v>2747</v>
      </c>
      <c r="B106">
        <v>0</v>
      </c>
      <c r="C106" t="s">
        <v>523</v>
      </c>
      <c r="D106" t="s">
        <v>513</v>
      </c>
      <c r="E106" t="s">
        <v>515</v>
      </c>
      <c r="L106"/>
    </row>
    <row r="107" spans="1:12" x14ac:dyDescent="0.35">
      <c r="A107" t="s">
        <v>2748</v>
      </c>
      <c r="B107">
        <v>0</v>
      </c>
      <c r="C107" t="s">
        <v>523</v>
      </c>
      <c r="D107" t="s">
        <v>513</v>
      </c>
      <c r="E107" t="s">
        <v>517</v>
      </c>
      <c r="L107"/>
    </row>
    <row r="108" spans="1:12" x14ac:dyDescent="0.35">
      <c r="A108" t="s">
        <v>2749</v>
      </c>
      <c r="B108">
        <v>0</v>
      </c>
      <c r="C108" t="s">
        <v>523</v>
      </c>
      <c r="D108" t="s">
        <v>513</v>
      </c>
      <c r="E108" t="s">
        <v>515</v>
      </c>
      <c r="L108"/>
    </row>
    <row r="109" spans="1:12" x14ac:dyDescent="0.35">
      <c r="A109" t="s">
        <v>2750</v>
      </c>
      <c r="B109">
        <v>0</v>
      </c>
      <c r="C109" t="s">
        <v>523</v>
      </c>
      <c r="D109" t="s">
        <v>513</v>
      </c>
      <c r="E109" t="s">
        <v>515</v>
      </c>
      <c r="L109"/>
    </row>
    <row r="110" spans="1:12" x14ac:dyDescent="0.35">
      <c r="A110" t="s">
        <v>2751</v>
      </c>
      <c r="B110">
        <v>0</v>
      </c>
      <c r="C110" t="s">
        <v>523</v>
      </c>
      <c r="D110" t="s">
        <v>513</v>
      </c>
      <c r="E110" t="s">
        <v>517</v>
      </c>
      <c r="L110"/>
    </row>
    <row r="111" spans="1:12" x14ac:dyDescent="0.35">
      <c r="A111" t="s">
        <v>2752</v>
      </c>
      <c r="B111">
        <v>0</v>
      </c>
      <c r="C111" t="s">
        <v>523</v>
      </c>
      <c r="D111" t="s">
        <v>513</v>
      </c>
      <c r="E111" t="s">
        <v>515</v>
      </c>
      <c r="L111"/>
    </row>
    <row r="112" spans="1:12" x14ac:dyDescent="0.35">
      <c r="A112" t="s">
        <v>2753</v>
      </c>
      <c r="B112">
        <v>0</v>
      </c>
      <c r="C112" t="s">
        <v>523</v>
      </c>
      <c r="D112" t="s">
        <v>513</v>
      </c>
      <c r="E112" t="s">
        <v>517</v>
      </c>
      <c r="L112"/>
    </row>
    <row r="113" spans="1:12" x14ac:dyDescent="0.35">
      <c r="A113" t="s">
        <v>2754</v>
      </c>
      <c r="B113">
        <v>0</v>
      </c>
      <c r="C113" t="s">
        <v>523</v>
      </c>
      <c r="D113" t="s">
        <v>513</v>
      </c>
      <c r="E113" t="s">
        <v>515</v>
      </c>
      <c r="L113"/>
    </row>
    <row r="114" spans="1:12" x14ac:dyDescent="0.35">
      <c r="A114" t="s">
        <v>2755</v>
      </c>
      <c r="B114">
        <v>0</v>
      </c>
      <c r="C114" t="s">
        <v>523</v>
      </c>
      <c r="D114" t="s">
        <v>513</v>
      </c>
      <c r="E114" t="s">
        <v>517</v>
      </c>
      <c r="L114"/>
    </row>
    <row r="115" spans="1:12" x14ac:dyDescent="0.35">
      <c r="A115" t="s">
        <v>2756</v>
      </c>
      <c r="B115">
        <v>0</v>
      </c>
      <c r="C115" t="s">
        <v>523</v>
      </c>
      <c r="D115" t="s">
        <v>513</v>
      </c>
      <c r="E115" t="s">
        <v>515</v>
      </c>
      <c r="L115"/>
    </row>
    <row r="116" spans="1:12" x14ac:dyDescent="0.35">
      <c r="A116" t="s">
        <v>2757</v>
      </c>
      <c r="B116">
        <v>0</v>
      </c>
      <c r="C116" t="s">
        <v>523</v>
      </c>
      <c r="D116" t="s">
        <v>513</v>
      </c>
      <c r="E116" t="s">
        <v>517</v>
      </c>
      <c r="L116"/>
    </row>
    <row r="117" spans="1:12" x14ac:dyDescent="0.35">
      <c r="A117" t="s">
        <v>2758</v>
      </c>
      <c r="B117">
        <v>0</v>
      </c>
      <c r="C117" t="s">
        <v>523</v>
      </c>
      <c r="D117" t="s">
        <v>513</v>
      </c>
      <c r="E117" t="s">
        <v>515</v>
      </c>
      <c r="L117"/>
    </row>
    <row r="118" spans="1:12" x14ac:dyDescent="0.35">
      <c r="A118" t="s">
        <v>2759</v>
      </c>
      <c r="B118">
        <v>0</v>
      </c>
      <c r="C118" t="s">
        <v>523</v>
      </c>
      <c r="D118" t="s">
        <v>513</v>
      </c>
      <c r="E118" t="s">
        <v>515</v>
      </c>
      <c r="L118"/>
    </row>
    <row r="119" spans="1:12" x14ac:dyDescent="0.35">
      <c r="A119" t="s">
        <v>2760</v>
      </c>
      <c r="B119">
        <v>0</v>
      </c>
      <c r="C119" t="s">
        <v>523</v>
      </c>
      <c r="D119" t="s">
        <v>513</v>
      </c>
      <c r="E119" t="s">
        <v>517</v>
      </c>
      <c r="L119"/>
    </row>
    <row r="120" spans="1:12" x14ac:dyDescent="0.35">
      <c r="A120" t="s">
        <v>2761</v>
      </c>
      <c r="B120">
        <v>0</v>
      </c>
      <c r="C120" t="s">
        <v>523</v>
      </c>
      <c r="D120" t="s">
        <v>513</v>
      </c>
      <c r="E120" t="s">
        <v>515</v>
      </c>
      <c r="L120"/>
    </row>
    <row r="121" spans="1:12" x14ac:dyDescent="0.35">
      <c r="A121" t="s">
        <v>2762</v>
      </c>
      <c r="B121">
        <v>0</v>
      </c>
      <c r="C121" t="s">
        <v>523</v>
      </c>
      <c r="D121" t="s">
        <v>513</v>
      </c>
      <c r="E121" t="s">
        <v>515</v>
      </c>
      <c r="L121"/>
    </row>
    <row r="122" spans="1:12" x14ac:dyDescent="0.35">
      <c r="A122" t="s">
        <v>2763</v>
      </c>
      <c r="B122">
        <v>0</v>
      </c>
      <c r="C122" t="s">
        <v>523</v>
      </c>
      <c r="D122" t="s">
        <v>513</v>
      </c>
      <c r="E122" t="s">
        <v>515</v>
      </c>
      <c r="L122"/>
    </row>
    <row r="123" spans="1:12" x14ac:dyDescent="0.35">
      <c r="A123" t="s">
        <v>2764</v>
      </c>
      <c r="B123">
        <v>0</v>
      </c>
      <c r="C123" t="s">
        <v>523</v>
      </c>
      <c r="D123" t="s">
        <v>513</v>
      </c>
      <c r="E123" t="s">
        <v>515</v>
      </c>
      <c r="L123"/>
    </row>
    <row r="124" spans="1:12" x14ac:dyDescent="0.35">
      <c r="A124" t="s">
        <v>3455</v>
      </c>
      <c r="B124">
        <v>0</v>
      </c>
      <c r="C124" t="s">
        <v>523</v>
      </c>
      <c r="D124" t="s">
        <v>513</v>
      </c>
      <c r="E124" t="s">
        <v>515</v>
      </c>
      <c r="L124"/>
    </row>
    <row r="125" spans="1:12" x14ac:dyDescent="0.35">
      <c r="A125" t="s">
        <v>2765</v>
      </c>
      <c r="B125">
        <v>0</v>
      </c>
      <c r="C125" t="s">
        <v>523</v>
      </c>
      <c r="D125" t="s">
        <v>513</v>
      </c>
      <c r="E125" t="s">
        <v>515</v>
      </c>
      <c r="L125"/>
    </row>
    <row r="126" spans="1:12" x14ac:dyDescent="0.35">
      <c r="A126" t="s">
        <v>2766</v>
      </c>
      <c r="B126">
        <v>0</v>
      </c>
      <c r="C126" t="s">
        <v>523</v>
      </c>
      <c r="D126" t="s">
        <v>513</v>
      </c>
      <c r="E126" t="s">
        <v>515</v>
      </c>
      <c r="L126"/>
    </row>
    <row r="127" spans="1:12" x14ac:dyDescent="0.35">
      <c r="A127" t="s">
        <v>2767</v>
      </c>
      <c r="B127">
        <v>0</v>
      </c>
      <c r="C127" t="s">
        <v>523</v>
      </c>
      <c r="D127" t="s">
        <v>513</v>
      </c>
      <c r="E127" t="s">
        <v>517</v>
      </c>
      <c r="L127"/>
    </row>
    <row r="128" spans="1:12" x14ac:dyDescent="0.35">
      <c r="A128" t="s">
        <v>2768</v>
      </c>
      <c r="B128">
        <v>0</v>
      </c>
      <c r="C128" t="s">
        <v>523</v>
      </c>
      <c r="D128" t="s">
        <v>513</v>
      </c>
      <c r="E128" t="s">
        <v>517</v>
      </c>
      <c r="L128"/>
    </row>
    <row r="129" spans="1:12" x14ac:dyDescent="0.35">
      <c r="A129" t="s">
        <v>2769</v>
      </c>
      <c r="B129">
        <v>0</v>
      </c>
      <c r="C129" t="s">
        <v>523</v>
      </c>
      <c r="D129" t="s">
        <v>513</v>
      </c>
      <c r="E129" t="s">
        <v>515</v>
      </c>
      <c r="L129"/>
    </row>
    <row r="130" spans="1:12" x14ac:dyDescent="0.35">
      <c r="A130" t="s">
        <v>2770</v>
      </c>
      <c r="B130">
        <v>0</v>
      </c>
      <c r="C130" t="s">
        <v>523</v>
      </c>
      <c r="D130" t="s">
        <v>513</v>
      </c>
      <c r="E130" t="s">
        <v>517</v>
      </c>
      <c r="L130"/>
    </row>
    <row r="131" spans="1:12" x14ac:dyDescent="0.35">
      <c r="A131" t="s">
        <v>2771</v>
      </c>
      <c r="B131">
        <v>0</v>
      </c>
      <c r="C131" t="s">
        <v>523</v>
      </c>
      <c r="D131" t="s">
        <v>513</v>
      </c>
      <c r="E131" t="s">
        <v>515</v>
      </c>
      <c r="L131"/>
    </row>
    <row r="132" spans="1:12" x14ac:dyDescent="0.35">
      <c r="A132" t="s">
        <v>2772</v>
      </c>
      <c r="B132">
        <v>0</v>
      </c>
      <c r="C132" t="s">
        <v>523</v>
      </c>
      <c r="D132" t="s">
        <v>513</v>
      </c>
      <c r="E132" t="s">
        <v>517</v>
      </c>
      <c r="L132"/>
    </row>
    <row r="133" spans="1:12" x14ac:dyDescent="0.35">
      <c r="A133" t="s">
        <v>2773</v>
      </c>
      <c r="B133">
        <v>0</v>
      </c>
      <c r="C133" t="s">
        <v>523</v>
      </c>
      <c r="D133" t="s">
        <v>513</v>
      </c>
      <c r="E133" t="s">
        <v>515</v>
      </c>
      <c r="L133"/>
    </row>
    <row r="134" spans="1:12" x14ac:dyDescent="0.35">
      <c r="A134" t="s">
        <v>2774</v>
      </c>
      <c r="B134">
        <v>0</v>
      </c>
      <c r="C134" t="s">
        <v>523</v>
      </c>
      <c r="D134" t="s">
        <v>513</v>
      </c>
      <c r="E134" t="s">
        <v>515</v>
      </c>
      <c r="L134"/>
    </row>
    <row r="135" spans="1:12" x14ac:dyDescent="0.35">
      <c r="A135" t="s">
        <v>2775</v>
      </c>
      <c r="B135">
        <v>0</v>
      </c>
      <c r="C135" t="s">
        <v>523</v>
      </c>
      <c r="D135" t="s">
        <v>507</v>
      </c>
      <c r="E135" t="s">
        <v>517</v>
      </c>
      <c r="L135"/>
    </row>
    <row r="136" spans="1:12" x14ac:dyDescent="0.35">
      <c r="A136" t="s">
        <v>2776</v>
      </c>
      <c r="B136">
        <v>0</v>
      </c>
      <c r="C136" t="s">
        <v>523</v>
      </c>
      <c r="D136" t="s">
        <v>513</v>
      </c>
      <c r="E136" t="s">
        <v>515</v>
      </c>
      <c r="L136"/>
    </row>
    <row r="137" spans="1:12" x14ac:dyDescent="0.35">
      <c r="A137" t="s">
        <v>2777</v>
      </c>
      <c r="B137">
        <v>0</v>
      </c>
      <c r="C137" t="s">
        <v>523</v>
      </c>
      <c r="D137" t="s">
        <v>513</v>
      </c>
      <c r="E137" t="s">
        <v>515</v>
      </c>
      <c r="L137"/>
    </row>
    <row r="138" spans="1:12" x14ac:dyDescent="0.35">
      <c r="A138" t="s">
        <v>2778</v>
      </c>
      <c r="B138">
        <v>0</v>
      </c>
      <c r="C138" t="s">
        <v>523</v>
      </c>
      <c r="D138" t="s">
        <v>513</v>
      </c>
      <c r="E138" t="s">
        <v>517</v>
      </c>
      <c r="L138"/>
    </row>
    <row r="139" spans="1:12" x14ac:dyDescent="0.35">
      <c r="A139" t="s">
        <v>2779</v>
      </c>
      <c r="B139">
        <v>0</v>
      </c>
      <c r="C139" t="s">
        <v>523</v>
      </c>
      <c r="D139" t="s">
        <v>513</v>
      </c>
      <c r="E139" t="s">
        <v>515</v>
      </c>
      <c r="L139"/>
    </row>
    <row r="140" spans="1:12" x14ac:dyDescent="0.35">
      <c r="A140" t="s">
        <v>2780</v>
      </c>
      <c r="B140">
        <v>0</v>
      </c>
      <c r="C140" t="s">
        <v>523</v>
      </c>
      <c r="D140" t="s">
        <v>513</v>
      </c>
      <c r="E140" t="s">
        <v>517</v>
      </c>
      <c r="L140"/>
    </row>
    <row r="141" spans="1:12" x14ac:dyDescent="0.35">
      <c r="A141" t="s">
        <v>2781</v>
      </c>
      <c r="B141">
        <v>0</v>
      </c>
      <c r="C141" t="s">
        <v>523</v>
      </c>
      <c r="D141" t="s">
        <v>513</v>
      </c>
      <c r="E141" t="s">
        <v>515</v>
      </c>
      <c r="L141"/>
    </row>
    <row r="142" spans="1:12" x14ac:dyDescent="0.35">
      <c r="A142" t="s">
        <v>2782</v>
      </c>
      <c r="B142">
        <v>0</v>
      </c>
      <c r="C142" t="s">
        <v>523</v>
      </c>
      <c r="D142" t="s">
        <v>513</v>
      </c>
      <c r="E142" t="s">
        <v>515</v>
      </c>
      <c r="L142"/>
    </row>
    <row r="143" spans="1:12" x14ac:dyDescent="0.35">
      <c r="A143" t="s">
        <v>2783</v>
      </c>
      <c r="B143">
        <v>0</v>
      </c>
      <c r="C143" t="s">
        <v>523</v>
      </c>
      <c r="D143" t="s">
        <v>507</v>
      </c>
      <c r="E143" t="s">
        <v>517</v>
      </c>
      <c r="L143"/>
    </row>
    <row r="144" spans="1:12" x14ac:dyDescent="0.35">
      <c r="A144" t="s">
        <v>2784</v>
      </c>
      <c r="B144">
        <v>0</v>
      </c>
      <c r="C144" t="s">
        <v>523</v>
      </c>
      <c r="D144" t="s">
        <v>507</v>
      </c>
      <c r="E144" t="s">
        <v>517</v>
      </c>
      <c r="L144"/>
    </row>
    <row r="145" spans="1:12" x14ac:dyDescent="0.35">
      <c r="A145" t="s">
        <v>2785</v>
      </c>
      <c r="B145">
        <v>0</v>
      </c>
      <c r="C145" t="s">
        <v>523</v>
      </c>
      <c r="D145" t="s">
        <v>513</v>
      </c>
      <c r="E145" t="s">
        <v>515</v>
      </c>
      <c r="L145"/>
    </row>
    <row r="146" spans="1:12" x14ac:dyDescent="0.35">
      <c r="A146" t="s">
        <v>2786</v>
      </c>
      <c r="B146">
        <v>0</v>
      </c>
      <c r="C146" t="s">
        <v>523</v>
      </c>
      <c r="D146" t="s">
        <v>513</v>
      </c>
      <c r="E146" t="s">
        <v>517</v>
      </c>
      <c r="L146"/>
    </row>
    <row r="147" spans="1:12" x14ac:dyDescent="0.35">
      <c r="A147" t="s">
        <v>2787</v>
      </c>
      <c r="B147">
        <v>0</v>
      </c>
      <c r="C147" t="s">
        <v>523</v>
      </c>
      <c r="D147" t="s">
        <v>513</v>
      </c>
      <c r="E147" t="s">
        <v>515</v>
      </c>
      <c r="L147"/>
    </row>
    <row r="148" spans="1:12" x14ac:dyDescent="0.35">
      <c r="A148" t="s">
        <v>2788</v>
      </c>
      <c r="B148">
        <v>0</v>
      </c>
      <c r="C148" t="s">
        <v>523</v>
      </c>
      <c r="D148" t="s">
        <v>513</v>
      </c>
      <c r="E148" t="s">
        <v>515</v>
      </c>
      <c r="L148"/>
    </row>
    <row r="149" spans="1:12" x14ac:dyDescent="0.35">
      <c r="A149" t="s">
        <v>2789</v>
      </c>
      <c r="B149">
        <v>0</v>
      </c>
      <c r="C149" t="s">
        <v>523</v>
      </c>
      <c r="D149" t="s">
        <v>513</v>
      </c>
      <c r="E149" t="s">
        <v>515</v>
      </c>
      <c r="L149"/>
    </row>
    <row r="150" spans="1:12" x14ac:dyDescent="0.35">
      <c r="A150" t="s">
        <v>2790</v>
      </c>
      <c r="B150">
        <v>0</v>
      </c>
      <c r="C150" t="s">
        <v>523</v>
      </c>
      <c r="D150" t="s">
        <v>513</v>
      </c>
      <c r="E150" t="s">
        <v>515</v>
      </c>
      <c r="L150"/>
    </row>
    <row r="151" spans="1:12" x14ac:dyDescent="0.35">
      <c r="A151" t="s">
        <v>2791</v>
      </c>
      <c r="B151">
        <v>0</v>
      </c>
      <c r="C151" t="s">
        <v>523</v>
      </c>
      <c r="D151" t="s">
        <v>513</v>
      </c>
      <c r="E151" t="s">
        <v>515</v>
      </c>
      <c r="L151"/>
    </row>
    <row r="152" spans="1:12" x14ac:dyDescent="0.35">
      <c r="A152" t="s">
        <v>2792</v>
      </c>
      <c r="B152">
        <v>0</v>
      </c>
      <c r="C152" t="s">
        <v>523</v>
      </c>
      <c r="D152" t="s">
        <v>513</v>
      </c>
      <c r="E152" t="s">
        <v>515</v>
      </c>
      <c r="L152"/>
    </row>
    <row r="153" spans="1:12" x14ac:dyDescent="0.35">
      <c r="A153" t="s">
        <v>2793</v>
      </c>
      <c r="B153">
        <v>0</v>
      </c>
      <c r="C153" t="s">
        <v>523</v>
      </c>
      <c r="D153" t="s">
        <v>513</v>
      </c>
      <c r="E153" t="s">
        <v>515</v>
      </c>
      <c r="L153"/>
    </row>
    <row r="154" spans="1:12" x14ac:dyDescent="0.35">
      <c r="A154" t="s">
        <v>2794</v>
      </c>
      <c r="B154">
        <v>0</v>
      </c>
      <c r="C154" t="s">
        <v>523</v>
      </c>
      <c r="D154" t="s">
        <v>513</v>
      </c>
      <c r="E154" t="s">
        <v>515</v>
      </c>
      <c r="L154"/>
    </row>
    <row r="155" spans="1:12" x14ac:dyDescent="0.35">
      <c r="A155" t="s">
        <v>2795</v>
      </c>
      <c r="B155">
        <v>0</v>
      </c>
      <c r="C155" t="s">
        <v>523</v>
      </c>
      <c r="D155" t="s">
        <v>513</v>
      </c>
      <c r="E155" t="s">
        <v>517</v>
      </c>
      <c r="L155"/>
    </row>
    <row r="156" spans="1:12" x14ac:dyDescent="0.35">
      <c r="A156" t="s">
        <v>3474</v>
      </c>
      <c r="B156">
        <v>0</v>
      </c>
      <c r="C156" t="s">
        <v>523</v>
      </c>
      <c r="D156" t="s">
        <v>513</v>
      </c>
      <c r="E156" t="s">
        <v>515</v>
      </c>
      <c r="L156"/>
    </row>
    <row r="157" spans="1:12" x14ac:dyDescent="0.35">
      <c r="A157" t="s">
        <v>2796</v>
      </c>
      <c r="B157">
        <v>0</v>
      </c>
      <c r="C157" t="s">
        <v>523</v>
      </c>
      <c r="D157" t="s">
        <v>513</v>
      </c>
      <c r="E157" t="s">
        <v>515</v>
      </c>
      <c r="L157"/>
    </row>
    <row r="158" spans="1:12" x14ac:dyDescent="0.35">
      <c r="A158" t="s">
        <v>2797</v>
      </c>
      <c r="B158">
        <v>0</v>
      </c>
      <c r="C158" t="s">
        <v>523</v>
      </c>
      <c r="D158" t="s">
        <v>513</v>
      </c>
      <c r="E158" t="s">
        <v>515</v>
      </c>
      <c r="L158"/>
    </row>
    <row r="159" spans="1:12" x14ac:dyDescent="0.35">
      <c r="A159" t="s">
        <v>2798</v>
      </c>
      <c r="B159">
        <v>0</v>
      </c>
      <c r="C159" t="s">
        <v>523</v>
      </c>
      <c r="D159" t="s">
        <v>513</v>
      </c>
      <c r="E159" t="s">
        <v>515</v>
      </c>
      <c r="L159"/>
    </row>
    <row r="160" spans="1:12" x14ac:dyDescent="0.35">
      <c r="A160" t="s">
        <v>2799</v>
      </c>
      <c r="B160">
        <v>0</v>
      </c>
      <c r="C160" t="s">
        <v>523</v>
      </c>
      <c r="D160" t="s">
        <v>513</v>
      </c>
      <c r="E160" t="s">
        <v>517</v>
      </c>
      <c r="L160"/>
    </row>
    <row r="161" spans="1:12" x14ac:dyDescent="0.35">
      <c r="A161" t="s">
        <v>2800</v>
      </c>
      <c r="B161">
        <v>0</v>
      </c>
      <c r="C161" t="s">
        <v>523</v>
      </c>
      <c r="D161" t="s">
        <v>513</v>
      </c>
      <c r="E161" t="s">
        <v>515</v>
      </c>
      <c r="L161"/>
    </row>
    <row r="162" spans="1:12" x14ac:dyDescent="0.35">
      <c r="A162" t="s">
        <v>2801</v>
      </c>
      <c r="B162">
        <v>0</v>
      </c>
      <c r="C162" t="s">
        <v>523</v>
      </c>
      <c r="D162" t="s">
        <v>513</v>
      </c>
      <c r="E162" t="s">
        <v>515</v>
      </c>
      <c r="L162"/>
    </row>
    <row r="163" spans="1:12" x14ac:dyDescent="0.35">
      <c r="A163" t="s">
        <v>2802</v>
      </c>
      <c r="B163">
        <v>0</v>
      </c>
      <c r="C163" t="s">
        <v>523</v>
      </c>
      <c r="D163" t="s">
        <v>513</v>
      </c>
      <c r="E163" t="s">
        <v>515</v>
      </c>
      <c r="L163"/>
    </row>
    <row r="164" spans="1:12" x14ac:dyDescent="0.35">
      <c r="A164" t="s">
        <v>2803</v>
      </c>
      <c r="B164">
        <v>0</v>
      </c>
      <c r="C164" t="s">
        <v>523</v>
      </c>
      <c r="D164" t="s">
        <v>513</v>
      </c>
      <c r="E164" t="s">
        <v>515</v>
      </c>
      <c r="L164"/>
    </row>
    <row r="165" spans="1:12" x14ac:dyDescent="0.35">
      <c r="A165" t="s">
        <v>2804</v>
      </c>
      <c r="B165">
        <v>0</v>
      </c>
      <c r="C165" t="s">
        <v>523</v>
      </c>
      <c r="D165" t="s">
        <v>513</v>
      </c>
      <c r="E165" t="s">
        <v>515</v>
      </c>
      <c r="L165"/>
    </row>
    <row r="166" spans="1:12" x14ac:dyDescent="0.35">
      <c r="A166" t="s">
        <v>2805</v>
      </c>
      <c r="B166">
        <v>0</v>
      </c>
      <c r="C166" t="s">
        <v>523</v>
      </c>
      <c r="D166" t="s">
        <v>513</v>
      </c>
      <c r="E166" t="s">
        <v>515</v>
      </c>
      <c r="L166"/>
    </row>
    <row r="167" spans="1:12" x14ac:dyDescent="0.35">
      <c r="A167" t="s">
        <v>2806</v>
      </c>
      <c r="B167">
        <v>0</v>
      </c>
      <c r="C167" t="s">
        <v>523</v>
      </c>
      <c r="D167" t="s">
        <v>513</v>
      </c>
      <c r="E167" t="s">
        <v>517</v>
      </c>
      <c r="L167"/>
    </row>
    <row r="168" spans="1:12" x14ac:dyDescent="0.35">
      <c r="A168" t="s">
        <v>2807</v>
      </c>
      <c r="B168">
        <v>0</v>
      </c>
      <c r="C168" t="s">
        <v>523</v>
      </c>
      <c r="D168" t="s">
        <v>513</v>
      </c>
      <c r="E168" t="s">
        <v>515</v>
      </c>
      <c r="L168"/>
    </row>
    <row r="169" spans="1:12" x14ac:dyDescent="0.35">
      <c r="A169" t="s">
        <v>2808</v>
      </c>
      <c r="B169">
        <v>0</v>
      </c>
      <c r="C169" t="s">
        <v>523</v>
      </c>
      <c r="D169" t="s">
        <v>513</v>
      </c>
      <c r="E169" t="s">
        <v>515</v>
      </c>
      <c r="L169"/>
    </row>
    <row r="170" spans="1:12" x14ac:dyDescent="0.35">
      <c r="A170" t="s">
        <v>2809</v>
      </c>
      <c r="B170">
        <v>0</v>
      </c>
      <c r="C170" t="s">
        <v>523</v>
      </c>
      <c r="D170" t="s">
        <v>513</v>
      </c>
      <c r="E170" t="s">
        <v>515</v>
      </c>
      <c r="L170"/>
    </row>
    <row r="171" spans="1:12" x14ac:dyDescent="0.35">
      <c r="A171" t="s">
        <v>2810</v>
      </c>
      <c r="B171">
        <v>0</v>
      </c>
      <c r="C171" t="s">
        <v>523</v>
      </c>
      <c r="D171" t="s">
        <v>513</v>
      </c>
      <c r="E171" t="s">
        <v>515</v>
      </c>
      <c r="L171"/>
    </row>
    <row r="172" spans="1:12" x14ac:dyDescent="0.35">
      <c r="A172" t="s">
        <v>2811</v>
      </c>
      <c r="B172">
        <v>0</v>
      </c>
      <c r="C172" t="s">
        <v>523</v>
      </c>
      <c r="D172" t="s">
        <v>506</v>
      </c>
      <c r="E172" t="s">
        <v>515</v>
      </c>
      <c r="L172"/>
    </row>
    <row r="173" spans="1:12" x14ac:dyDescent="0.35">
      <c r="A173" t="s">
        <v>2812</v>
      </c>
      <c r="B173">
        <v>0</v>
      </c>
      <c r="C173" t="s">
        <v>523</v>
      </c>
      <c r="D173" t="s">
        <v>506</v>
      </c>
      <c r="E173" t="s">
        <v>515</v>
      </c>
      <c r="L173"/>
    </row>
    <row r="174" spans="1:12" x14ac:dyDescent="0.35">
      <c r="A174" t="s">
        <v>2813</v>
      </c>
      <c r="B174">
        <v>0</v>
      </c>
      <c r="C174" t="s">
        <v>523</v>
      </c>
      <c r="D174" t="s">
        <v>506</v>
      </c>
      <c r="E174" t="s">
        <v>515</v>
      </c>
      <c r="L174"/>
    </row>
    <row r="175" spans="1:12" x14ac:dyDescent="0.35">
      <c r="A175" t="s">
        <v>2814</v>
      </c>
      <c r="B175">
        <v>0</v>
      </c>
      <c r="C175" t="s">
        <v>523</v>
      </c>
      <c r="D175" t="s">
        <v>513</v>
      </c>
      <c r="E175" t="s">
        <v>517</v>
      </c>
      <c r="L175"/>
    </row>
    <row r="176" spans="1:12" x14ac:dyDescent="0.35">
      <c r="A176" t="s">
        <v>2815</v>
      </c>
      <c r="B176">
        <v>0</v>
      </c>
      <c r="C176" t="s">
        <v>523</v>
      </c>
      <c r="D176" t="s">
        <v>506</v>
      </c>
      <c r="E176" t="s">
        <v>515</v>
      </c>
      <c r="L176"/>
    </row>
    <row r="177" spans="1:12" x14ac:dyDescent="0.35">
      <c r="A177" t="s">
        <v>2816</v>
      </c>
      <c r="B177">
        <v>0</v>
      </c>
      <c r="C177" t="s">
        <v>523</v>
      </c>
      <c r="D177" t="s">
        <v>506</v>
      </c>
      <c r="E177" t="s">
        <v>515</v>
      </c>
      <c r="L177"/>
    </row>
    <row r="178" spans="1:12" x14ac:dyDescent="0.35">
      <c r="A178" t="s">
        <v>2817</v>
      </c>
      <c r="B178">
        <v>0</v>
      </c>
      <c r="C178" t="s">
        <v>523</v>
      </c>
      <c r="D178" t="s">
        <v>506</v>
      </c>
      <c r="E178" t="s">
        <v>515</v>
      </c>
      <c r="L178"/>
    </row>
    <row r="179" spans="1:12" x14ac:dyDescent="0.35">
      <c r="A179" t="s">
        <v>2818</v>
      </c>
      <c r="B179">
        <v>-3</v>
      </c>
      <c r="C179" t="s">
        <v>523</v>
      </c>
      <c r="D179" t="s">
        <v>507</v>
      </c>
      <c r="E179" t="s">
        <v>516</v>
      </c>
      <c r="L179"/>
    </row>
    <row r="180" spans="1:12" x14ac:dyDescent="0.35">
      <c r="A180" t="s">
        <v>2819</v>
      </c>
      <c r="B180">
        <v>-3</v>
      </c>
      <c r="C180" t="s">
        <v>523</v>
      </c>
      <c r="D180" t="s">
        <v>507</v>
      </c>
      <c r="E180" t="s">
        <v>516</v>
      </c>
      <c r="L180"/>
    </row>
    <row r="181" spans="1:12" x14ac:dyDescent="0.35">
      <c r="A181" t="s">
        <v>2820</v>
      </c>
      <c r="B181">
        <v>0</v>
      </c>
      <c r="C181" t="s">
        <v>523</v>
      </c>
      <c r="D181" t="s">
        <v>506</v>
      </c>
      <c r="E181" t="s">
        <v>515</v>
      </c>
      <c r="L181"/>
    </row>
    <row r="182" spans="1:12" x14ac:dyDescent="0.35">
      <c r="A182" t="s">
        <v>2821</v>
      </c>
      <c r="B182">
        <v>0</v>
      </c>
      <c r="C182" t="s">
        <v>523</v>
      </c>
      <c r="D182" t="s">
        <v>513</v>
      </c>
      <c r="E182" t="s">
        <v>517</v>
      </c>
      <c r="L182"/>
    </row>
    <row r="183" spans="1:12" x14ac:dyDescent="0.35">
      <c r="A183" t="s">
        <v>2822</v>
      </c>
      <c r="B183">
        <v>-3</v>
      </c>
      <c r="C183" t="s">
        <v>523</v>
      </c>
      <c r="D183" t="s">
        <v>507</v>
      </c>
      <c r="E183" t="s">
        <v>516</v>
      </c>
      <c r="L183"/>
    </row>
    <row r="184" spans="1:12" x14ac:dyDescent="0.35">
      <c r="A184" t="s">
        <v>2823</v>
      </c>
      <c r="B184">
        <v>0</v>
      </c>
      <c r="C184" t="s">
        <v>523</v>
      </c>
      <c r="D184" t="s">
        <v>506</v>
      </c>
      <c r="E184" t="s">
        <v>515</v>
      </c>
      <c r="L184"/>
    </row>
    <row r="185" spans="1:12" x14ac:dyDescent="0.35">
      <c r="A185" t="s">
        <v>2824</v>
      </c>
      <c r="B185">
        <v>0</v>
      </c>
      <c r="C185" t="s">
        <v>523</v>
      </c>
      <c r="D185" t="s">
        <v>506</v>
      </c>
      <c r="E185" t="s">
        <v>515</v>
      </c>
      <c r="L185"/>
    </row>
    <row r="186" spans="1:12" x14ac:dyDescent="0.35">
      <c r="A186" t="s">
        <v>2825</v>
      </c>
      <c r="B186">
        <v>0</v>
      </c>
      <c r="C186" t="s">
        <v>523</v>
      </c>
      <c r="D186" t="s">
        <v>513</v>
      </c>
      <c r="E186" t="s">
        <v>517</v>
      </c>
      <c r="L186"/>
    </row>
    <row r="187" spans="1:12" x14ac:dyDescent="0.35">
      <c r="A187" t="s">
        <v>2826</v>
      </c>
      <c r="B187">
        <v>0</v>
      </c>
      <c r="C187" t="s">
        <v>523</v>
      </c>
      <c r="D187" t="s">
        <v>506</v>
      </c>
      <c r="E187" t="s">
        <v>515</v>
      </c>
      <c r="L187"/>
    </row>
    <row r="188" spans="1:12" x14ac:dyDescent="0.35">
      <c r="A188" t="s">
        <v>2827</v>
      </c>
      <c r="B188">
        <v>0</v>
      </c>
      <c r="C188" t="s">
        <v>523</v>
      </c>
      <c r="D188" t="s">
        <v>506</v>
      </c>
      <c r="E188" t="s">
        <v>515</v>
      </c>
      <c r="L188"/>
    </row>
    <row r="189" spans="1:12" x14ac:dyDescent="0.35">
      <c r="A189" t="s">
        <v>2828</v>
      </c>
      <c r="B189">
        <v>-3</v>
      </c>
      <c r="C189" t="s">
        <v>523</v>
      </c>
      <c r="D189" t="s">
        <v>507</v>
      </c>
      <c r="E189" t="s">
        <v>516</v>
      </c>
      <c r="L189"/>
    </row>
    <row r="190" spans="1:12" x14ac:dyDescent="0.35">
      <c r="A190" t="s">
        <v>2829</v>
      </c>
      <c r="B190">
        <v>0</v>
      </c>
      <c r="C190" t="s">
        <v>523</v>
      </c>
      <c r="D190" t="s">
        <v>506</v>
      </c>
      <c r="E190" t="s">
        <v>515</v>
      </c>
      <c r="L190"/>
    </row>
    <row r="191" spans="1:12" x14ac:dyDescent="0.35">
      <c r="A191" t="s">
        <v>3439</v>
      </c>
      <c r="B191">
        <v>0</v>
      </c>
      <c r="C191" t="s">
        <v>523</v>
      </c>
      <c r="D191" t="s">
        <v>506</v>
      </c>
      <c r="E191" t="s">
        <v>515</v>
      </c>
      <c r="L191"/>
    </row>
    <row r="192" spans="1:12" x14ac:dyDescent="0.35">
      <c r="A192" t="s">
        <v>3440</v>
      </c>
      <c r="B192">
        <v>0</v>
      </c>
      <c r="C192" t="s">
        <v>523</v>
      </c>
      <c r="D192" t="s">
        <v>513</v>
      </c>
      <c r="E192" t="s">
        <v>517</v>
      </c>
      <c r="L192"/>
    </row>
    <row r="193" spans="1:12" x14ac:dyDescent="0.35">
      <c r="A193" t="s">
        <v>2830</v>
      </c>
      <c r="B193">
        <v>0</v>
      </c>
      <c r="C193" t="s">
        <v>523</v>
      </c>
      <c r="D193" t="s">
        <v>506</v>
      </c>
      <c r="E193" t="s">
        <v>515</v>
      </c>
      <c r="L193"/>
    </row>
    <row r="194" spans="1:12" x14ac:dyDescent="0.35">
      <c r="A194" t="s">
        <v>2831</v>
      </c>
      <c r="B194">
        <v>0</v>
      </c>
      <c r="C194" t="s">
        <v>523</v>
      </c>
      <c r="D194" t="s">
        <v>506</v>
      </c>
      <c r="E194" t="s">
        <v>515</v>
      </c>
      <c r="L194"/>
    </row>
    <row r="195" spans="1:12" x14ac:dyDescent="0.35">
      <c r="A195" t="s">
        <v>2832</v>
      </c>
      <c r="B195">
        <v>0</v>
      </c>
      <c r="C195" t="s">
        <v>523</v>
      </c>
      <c r="D195" t="s">
        <v>506</v>
      </c>
      <c r="E195" t="s">
        <v>515</v>
      </c>
      <c r="L195"/>
    </row>
    <row r="196" spans="1:12" x14ac:dyDescent="0.35">
      <c r="A196" t="s">
        <v>2833</v>
      </c>
      <c r="B196">
        <v>0</v>
      </c>
      <c r="C196" t="s">
        <v>523</v>
      </c>
      <c r="D196" t="s">
        <v>506</v>
      </c>
      <c r="E196" t="s">
        <v>515</v>
      </c>
      <c r="L196"/>
    </row>
    <row r="197" spans="1:12" x14ac:dyDescent="0.35">
      <c r="A197" t="s">
        <v>2834</v>
      </c>
      <c r="B197">
        <v>0</v>
      </c>
      <c r="C197" t="s">
        <v>523</v>
      </c>
      <c r="D197" t="s">
        <v>506</v>
      </c>
      <c r="E197" t="s">
        <v>515</v>
      </c>
      <c r="L197"/>
    </row>
    <row r="198" spans="1:12" x14ac:dyDescent="0.35">
      <c r="A198" t="s">
        <v>2835</v>
      </c>
      <c r="B198">
        <v>0</v>
      </c>
      <c r="C198" t="s">
        <v>523</v>
      </c>
      <c r="D198" t="s">
        <v>513</v>
      </c>
      <c r="E198" t="s">
        <v>520</v>
      </c>
      <c r="L198"/>
    </row>
    <row r="199" spans="1:12" x14ac:dyDescent="0.35">
      <c r="A199" t="s">
        <v>2836</v>
      </c>
      <c r="B199">
        <v>0</v>
      </c>
      <c r="C199" t="s">
        <v>523</v>
      </c>
      <c r="D199" t="s">
        <v>506</v>
      </c>
      <c r="E199" t="s">
        <v>515</v>
      </c>
      <c r="L199"/>
    </row>
    <row r="200" spans="1:12" x14ac:dyDescent="0.35">
      <c r="A200" t="s">
        <v>2837</v>
      </c>
      <c r="B200">
        <v>0</v>
      </c>
      <c r="C200" t="s">
        <v>523</v>
      </c>
      <c r="D200" t="s">
        <v>506</v>
      </c>
      <c r="E200" t="s">
        <v>515</v>
      </c>
      <c r="L200"/>
    </row>
    <row r="201" spans="1:12" x14ac:dyDescent="0.35">
      <c r="A201" t="s">
        <v>2838</v>
      </c>
      <c r="B201">
        <v>0</v>
      </c>
      <c r="C201" t="s">
        <v>523</v>
      </c>
      <c r="D201" t="s">
        <v>506</v>
      </c>
      <c r="E201" t="s">
        <v>515</v>
      </c>
      <c r="L201"/>
    </row>
    <row r="202" spans="1:12" x14ac:dyDescent="0.35">
      <c r="A202" t="s">
        <v>2839</v>
      </c>
      <c r="B202">
        <v>0</v>
      </c>
      <c r="C202" t="s">
        <v>523</v>
      </c>
      <c r="D202" t="s">
        <v>506</v>
      </c>
      <c r="E202" t="s">
        <v>515</v>
      </c>
      <c r="L202"/>
    </row>
    <row r="203" spans="1:12" x14ac:dyDescent="0.35">
      <c r="A203" t="s">
        <v>2840</v>
      </c>
      <c r="B203">
        <v>0</v>
      </c>
      <c r="C203" t="s">
        <v>523</v>
      </c>
      <c r="D203" t="s">
        <v>506</v>
      </c>
      <c r="E203" t="s">
        <v>515</v>
      </c>
      <c r="L203"/>
    </row>
    <row r="204" spans="1:12" x14ac:dyDescent="0.35">
      <c r="A204" t="s">
        <v>2841</v>
      </c>
      <c r="B204">
        <v>0</v>
      </c>
      <c r="C204" t="s">
        <v>523</v>
      </c>
      <c r="D204" t="s">
        <v>513</v>
      </c>
      <c r="E204" t="s">
        <v>517</v>
      </c>
      <c r="L204"/>
    </row>
    <row r="205" spans="1:12" x14ac:dyDescent="0.35">
      <c r="A205" t="s">
        <v>2842</v>
      </c>
      <c r="B205">
        <v>0</v>
      </c>
      <c r="C205" t="s">
        <v>523</v>
      </c>
      <c r="D205" t="s">
        <v>506</v>
      </c>
      <c r="E205" t="s">
        <v>515</v>
      </c>
      <c r="L205"/>
    </row>
    <row r="206" spans="1:12" x14ac:dyDescent="0.35">
      <c r="A206" t="s">
        <v>2843</v>
      </c>
      <c r="B206">
        <v>0</v>
      </c>
      <c r="C206" t="s">
        <v>523</v>
      </c>
      <c r="D206" t="s">
        <v>506</v>
      </c>
      <c r="E206" t="s">
        <v>515</v>
      </c>
      <c r="L206"/>
    </row>
    <row r="207" spans="1:12" x14ac:dyDescent="0.35">
      <c r="A207" t="s">
        <v>2844</v>
      </c>
      <c r="B207">
        <v>0</v>
      </c>
      <c r="C207" t="s">
        <v>523</v>
      </c>
      <c r="D207" t="s">
        <v>506</v>
      </c>
      <c r="E207" t="s">
        <v>515</v>
      </c>
      <c r="L207"/>
    </row>
    <row r="208" spans="1:12" x14ac:dyDescent="0.35">
      <c r="A208" t="s">
        <v>2845</v>
      </c>
      <c r="B208">
        <v>0</v>
      </c>
      <c r="C208" t="s">
        <v>523</v>
      </c>
      <c r="D208" t="s">
        <v>506</v>
      </c>
      <c r="E208" t="s">
        <v>515</v>
      </c>
      <c r="L208"/>
    </row>
    <row r="209" spans="1:12" x14ac:dyDescent="0.35">
      <c r="A209" t="s">
        <v>2846</v>
      </c>
      <c r="B209">
        <v>0</v>
      </c>
      <c r="C209" t="s">
        <v>523</v>
      </c>
      <c r="D209" t="s">
        <v>506</v>
      </c>
      <c r="E209" t="s">
        <v>515</v>
      </c>
      <c r="L209"/>
    </row>
    <row r="210" spans="1:12" x14ac:dyDescent="0.35">
      <c r="A210" t="s">
        <v>2847</v>
      </c>
      <c r="B210">
        <v>0</v>
      </c>
      <c r="C210" t="s">
        <v>523</v>
      </c>
      <c r="D210" t="s">
        <v>509</v>
      </c>
      <c r="E210" t="s">
        <v>515</v>
      </c>
      <c r="L210"/>
    </row>
    <row r="211" spans="1:12" x14ac:dyDescent="0.35">
      <c r="A211" t="s">
        <v>2848</v>
      </c>
      <c r="B211">
        <v>0</v>
      </c>
      <c r="C211" t="s">
        <v>523</v>
      </c>
      <c r="D211" t="s">
        <v>506</v>
      </c>
      <c r="E211" t="s">
        <v>515</v>
      </c>
      <c r="L211"/>
    </row>
    <row r="212" spans="1:12" x14ac:dyDescent="0.35">
      <c r="A212" t="s">
        <v>2849</v>
      </c>
      <c r="B212">
        <v>0</v>
      </c>
      <c r="C212" t="s">
        <v>523</v>
      </c>
      <c r="D212" t="s">
        <v>506</v>
      </c>
      <c r="E212" t="s">
        <v>515</v>
      </c>
      <c r="L212"/>
    </row>
    <row r="213" spans="1:12" x14ac:dyDescent="0.35">
      <c r="A213" t="s">
        <v>2850</v>
      </c>
      <c r="B213">
        <v>0</v>
      </c>
      <c r="C213" t="s">
        <v>523</v>
      </c>
      <c r="D213" t="s">
        <v>506</v>
      </c>
      <c r="E213" t="s">
        <v>515</v>
      </c>
      <c r="L213"/>
    </row>
    <row r="214" spans="1:12" x14ac:dyDescent="0.35">
      <c r="A214" t="s">
        <v>2851</v>
      </c>
      <c r="B214">
        <v>0</v>
      </c>
      <c r="C214" t="s">
        <v>523</v>
      </c>
      <c r="D214" t="s">
        <v>506</v>
      </c>
      <c r="E214" t="s">
        <v>515</v>
      </c>
      <c r="L214"/>
    </row>
    <row r="215" spans="1:12" x14ac:dyDescent="0.35">
      <c r="A215" t="s">
        <v>2852</v>
      </c>
      <c r="B215">
        <v>-3</v>
      </c>
      <c r="C215" t="s">
        <v>523</v>
      </c>
      <c r="D215" t="s">
        <v>513</v>
      </c>
      <c r="E215" t="s">
        <v>520</v>
      </c>
      <c r="L215"/>
    </row>
    <row r="216" spans="1:12" x14ac:dyDescent="0.35">
      <c r="A216" t="s">
        <v>2853</v>
      </c>
      <c r="B216">
        <v>0</v>
      </c>
      <c r="C216" t="s">
        <v>523</v>
      </c>
      <c r="D216" t="s">
        <v>506</v>
      </c>
      <c r="E216" t="s">
        <v>515</v>
      </c>
      <c r="L216"/>
    </row>
    <row r="217" spans="1:12" x14ac:dyDescent="0.35">
      <c r="A217" t="s">
        <v>2854</v>
      </c>
      <c r="B217">
        <v>0</v>
      </c>
      <c r="C217" t="s">
        <v>523</v>
      </c>
      <c r="D217" t="s">
        <v>513</v>
      </c>
      <c r="E217" t="s">
        <v>520</v>
      </c>
      <c r="L217"/>
    </row>
    <row r="218" spans="1:12" x14ac:dyDescent="0.35">
      <c r="A218" t="s">
        <v>2855</v>
      </c>
      <c r="B218">
        <v>0</v>
      </c>
      <c r="C218" t="s">
        <v>523</v>
      </c>
      <c r="D218" t="s">
        <v>506</v>
      </c>
      <c r="E218" t="s">
        <v>515</v>
      </c>
      <c r="L218"/>
    </row>
    <row r="219" spans="1:12" x14ac:dyDescent="0.35">
      <c r="A219" t="s">
        <v>2856</v>
      </c>
      <c r="B219">
        <v>0</v>
      </c>
      <c r="C219" t="s">
        <v>523</v>
      </c>
      <c r="D219" t="s">
        <v>506</v>
      </c>
      <c r="E219" t="s">
        <v>515</v>
      </c>
      <c r="L219"/>
    </row>
    <row r="220" spans="1:12" x14ac:dyDescent="0.35">
      <c r="A220" t="s">
        <v>2857</v>
      </c>
      <c r="B220">
        <v>0</v>
      </c>
      <c r="C220" t="s">
        <v>523</v>
      </c>
      <c r="D220" t="s">
        <v>506</v>
      </c>
      <c r="E220" t="s">
        <v>515</v>
      </c>
      <c r="L220"/>
    </row>
    <row r="221" spans="1:12" x14ac:dyDescent="0.35">
      <c r="A221" t="s">
        <v>2858</v>
      </c>
      <c r="B221">
        <v>0</v>
      </c>
      <c r="C221" t="s">
        <v>523</v>
      </c>
      <c r="D221" t="s">
        <v>506</v>
      </c>
      <c r="E221" t="s">
        <v>515</v>
      </c>
      <c r="L221"/>
    </row>
    <row r="222" spans="1:12" x14ac:dyDescent="0.35">
      <c r="A222" t="s">
        <v>2859</v>
      </c>
      <c r="B222">
        <v>0</v>
      </c>
      <c r="C222" t="s">
        <v>523</v>
      </c>
      <c r="D222" t="s">
        <v>513</v>
      </c>
      <c r="E222" t="s">
        <v>520</v>
      </c>
      <c r="L222"/>
    </row>
    <row r="223" spans="1:12" x14ac:dyDescent="0.35">
      <c r="A223" t="s">
        <v>2860</v>
      </c>
      <c r="B223">
        <v>0</v>
      </c>
      <c r="C223" t="s">
        <v>523</v>
      </c>
      <c r="D223" t="s">
        <v>506</v>
      </c>
      <c r="E223" t="s">
        <v>515</v>
      </c>
      <c r="L223"/>
    </row>
    <row r="224" spans="1:12" x14ac:dyDescent="0.35">
      <c r="A224" t="s">
        <v>2861</v>
      </c>
      <c r="B224">
        <v>0</v>
      </c>
      <c r="C224" t="s">
        <v>523</v>
      </c>
      <c r="D224" t="s">
        <v>506</v>
      </c>
      <c r="E224" t="s">
        <v>515</v>
      </c>
      <c r="L224"/>
    </row>
    <row r="225" spans="1:12" x14ac:dyDescent="0.35">
      <c r="A225" t="s">
        <v>3442</v>
      </c>
      <c r="B225">
        <v>0</v>
      </c>
      <c r="C225" t="s">
        <v>523</v>
      </c>
      <c r="D225" t="s">
        <v>506</v>
      </c>
      <c r="E225" t="s">
        <v>515</v>
      </c>
      <c r="L225"/>
    </row>
    <row r="226" spans="1:12" x14ac:dyDescent="0.35">
      <c r="A226" t="s">
        <v>2862</v>
      </c>
      <c r="B226">
        <v>0</v>
      </c>
      <c r="C226" t="s">
        <v>523</v>
      </c>
      <c r="D226" t="s">
        <v>506</v>
      </c>
      <c r="E226" t="s">
        <v>515</v>
      </c>
      <c r="L226"/>
    </row>
    <row r="227" spans="1:12" x14ac:dyDescent="0.35">
      <c r="A227" t="s">
        <v>2863</v>
      </c>
      <c r="B227">
        <v>0</v>
      </c>
      <c r="C227" t="s">
        <v>523</v>
      </c>
      <c r="D227" t="s">
        <v>506</v>
      </c>
      <c r="E227" t="s">
        <v>515</v>
      </c>
      <c r="L227"/>
    </row>
    <row r="228" spans="1:12" x14ac:dyDescent="0.35">
      <c r="A228" t="s">
        <v>2864</v>
      </c>
      <c r="B228">
        <v>0</v>
      </c>
      <c r="C228" t="s">
        <v>523</v>
      </c>
      <c r="D228" t="s">
        <v>506</v>
      </c>
      <c r="E228" t="s">
        <v>515</v>
      </c>
      <c r="L228"/>
    </row>
    <row r="229" spans="1:12" x14ac:dyDescent="0.35">
      <c r="A229" t="s">
        <v>2865</v>
      </c>
      <c r="B229">
        <v>0</v>
      </c>
      <c r="C229" t="s">
        <v>523</v>
      </c>
      <c r="D229" t="s">
        <v>506</v>
      </c>
      <c r="E229" t="s">
        <v>515</v>
      </c>
      <c r="L229"/>
    </row>
    <row r="230" spans="1:12" x14ac:dyDescent="0.35">
      <c r="A230" t="s">
        <v>2866</v>
      </c>
      <c r="B230">
        <v>0</v>
      </c>
      <c r="C230" t="s">
        <v>523</v>
      </c>
      <c r="D230" t="s">
        <v>506</v>
      </c>
      <c r="E230" t="s">
        <v>515</v>
      </c>
      <c r="L230"/>
    </row>
    <row r="231" spans="1:12" x14ac:dyDescent="0.35">
      <c r="A231" t="s">
        <v>2867</v>
      </c>
      <c r="B231">
        <v>0</v>
      </c>
      <c r="C231" t="s">
        <v>523</v>
      </c>
      <c r="D231" t="s">
        <v>506</v>
      </c>
      <c r="E231" t="s">
        <v>515</v>
      </c>
      <c r="L231"/>
    </row>
    <row r="232" spans="1:12" x14ac:dyDescent="0.35">
      <c r="A232" t="s">
        <v>2868</v>
      </c>
      <c r="B232">
        <v>0</v>
      </c>
      <c r="C232" t="s">
        <v>523</v>
      </c>
      <c r="D232" t="s">
        <v>513</v>
      </c>
      <c r="E232" t="s">
        <v>519</v>
      </c>
      <c r="L232"/>
    </row>
    <row r="233" spans="1:12" x14ac:dyDescent="0.35">
      <c r="A233" t="s">
        <v>2869</v>
      </c>
      <c r="B233">
        <v>0</v>
      </c>
      <c r="C233" t="s">
        <v>523</v>
      </c>
      <c r="D233" t="s">
        <v>506</v>
      </c>
      <c r="E233" t="s">
        <v>515</v>
      </c>
      <c r="L233"/>
    </row>
    <row r="234" spans="1:12" x14ac:dyDescent="0.35">
      <c r="A234" t="s">
        <v>2870</v>
      </c>
      <c r="B234">
        <v>0</v>
      </c>
      <c r="C234" t="s">
        <v>523</v>
      </c>
      <c r="D234" t="s">
        <v>506</v>
      </c>
      <c r="E234" t="s">
        <v>515</v>
      </c>
      <c r="L234"/>
    </row>
    <row r="235" spans="1:12" x14ac:dyDescent="0.35">
      <c r="A235" t="s">
        <v>2871</v>
      </c>
      <c r="B235">
        <v>0</v>
      </c>
      <c r="C235" t="s">
        <v>523</v>
      </c>
      <c r="D235" t="s">
        <v>513</v>
      </c>
      <c r="E235" t="s">
        <v>517</v>
      </c>
      <c r="L235"/>
    </row>
    <row r="236" spans="1:12" x14ac:dyDescent="0.35">
      <c r="A236" t="s">
        <v>2872</v>
      </c>
      <c r="B236">
        <v>0</v>
      </c>
      <c r="C236" t="s">
        <v>523</v>
      </c>
      <c r="D236" t="s">
        <v>513</v>
      </c>
      <c r="E236" t="s">
        <v>519</v>
      </c>
      <c r="L236"/>
    </row>
    <row r="237" spans="1:12" x14ac:dyDescent="0.35">
      <c r="A237" t="s">
        <v>2873</v>
      </c>
      <c r="B237">
        <v>0</v>
      </c>
      <c r="C237" t="s">
        <v>523</v>
      </c>
      <c r="D237" t="s">
        <v>513</v>
      </c>
      <c r="E237" t="s">
        <v>517</v>
      </c>
      <c r="L237"/>
    </row>
    <row r="238" spans="1:12" x14ac:dyDescent="0.35">
      <c r="A238" t="s">
        <v>2874</v>
      </c>
      <c r="B238">
        <v>0</v>
      </c>
      <c r="C238" t="s">
        <v>523</v>
      </c>
      <c r="D238" t="s">
        <v>506</v>
      </c>
      <c r="E238" t="s">
        <v>515</v>
      </c>
      <c r="L238"/>
    </row>
    <row r="239" spans="1:12" x14ac:dyDescent="0.35">
      <c r="A239" t="s">
        <v>2875</v>
      </c>
      <c r="B239">
        <v>0</v>
      </c>
      <c r="C239" t="s">
        <v>523</v>
      </c>
      <c r="D239" t="s">
        <v>506</v>
      </c>
      <c r="E239" t="s">
        <v>515</v>
      </c>
      <c r="L239"/>
    </row>
    <row r="240" spans="1:12" x14ac:dyDescent="0.35">
      <c r="A240" t="s">
        <v>2876</v>
      </c>
      <c r="B240">
        <v>0</v>
      </c>
      <c r="C240" t="s">
        <v>523</v>
      </c>
      <c r="D240" t="s">
        <v>513</v>
      </c>
      <c r="E240" t="s">
        <v>517</v>
      </c>
      <c r="L240"/>
    </row>
    <row r="241" spans="1:12" x14ac:dyDescent="0.35">
      <c r="A241" t="s">
        <v>2877</v>
      </c>
      <c r="B241">
        <v>0</v>
      </c>
      <c r="C241" t="s">
        <v>523</v>
      </c>
      <c r="D241" t="s">
        <v>513</v>
      </c>
      <c r="E241" t="s">
        <v>517</v>
      </c>
      <c r="L241"/>
    </row>
    <row r="242" spans="1:12" x14ac:dyDescent="0.35">
      <c r="A242" t="s">
        <v>2878</v>
      </c>
      <c r="B242">
        <v>0</v>
      </c>
      <c r="C242" t="s">
        <v>523</v>
      </c>
      <c r="D242" t="s">
        <v>506</v>
      </c>
      <c r="E242" t="s">
        <v>515</v>
      </c>
      <c r="L242"/>
    </row>
    <row r="243" spans="1:12" x14ac:dyDescent="0.35">
      <c r="A243" t="s">
        <v>2879</v>
      </c>
      <c r="B243">
        <v>0</v>
      </c>
      <c r="C243" t="s">
        <v>523</v>
      </c>
      <c r="D243" t="s">
        <v>506</v>
      </c>
      <c r="E243" t="s">
        <v>515</v>
      </c>
      <c r="L243"/>
    </row>
    <row r="244" spans="1:12" x14ac:dyDescent="0.35">
      <c r="A244" t="s">
        <v>2880</v>
      </c>
      <c r="B244">
        <v>0</v>
      </c>
      <c r="C244" t="s">
        <v>523</v>
      </c>
      <c r="D244" t="s">
        <v>506</v>
      </c>
      <c r="E244" t="s">
        <v>515</v>
      </c>
      <c r="L244"/>
    </row>
    <row r="245" spans="1:12" x14ac:dyDescent="0.35">
      <c r="A245" t="s">
        <v>2881</v>
      </c>
      <c r="B245">
        <v>0</v>
      </c>
      <c r="C245" t="s">
        <v>523</v>
      </c>
      <c r="D245" t="s">
        <v>506</v>
      </c>
      <c r="E245" t="s">
        <v>515</v>
      </c>
      <c r="L245"/>
    </row>
    <row r="246" spans="1:12" x14ac:dyDescent="0.35">
      <c r="A246" t="s">
        <v>2882</v>
      </c>
      <c r="B246">
        <v>0</v>
      </c>
      <c r="C246" t="s">
        <v>523</v>
      </c>
      <c r="D246" t="s">
        <v>506</v>
      </c>
      <c r="E246" t="s">
        <v>515</v>
      </c>
      <c r="L246"/>
    </row>
    <row r="247" spans="1:12" x14ac:dyDescent="0.35">
      <c r="A247" t="s">
        <v>2883</v>
      </c>
      <c r="B247">
        <v>0</v>
      </c>
      <c r="C247" t="s">
        <v>523</v>
      </c>
      <c r="D247" t="s">
        <v>506</v>
      </c>
      <c r="E247" t="s">
        <v>515</v>
      </c>
      <c r="L247"/>
    </row>
    <row r="248" spans="1:12" x14ac:dyDescent="0.35">
      <c r="A248" t="s">
        <v>2884</v>
      </c>
      <c r="B248">
        <v>0</v>
      </c>
      <c r="C248" t="s">
        <v>523</v>
      </c>
      <c r="D248" t="s">
        <v>506</v>
      </c>
      <c r="E248" t="s">
        <v>515</v>
      </c>
      <c r="L248"/>
    </row>
    <row r="249" spans="1:12" x14ac:dyDescent="0.35">
      <c r="A249" t="s">
        <v>2885</v>
      </c>
      <c r="B249">
        <v>0</v>
      </c>
      <c r="C249" t="s">
        <v>523</v>
      </c>
      <c r="D249" t="s">
        <v>506</v>
      </c>
      <c r="E249" t="s">
        <v>515</v>
      </c>
      <c r="L249"/>
    </row>
    <row r="250" spans="1:12" x14ac:dyDescent="0.35">
      <c r="A250" t="s">
        <v>2886</v>
      </c>
      <c r="B250">
        <v>0</v>
      </c>
      <c r="C250" t="s">
        <v>523</v>
      </c>
      <c r="D250" t="s">
        <v>506</v>
      </c>
      <c r="E250" t="s">
        <v>515</v>
      </c>
      <c r="L250"/>
    </row>
    <row r="251" spans="1:12" x14ac:dyDescent="0.35">
      <c r="A251" t="s">
        <v>2887</v>
      </c>
      <c r="B251">
        <v>0</v>
      </c>
      <c r="C251" t="s">
        <v>523</v>
      </c>
      <c r="D251" t="s">
        <v>506</v>
      </c>
      <c r="E251" t="s">
        <v>515</v>
      </c>
      <c r="L251"/>
    </row>
    <row r="252" spans="1:12" x14ac:dyDescent="0.35">
      <c r="A252" t="s">
        <v>2888</v>
      </c>
      <c r="B252">
        <v>0</v>
      </c>
      <c r="C252" t="s">
        <v>523</v>
      </c>
      <c r="D252" t="s">
        <v>506</v>
      </c>
      <c r="E252" t="s">
        <v>515</v>
      </c>
      <c r="L252"/>
    </row>
    <row r="253" spans="1:12" x14ac:dyDescent="0.35">
      <c r="A253" t="s">
        <v>2889</v>
      </c>
      <c r="B253">
        <v>0</v>
      </c>
      <c r="C253" t="s">
        <v>523</v>
      </c>
      <c r="D253" t="s">
        <v>506</v>
      </c>
      <c r="E253" t="s">
        <v>515</v>
      </c>
      <c r="L253"/>
    </row>
    <row r="254" spans="1:12" x14ac:dyDescent="0.35">
      <c r="A254" t="s">
        <v>2890</v>
      </c>
      <c r="B254">
        <v>0</v>
      </c>
      <c r="C254" t="s">
        <v>523</v>
      </c>
      <c r="D254" t="s">
        <v>506</v>
      </c>
      <c r="E254" t="s">
        <v>515</v>
      </c>
      <c r="L254"/>
    </row>
    <row r="255" spans="1:12" x14ac:dyDescent="0.35">
      <c r="A255" t="s">
        <v>2891</v>
      </c>
      <c r="B255">
        <v>0</v>
      </c>
      <c r="C255" t="s">
        <v>523</v>
      </c>
      <c r="D255" t="s">
        <v>506</v>
      </c>
      <c r="E255" t="s">
        <v>515</v>
      </c>
      <c r="L255"/>
    </row>
    <row r="256" spans="1:12" x14ac:dyDescent="0.35">
      <c r="A256" t="s">
        <v>2892</v>
      </c>
      <c r="B256">
        <v>0</v>
      </c>
      <c r="C256" t="s">
        <v>523</v>
      </c>
      <c r="D256" t="s">
        <v>506</v>
      </c>
      <c r="E256" t="s">
        <v>515</v>
      </c>
      <c r="L256"/>
    </row>
    <row r="257" spans="1:12" x14ac:dyDescent="0.35">
      <c r="A257" t="s">
        <v>3451</v>
      </c>
      <c r="B257">
        <v>0</v>
      </c>
      <c r="C257" t="s">
        <v>523</v>
      </c>
      <c r="D257" t="s">
        <v>506</v>
      </c>
      <c r="E257" t="s">
        <v>515</v>
      </c>
      <c r="L257"/>
    </row>
    <row r="258" spans="1:12" x14ac:dyDescent="0.35">
      <c r="A258" t="s">
        <v>2893</v>
      </c>
      <c r="B258">
        <v>0</v>
      </c>
      <c r="C258" t="s">
        <v>523</v>
      </c>
      <c r="D258" t="s">
        <v>506</v>
      </c>
      <c r="E258" t="s">
        <v>515</v>
      </c>
      <c r="L258"/>
    </row>
    <row r="259" spans="1:12" x14ac:dyDescent="0.35">
      <c r="A259" t="s">
        <v>2894</v>
      </c>
      <c r="B259">
        <v>0</v>
      </c>
      <c r="C259" t="s">
        <v>523</v>
      </c>
      <c r="D259" t="s">
        <v>506</v>
      </c>
      <c r="E259" t="s">
        <v>515</v>
      </c>
      <c r="L259"/>
    </row>
    <row r="260" spans="1:12" x14ac:dyDescent="0.35">
      <c r="A260" t="s">
        <v>2895</v>
      </c>
      <c r="B260">
        <v>0</v>
      </c>
      <c r="C260" t="s">
        <v>523</v>
      </c>
      <c r="D260" t="s">
        <v>506</v>
      </c>
      <c r="E260" t="s">
        <v>515</v>
      </c>
      <c r="L260"/>
    </row>
    <row r="261" spans="1:12" x14ac:dyDescent="0.35">
      <c r="A261" t="s">
        <v>2896</v>
      </c>
      <c r="B261">
        <v>0</v>
      </c>
      <c r="C261" t="s">
        <v>523</v>
      </c>
      <c r="D261" t="s">
        <v>506</v>
      </c>
      <c r="E261" t="s">
        <v>515</v>
      </c>
      <c r="L261"/>
    </row>
    <row r="262" spans="1:12" x14ac:dyDescent="0.35">
      <c r="A262" t="s">
        <v>2897</v>
      </c>
      <c r="B262">
        <v>0</v>
      </c>
      <c r="C262" t="s">
        <v>523</v>
      </c>
      <c r="D262" t="s">
        <v>506</v>
      </c>
      <c r="E262" t="s">
        <v>515</v>
      </c>
      <c r="L262"/>
    </row>
    <row r="263" spans="1:12" x14ac:dyDescent="0.35">
      <c r="A263" t="s">
        <v>2898</v>
      </c>
      <c r="B263">
        <v>0</v>
      </c>
      <c r="C263" t="s">
        <v>523</v>
      </c>
      <c r="D263" t="s">
        <v>506</v>
      </c>
      <c r="E263" t="s">
        <v>515</v>
      </c>
      <c r="L263"/>
    </row>
    <row r="264" spans="1:12" x14ac:dyDescent="0.35">
      <c r="A264" t="s">
        <v>2899</v>
      </c>
      <c r="B264">
        <v>0</v>
      </c>
      <c r="C264" t="s">
        <v>523</v>
      </c>
      <c r="D264" t="s">
        <v>506</v>
      </c>
      <c r="E264" t="s">
        <v>515</v>
      </c>
      <c r="L264"/>
    </row>
    <row r="265" spans="1:12" x14ac:dyDescent="0.35">
      <c r="A265" t="s">
        <v>2900</v>
      </c>
      <c r="B265">
        <v>0</v>
      </c>
      <c r="C265" t="s">
        <v>523</v>
      </c>
      <c r="D265" t="s">
        <v>506</v>
      </c>
      <c r="E265" t="s">
        <v>515</v>
      </c>
      <c r="L265"/>
    </row>
    <row r="266" spans="1:12" x14ac:dyDescent="0.35">
      <c r="A266" t="s">
        <v>3470</v>
      </c>
      <c r="B266">
        <v>0</v>
      </c>
      <c r="C266" t="s">
        <v>523</v>
      </c>
      <c r="D266" t="s">
        <v>506</v>
      </c>
      <c r="E266" t="s">
        <v>515</v>
      </c>
      <c r="L266"/>
    </row>
    <row r="267" spans="1:12" x14ac:dyDescent="0.35">
      <c r="A267" t="s">
        <v>2901</v>
      </c>
      <c r="B267">
        <v>0</v>
      </c>
      <c r="C267" t="s">
        <v>523</v>
      </c>
      <c r="D267" t="s">
        <v>506</v>
      </c>
      <c r="E267" t="s">
        <v>515</v>
      </c>
      <c r="L267"/>
    </row>
    <row r="268" spans="1:12" x14ac:dyDescent="0.35">
      <c r="A268" t="s">
        <v>2902</v>
      </c>
      <c r="B268">
        <v>0</v>
      </c>
      <c r="C268" t="s">
        <v>523</v>
      </c>
      <c r="D268" t="s">
        <v>513</v>
      </c>
      <c r="E268" t="s">
        <v>517</v>
      </c>
      <c r="L268"/>
    </row>
    <row r="269" spans="1:12" x14ac:dyDescent="0.35">
      <c r="A269" t="s">
        <v>2903</v>
      </c>
      <c r="B269">
        <v>0</v>
      </c>
      <c r="C269" t="s">
        <v>523</v>
      </c>
      <c r="D269" t="s">
        <v>506</v>
      </c>
      <c r="E269" t="s">
        <v>515</v>
      </c>
      <c r="L269"/>
    </row>
    <row r="270" spans="1:12" x14ac:dyDescent="0.35">
      <c r="A270" t="s">
        <v>2904</v>
      </c>
      <c r="B270">
        <v>0</v>
      </c>
      <c r="C270" t="s">
        <v>523</v>
      </c>
      <c r="D270" t="s">
        <v>506</v>
      </c>
      <c r="E270" t="s">
        <v>515</v>
      </c>
      <c r="L270"/>
    </row>
    <row r="271" spans="1:12" x14ac:dyDescent="0.35">
      <c r="A271" t="s">
        <v>2905</v>
      </c>
      <c r="B271">
        <v>0</v>
      </c>
      <c r="C271" t="s">
        <v>523</v>
      </c>
      <c r="D271" t="s">
        <v>506</v>
      </c>
      <c r="E271" t="s">
        <v>515</v>
      </c>
      <c r="L271"/>
    </row>
    <row r="272" spans="1:12" x14ac:dyDescent="0.35">
      <c r="A272" t="s">
        <v>2906</v>
      </c>
      <c r="B272">
        <v>0</v>
      </c>
      <c r="C272" t="s">
        <v>523</v>
      </c>
      <c r="D272" t="s">
        <v>506</v>
      </c>
      <c r="E272" t="s">
        <v>515</v>
      </c>
      <c r="L272"/>
    </row>
    <row r="273" spans="1:12" x14ac:dyDescent="0.35">
      <c r="A273" t="s">
        <v>2907</v>
      </c>
      <c r="B273">
        <v>0</v>
      </c>
      <c r="C273" t="s">
        <v>523</v>
      </c>
      <c r="D273" t="s">
        <v>506</v>
      </c>
      <c r="E273" t="s">
        <v>515</v>
      </c>
      <c r="L273"/>
    </row>
    <row r="274" spans="1:12" x14ac:dyDescent="0.35">
      <c r="A274" t="s">
        <v>2908</v>
      </c>
      <c r="B274">
        <v>0</v>
      </c>
      <c r="C274" t="s">
        <v>523</v>
      </c>
      <c r="D274" t="s">
        <v>506</v>
      </c>
      <c r="E274" t="s">
        <v>515</v>
      </c>
      <c r="L274"/>
    </row>
    <row r="275" spans="1:12" x14ac:dyDescent="0.35">
      <c r="A275" t="s">
        <v>2909</v>
      </c>
      <c r="B275">
        <v>0</v>
      </c>
      <c r="C275" t="s">
        <v>523</v>
      </c>
      <c r="D275" t="s">
        <v>506</v>
      </c>
      <c r="E275" t="s">
        <v>515</v>
      </c>
      <c r="L275"/>
    </row>
    <row r="276" spans="1:12" x14ac:dyDescent="0.35">
      <c r="A276" t="s">
        <v>2910</v>
      </c>
      <c r="B276">
        <v>0</v>
      </c>
      <c r="C276" t="s">
        <v>523</v>
      </c>
      <c r="D276" t="s">
        <v>506</v>
      </c>
      <c r="E276" t="s">
        <v>515</v>
      </c>
      <c r="L276"/>
    </row>
    <row r="277" spans="1:12" x14ac:dyDescent="0.35">
      <c r="A277" t="s">
        <v>2911</v>
      </c>
      <c r="B277">
        <v>0</v>
      </c>
      <c r="C277" t="s">
        <v>523</v>
      </c>
      <c r="D277" t="s">
        <v>506</v>
      </c>
      <c r="E277" t="s">
        <v>515</v>
      </c>
      <c r="L277"/>
    </row>
    <row r="278" spans="1:12" x14ac:dyDescent="0.35">
      <c r="A278" t="s">
        <v>2912</v>
      </c>
      <c r="B278">
        <v>0</v>
      </c>
      <c r="C278" t="s">
        <v>523</v>
      </c>
      <c r="D278" t="s">
        <v>506</v>
      </c>
      <c r="E278" t="s">
        <v>515</v>
      </c>
      <c r="L278"/>
    </row>
    <row r="279" spans="1:12" x14ac:dyDescent="0.35">
      <c r="A279" t="s">
        <v>2913</v>
      </c>
      <c r="B279">
        <v>0</v>
      </c>
      <c r="C279" t="s">
        <v>523</v>
      </c>
      <c r="D279" t="s">
        <v>506</v>
      </c>
      <c r="E279" t="s">
        <v>515</v>
      </c>
      <c r="L279"/>
    </row>
    <row r="280" spans="1:12" x14ac:dyDescent="0.35">
      <c r="A280" t="s">
        <v>2914</v>
      </c>
      <c r="B280">
        <v>0</v>
      </c>
      <c r="C280" t="s">
        <v>523</v>
      </c>
      <c r="D280" t="s">
        <v>506</v>
      </c>
      <c r="E280" t="s">
        <v>515</v>
      </c>
      <c r="L280"/>
    </row>
    <row r="281" spans="1:12" x14ac:dyDescent="0.35">
      <c r="A281" t="s">
        <v>2915</v>
      </c>
      <c r="B281">
        <v>0</v>
      </c>
      <c r="C281" t="s">
        <v>523</v>
      </c>
      <c r="D281" t="s">
        <v>506</v>
      </c>
      <c r="E281" t="s">
        <v>515</v>
      </c>
      <c r="L281"/>
    </row>
    <row r="282" spans="1:12" x14ac:dyDescent="0.35">
      <c r="A282" t="s">
        <v>2916</v>
      </c>
      <c r="B282">
        <v>0</v>
      </c>
      <c r="C282" t="s">
        <v>523</v>
      </c>
      <c r="D282" t="s">
        <v>506</v>
      </c>
      <c r="E282" t="s">
        <v>515</v>
      </c>
      <c r="L282"/>
    </row>
    <row r="283" spans="1:12" x14ac:dyDescent="0.35">
      <c r="A283" t="s">
        <v>2917</v>
      </c>
      <c r="B283">
        <v>0</v>
      </c>
      <c r="C283" t="s">
        <v>523</v>
      </c>
      <c r="D283" t="s">
        <v>513</v>
      </c>
      <c r="E283" t="s">
        <v>519</v>
      </c>
      <c r="L283"/>
    </row>
    <row r="284" spans="1:12" x14ac:dyDescent="0.35">
      <c r="A284" t="s">
        <v>2918</v>
      </c>
      <c r="B284">
        <v>0</v>
      </c>
      <c r="C284" t="s">
        <v>523</v>
      </c>
      <c r="D284" t="s">
        <v>506</v>
      </c>
      <c r="E284" t="s">
        <v>515</v>
      </c>
      <c r="L284"/>
    </row>
    <row r="285" spans="1:12" x14ac:dyDescent="0.35">
      <c r="A285" t="s">
        <v>2919</v>
      </c>
      <c r="B285">
        <v>0</v>
      </c>
      <c r="C285" t="s">
        <v>523</v>
      </c>
      <c r="D285" t="s">
        <v>508</v>
      </c>
      <c r="E285" t="s">
        <v>515</v>
      </c>
      <c r="L285"/>
    </row>
    <row r="286" spans="1:12" x14ac:dyDescent="0.35">
      <c r="A286" t="s">
        <v>2920</v>
      </c>
      <c r="B286">
        <v>0</v>
      </c>
      <c r="C286" t="s">
        <v>523</v>
      </c>
      <c r="D286" t="s">
        <v>513</v>
      </c>
      <c r="E286" t="s">
        <v>519</v>
      </c>
      <c r="L286"/>
    </row>
    <row r="287" spans="1:12" x14ac:dyDescent="0.35">
      <c r="A287" t="s">
        <v>2921</v>
      </c>
      <c r="B287">
        <v>0</v>
      </c>
      <c r="C287" t="s">
        <v>523</v>
      </c>
      <c r="D287" t="s">
        <v>506</v>
      </c>
      <c r="E287" t="s">
        <v>515</v>
      </c>
      <c r="L287"/>
    </row>
    <row r="288" spans="1:12" x14ac:dyDescent="0.35">
      <c r="A288" t="s">
        <v>2922</v>
      </c>
      <c r="B288">
        <v>0</v>
      </c>
      <c r="C288" t="s">
        <v>523</v>
      </c>
      <c r="D288" t="s">
        <v>506</v>
      </c>
      <c r="E288" t="s">
        <v>515</v>
      </c>
      <c r="L288"/>
    </row>
    <row r="289" spans="1:12" x14ac:dyDescent="0.35">
      <c r="A289" t="s">
        <v>2923</v>
      </c>
      <c r="B289">
        <v>0</v>
      </c>
      <c r="C289" t="s">
        <v>523</v>
      </c>
      <c r="D289" t="s">
        <v>506</v>
      </c>
      <c r="E289" t="s">
        <v>515</v>
      </c>
      <c r="L289"/>
    </row>
    <row r="290" spans="1:12" x14ac:dyDescent="0.35">
      <c r="A290" t="s">
        <v>2924</v>
      </c>
      <c r="B290">
        <v>0</v>
      </c>
      <c r="C290" t="s">
        <v>523</v>
      </c>
      <c r="D290" t="s">
        <v>506</v>
      </c>
      <c r="E290" t="s">
        <v>515</v>
      </c>
      <c r="L290"/>
    </row>
    <row r="291" spans="1:12" x14ac:dyDescent="0.35">
      <c r="A291" t="s">
        <v>2925</v>
      </c>
      <c r="B291">
        <v>0</v>
      </c>
      <c r="C291" t="s">
        <v>523</v>
      </c>
      <c r="D291" t="s">
        <v>506</v>
      </c>
      <c r="E291" t="s">
        <v>515</v>
      </c>
      <c r="L291"/>
    </row>
    <row r="292" spans="1:12" x14ac:dyDescent="0.35">
      <c r="A292" t="s">
        <v>2926</v>
      </c>
      <c r="B292">
        <v>0</v>
      </c>
      <c r="C292" t="s">
        <v>523</v>
      </c>
      <c r="D292" t="s">
        <v>506</v>
      </c>
      <c r="E292" t="s">
        <v>515</v>
      </c>
      <c r="L292"/>
    </row>
    <row r="293" spans="1:12" x14ac:dyDescent="0.35">
      <c r="A293" t="s">
        <v>2927</v>
      </c>
      <c r="B293">
        <v>0</v>
      </c>
      <c r="C293" t="s">
        <v>523</v>
      </c>
      <c r="D293" t="s">
        <v>506</v>
      </c>
      <c r="E293" t="s">
        <v>515</v>
      </c>
      <c r="L293"/>
    </row>
    <row r="294" spans="1:12" x14ac:dyDescent="0.35">
      <c r="A294" t="s">
        <v>2928</v>
      </c>
      <c r="B294">
        <v>0</v>
      </c>
      <c r="C294" t="s">
        <v>523</v>
      </c>
      <c r="D294" t="s">
        <v>506</v>
      </c>
      <c r="E294" t="s">
        <v>515</v>
      </c>
      <c r="L294"/>
    </row>
    <row r="295" spans="1:12" x14ac:dyDescent="0.35">
      <c r="A295" t="s">
        <v>2929</v>
      </c>
      <c r="B295">
        <v>0</v>
      </c>
      <c r="C295" t="s">
        <v>523</v>
      </c>
      <c r="D295" t="s">
        <v>506</v>
      </c>
      <c r="E295" t="s">
        <v>515</v>
      </c>
      <c r="L295"/>
    </row>
    <row r="296" spans="1:12" x14ac:dyDescent="0.35">
      <c r="A296" t="s">
        <v>2930</v>
      </c>
      <c r="B296">
        <v>0</v>
      </c>
      <c r="C296" t="s">
        <v>523</v>
      </c>
      <c r="D296" t="s">
        <v>507</v>
      </c>
      <c r="E296" t="s">
        <v>516</v>
      </c>
      <c r="L296"/>
    </row>
    <row r="297" spans="1:12" x14ac:dyDescent="0.35">
      <c r="A297" t="s">
        <v>2931</v>
      </c>
      <c r="B297">
        <v>0</v>
      </c>
      <c r="C297" t="s">
        <v>523</v>
      </c>
      <c r="D297" t="s">
        <v>506</v>
      </c>
      <c r="E297" t="s">
        <v>515</v>
      </c>
      <c r="L297"/>
    </row>
    <row r="298" spans="1:12" x14ac:dyDescent="0.35">
      <c r="A298" t="s">
        <v>2932</v>
      </c>
      <c r="B298">
        <v>0</v>
      </c>
      <c r="C298" t="s">
        <v>523</v>
      </c>
      <c r="D298" t="s">
        <v>506</v>
      </c>
      <c r="E298" t="s">
        <v>515</v>
      </c>
      <c r="L298"/>
    </row>
    <row r="299" spans="1:12" x14ac:dyDescent="0.35">
      <c r="A299" t="s">
        <v>2933</v>
      </c>
      <c r="B299">
        <v>0</v>
      </c>
      <c r="C299" t="s">
        <v>523</v>
      </c>
      <c r="D299" t="s">
        <v>506</v>
      </c>
      <c r="E299" t="s">
        <v>515</v>
      </c>
      <c r="L299"/>
    </row>
    <row r="300" spans="1:12" x14ac:dyDescent="0.35">
      <c r="A300" t="s">
        <v>2934</v>
      </c>
      <c r="B300">
        <v>0</v>
      </c>
      <c r="C300" t="s">
        <v>523</v>
      </c>
      <c r="D300" t="s">
        <v>506</v>
      </c>
      <c r="E300" t="s">
        <v>515</v>
      </c>
      <c r="L300"/>
    </row>
    <row r="301" spans="1:12" x14ac:dyDescent="0.35">
      <c r="A301" t="s">
        <v>2935</v>
      </c>
      <c r="B301">
        <v>0</v>
      </c>
      <c r="C301" t="s">
        <v>523</v>
      </c>
      <c r="D301" t="s">
        <v>510</v>
      </c>
      <c r="E301" t="s">
        <v>517</v>
      </c>
      <c r="L301"/>
    </row>
    <row r="302" spans="1:12" x14ac:dyDescent="0.35">
      <c r="A302" t="s">
        <v>2936</v>
      </c>
      <c r="B302">
        <v>0</v>
      </c>
      <c r="C302" t="s">
        <v>523</v>
      </c>
      <c r="D302" t="s">
        <v>510</v>
      </c>
      <c r="E302" t="s">
        <v>517</v>
      </c>
      <c r="L302"/>
    </row>
    <row r="303" spans="1:12" x14ac:dyDescent="0.35">
      <c r="A303" t="s">
        <v>2937</v>
      </c>
      <c r="B303">
        <v>0</v>
      </c>
      <c r="C303" t="s">
        <v>523</v>
      </c>
      <c r="D303" t="s">
        <v>510</v>
      </c>
      <c r="E303" t="s">
        <v>517</v>
      </c>
      <c r="L303"/>
    </row>
    <row r="304" spans="1:12" x14ac:dyDescent="0.35">
      <c r="A304" t="s">
        <v>2938</v>
      </c>
      <c r="B304">
        <v>0</v>
      </c>
      <c r="C304" t="s">
        <v>523</v>
      </c>
      <c r="D304" t="s">
        <v>510</v>
      </c>
      <c r="E304" t="s">
        <v>517</v>
      </c>
      <c r="L304"/>
    </row>
    <row r="305" spans="1:12" x14ac:dyDescent="0.35">
      <c r="A305" t="s">
        <v>2939</v>
      </c>
      <c r="B305">
        <v>0</v>
      </c>
      <c r="C305" t="s">
        <v>523</v>
      </c>
      <c r="D305" t="s">
        <v>510</v>
      </c>
      <c r="E305" t="s">
        <v>517</v>
      </c>
      <c r="L305"/>
    </row>
    <row r="306" spans="1:12" x14ac:dyDescent="0.35">
      <c r="A306" t="s">
        <v>2940</v>
      </c>
      <c r="B306">
        <v>0</v>
      </c>
      <c r="C306" t="s">
        <v>523</v>
      </c>
      <c r="D306" t="s">
        <v>510</v>
      </c>
      <c r="E306" t="s">
        <v>517</v>
      </c>
      <c r="L306"/>
    </row>
    <row r="307" spans="1:12" x14ac:dyDescent="0.35">
      <c r="A307" t="s">
        <v>2941</v>
      </c>
      <c r="B307">
        <v>0</v>
      </c>
      <c r="C307" t="s">
        <v>523</v>
      </c>
      <c r="D307" t="s">
        <v>510</v>
      </c>
      <c r="E307" t="s">
        <v>517</v>
      </c>
      <c r="L307"/>
    </row>
    <row r="308" spans="1:12" x14ac:dyDescent="0.35">
      <c r="A308" t="s">
        <v>2942</v>
      </c>
      <c r="B308">
        <v>0</v>
      </c>
      <c r="C308" t="s">
        <v>523</v>
      </c>
      <c r="D308" t="s">
        <v>510</v>
      </c>
      <c r="E308" t="s">
        <v>517</v>
      </c>
      <c r="L308"/>
    </row>
    <row r="309" spans="1:12" x14ac:dyDescent="0.35">
      <c r="A309" t="s">
        <v>2943</v>
      </c>
      <c r="B309">
        <v>0</v>
      </c>
      <c r="C309" t="s">
        <v>523</v>
      </c>
      <c r="D309" t="s">
        <v>510</v>
      </c>
      <c r="E309" t="s">
        <v>517</v>
      </c>
      <c r="L309"/>
    </row>
    <row r="310" spans="1:12" x14ac:dyDescent="0.35">
      <c r="A310" t="s">
        <v>2944</v>
      </c>
      <c r="B310">
        <v>0</v>
      </c>
      <c r="C310" t="s">
        <v>523</v>
      </c>
      <c r="D310" t="s">
        <v>510</v>
      </c>
      <c r="E310" t="s">
        <v>517</v>
      </c>
      <c r="L310"/>
    </row>
    <row r="311" spans="1:12" x14ac:dyDescent="0.35">
      <c r="A311" t="s">
        <v>2945</v>
      </c>
      <c r="B311">
        <v>0</v>
      </c>
      <c r="C311" t="s">
        <v>523</v>
      </c>
      <c r="D311" t="s">
        <v>510</v>
      </c>
      <c r="E311" t="s">
        <v>517</v>
      </c>
      <c r="L311"/>
    </row>
    <row r="312" spans="1:12" x14ac:dyDescent="0.35">
      <c r="A312" t="s">
        <v>2946</v>
      </c>
      <c r="B312">
        <v>0</v>
      </c>
      <c r="C312" t="s">
        <v>523</v>
      </c>
      <c r="D312" t="s">
        <v>510</v>
      </c>
      <c r="E312" t="s">
        <v>517</v>
      </c>
      <c r="L312"/>
    </row>
    <row r="313" spans="1:12" x14ac:dyDescent="0.35">
      <c r="A313" t="s">
        <v>2947</v>
      </c>
      <c r="B313">
        <v>0</v>
      </c>
      <c r="C313" t="s">
        <v>523</v>
      </c>
      <c r="D313" t="s">
        <v>510</v>
      </c>
      <c r="E313" t="s">
        <v>517</v>
      </c>
      <c r="L313"/>
    </row>
    <row r="314" spans="1:12" x14ac:dyDescent="0.35">
      <c r="A314" t="s">
        <v>2948</v>
      </c>
      <c r="B314">
        <v>0</v>
      </c>
      <c r="C314" t="s">
        <v>523</v>
      </c>
      <c r="D314" t="s">
        <v>510</v>
      </c>
      <c r="E314" t="s">
        <v>517</v>
      </c>
      <c r="L314"/>
    </row>
    <row r="315" spans="1:12" x14ac:dyDescent="0.35">
      <c r="A315" t="s">
        <v>2949</v>
      </c>
      <c r="B315">
        <v>0</v>
      </c>
      <c r="C315" t="s">
        <v>523</v>
      </c>
      <c r="D315" t="s">
        <v>510</v>
      </c>
      <c r="E315" t="s">
        <v>517</v>
      </c>
      <c r="L315"/>
    </row>
    <row r="316" spans="1:12" x14ac:dyDescent="0.35">
      <c r="A316" t="s">
        <v>2950</v>
      </c>
      <c r="B316">
        <v>0</v>
      </c>
      <c r="C316" t="s">
        <v>523</v>
      </c>
      <c r="D316" t="s">
        <v>510</v>
      </c>
      <c r="E316" t="s">
        <v>517</v>
      </c>
      <c r="L316"/>
    </row>
    <row r="317" spans="1:12" x14ac:dyDescent="0.35">
      <c r="A317" t="s">
        <v>2951</v>
      </c>
      <c r="B317">
        <v>0</v>
      </c>
      <c r="C317" t="s">
        <v>523</v>
      </c>
      <c r="D317" t="s">
        <v>510</v>
      </c>
      <c r="E317" t="s">
        <v>517</v>
      </c>
      <c r="L317"/>
    </row>
    <row r="318" spans="1:12" x14ac:dyDescent="0.35">
      <c r="A318" t="s">
        <v>2952</v>
      </c>
      <c r="B318">
        <v>0</v>
      </c>
      <c r="C318" t="s">
        <v>523</v>
      </c>
      <c r="D318" t="s">
        <v>510</v>
      </c>
      <c r="E318" t="s">
        <v>517</v>
      </c>
      <c r="L318"/>
    </row>
    <row r="319" spans="1:12" x14ac:dyDescent="0.35">
      <c r="A319" t="s">
        <v>2953</v>
      </c>
      <c r="B319">
        <v>0</v>
      </c>
      <c r="C319" t="s">
        <v>523</v>
      </c>
      <c r="D319" t="s">
        <v>510</v>
      </c>
      <c r="E319" t="s">
        <v>517</v>
      </c>
      <c r="L319"/>
    </row>
    <row r="320" spans="1:12" x14ac:dyDescent="0.35">
      <c r="A320" t="s">
        <v>2954</v>
      </c>
      <c r="B320">
        <v>0</v>
      </c>
      <c r="C320" t="s">
        <v>523</v>
      </c>
      <c r="D320" t="s">
        <v>510</v>
      </c>
      <c r="E320" t="s">
        <v>517</v>
      </c>
      <c r="L320"/>
    </row>
    <row r="321" spans="1:12" x14ac:dyDescent="0.35">
      <c r="A321" t="s">
        <v>2955</v>
      </c>
      <c r="B321">
        <v>0</v>
      </c>
      <c r="C321" t="s">
        <v>523</v>
      </c>
      <c r="D321" t="s">
        <v>510</v>
      </c>
      <c r="E321" t="s">
        <v>517</v>
      </c>
      <c r="L321"/>
    </row>
    <row r="322" spans="1:12" x14ac:dyDescent="0.35">
      <c r="A322" t="s">
        <v>2956</v>
      </c>
      <c r="B322">
        <v>0</v>
      </c>
      <c r="C322" t="s">
        <v>523</v>
      </c>
      <c r="D322" t="s">
        <v>510</v>
      </c>
      <c r="E322" t="s">
        <v>517</v>
      </c>
      <c r="L322"/>
    </row>
    <row r="323" spans="1:12" x14ac:dyDescent="0.35">
      <c r="A323" t="s">
        <v>2957</v>
      </c>
      <c r="B323">
        <v>0</v>
      </c>
      <c r="C323" t="s">
        <v>523</v>
      </c>
      <c r="D323" t="s">
        <v>510</v>
      </c>
      <c r="E323" t="s">
        <v>517</v>
      </c>
      <c r="L323"/>
    </row>
    <row r="324" spans="1:12" x14ac:dyDescent="0.35">
      <c r="A324" t="s">
        <v>2958</v>
      </c>
      <c r="B324">
        <v>0</v>
      </c>
      <c r="C324" t="s">
        <v>523</v>
      </c>
      <c r="D324" t="s">
        <v>510</v>
      </c>
      <c r="E324" t="s">
        <v>517</v>
      </c>
      <c r="L324"/>
    </row>
    <row r="325" spans="1:12" x14ac:dyDescent="0.35">
      <c r="A325" t="s">
        <v>2959</v>
      </c>
      <c r="B325">
        <v>0</v>
      </c>
      <c r="C325" t="s">
        <v>523</v>
      </c>
      <c r="D325" t="s">
        <v>510</v>
      </c>
      <c r="E325" t="s">
        <v>517</v>
      </c>
      <c r="L325"/>
    </row>
    <row r="326" spans="1:12" x14ac:dyDescent="0.35">
      <c r="A326" t="s">
        <v>2960</v>
      </c>
      <c r="B326">
        <v>0</v>
      </c>
      <c r="C326" t="s">
        <v>523</v>
      </c>
      <c r="D326" t="s">
        <v>510</v>
      </c>
      <c r="E326" t="s">
        <v>517</v>
      </c>
      <c r="L326"/>
    </row>
    <row r="327" spans="1:12" x14ac:dyDescent="0.35">
      <c r="A327" t="s">
        <v>2961</v>
      </c>
      <c r="B327">
        <v>0</v>
      </c>
      <c r="C327" t="s">
        <v>523</v>
      </c>
      <c r="D327" t="s">
        <v>510</v>
      </c>
      <c r="E327" t="s">
        <v>517</v>
      </c>
      <c r="L327"/>
    </row>
    <row r="328" spans="1:12" x14ac:dyDescent="0.35">
      <c r="A328" t="s">
        <v>2962</v>
      </c>
      <c r="B328">
        <v>0</v>
      </c>
      <c r="C328" t="s">
        <v>523</v>
      </c>
      <c r="D328" t="s">
        <v>510</v>
      </c>
      <c r="E328" t="s">
        <v>517</v>
      </c>
      <c r="L328"/>
    </row>
    <row r="329" spans="1:12" x14ac:dyDescent="0.35">
      <c r="A329" t="s">
        <v>2963</v>
      </c>
      <c r="B329">
        <v>0</v>
      </c>
      <c r="C329" t="s">
        <v>523</v>
      </c>
      <c r="D329" t="s">
        <v>510</v>
      </c>
      <c r="E329" t="s">
        <v>517</v>
      </c>
      <c r="L329"/>
    </row>
    <row r="330" spans="1:12" x14ac:dyDescent="0.35">
      <c r="A330" t="s">
        <v>2964</v>
      </c>
      <c r="B330">
        <v>0</v>
      </c>
      <c r="C330" t="s">
        <v>523</v>
      </c>
      <c r="D330" t="s">
        <v>510</v>
      </c>
      <c r="E330" t="s">
        <v>517</v>
      </c>
      <c r="L330"/>
    </row>
    <row r="331" spans="1:12" x14ac:dyDescent="0.35">
      <c r="A331" t="s">
        <v>2965</v>
      </c>
      <c r="B331">
        <v>0</v>
      </c>
      <c r="C331" t="s">
        <v>523</v>
      </c>
      <c r="D331" t="s">
        <v>510</v>
      </c>
      <c r="E331" t="s">
        <v>517</v>
      </c>
      <c r="L331"/>
    </row>
    <row r="332" spans="1:12" x14ac:dyDescent="0.35">
      <c r="A332" t="s">
        <v>2966</v>
      </c>
      <c r="B332">
        <v>0</v>
      </c>
      <c r="C332" t="s">
        <v>523</v>
      </c>
      <c r="D332" t="s">
        <v>510</v>
      </c>
      <c r="E332" t="s">
        <v>517</v>
      </c>
      <c r="L332"/>
    </row>
    <row r="333" spans="1:12" x14ac:dyDescent="0.35">
      <c r="A333" t="s">
        <v>2967</v>
      </c>
      <c r="B333">
        <v>0</v>
      </c>
      <c r="C333" t="s">
        <v>523</v>
      </c>
      <c r="D333" t="s">
        <v>510</v>
      </c>
      <c r="E333" t="s">
        <v>517</v>
      </c>
      <c r="L333"/>
    </row>
    <row r="334" spans="1:12" x14ac:dyDescent="0.35">
      <c r="A334" t="s">
        <v>2968</v>
      </c>
      <c r="B334">
        <v>0</v>
      </c>
      <c r="C334" t="s">
        <v>523</v>
      </c>
      <c r="D334" t="s">
        <v>510</v>
      </c>
      <c r="E334" t="s">
        <v>517</v>
      </c>
      <c r="L334"/>
    </row>
    <row r="335" spans="1:12" x14ac:dyDescent="0.35">
      <c r="A335" t="s">
        <v>2969</v>
      </c>
      <c r="B335">
        <v>0</v>
      </c>
      <c r="C335" t="s">
        <v>523</v>
      </c>
      <c r="D335" t="s">
        <v>510</v>
      </c>
      <c r="E335" t="s">
        <v>517</v>
      </c>
      <c r="L335"/>
    </row>
    <row r="336" spans="1:12" x14ac:dyDescent="0.35">
      <c r="A336" t="s">
        <v>2970</v>
      </c>
      <c r="B336">
        <v>0</v>
      </c>
      <c r="C336" t="s">
        <v>523</v>
      </c>
      <c r="D336" t="s">
        <v>510</v>
      </c>
      <c r="E336" t="s">
        <v>517</v>
      </c>
      <c r="L336"/>
    </row>
    <row r="337" spans="1:12" x14ac:dyDescent="0.35">
      <c r="A337" t="s">
        <v>2971</v>
      </c>
      <c r="B337">
        <v>0</v>
      </c>
      <c r="C337" t="s">
        <v>523</v>
      </c>
      <c r="D337" t="s">
        <v>510</v>
      </c>
      <c r="E337" t="s">
        <v>517</v>
      </c>
      <c r="L337"/>
    </row>
    <row r="338" spans="1:12" x14ac:dyDescent="0.35">
      <c r="A338" t="s">
        <v>2972</v>
      </c>
      <c r="B338">
        <v>0</v>
      </c>
      <c r="C338" t="s">
        <v>523</v>
      </c>
      <c r="D338" t="s">
        <v>510</v>
      </c>
      <c r="E338" t="s">
        <v>517</v>
      </c>
      <c r="L338"/>
    </row>
    <row r="339" spans="1:12" x14ac:dyDescent="0.35">
      <c r="A339" t="s">
        <v>2973</v>
      </c>
      <c r="B339">
        <v>0</v>
      </c>
      <c r="C339" t="s">
        <v>523</v>
      </c>
      <c r="D339" t="s">
        <v>510</v>
      </c>
      <c r="E339" t="s">
        <v>517</v>
      </c>
      <c r="L339"/>
    </row>
    <row r="340" spans="1:12" x14ac:dyDescent="0.35">
      <c r="A340" t="s">
        <v>2974</v>
      </c>
      <c r="B340">
        <v>0</v>
      </c>
      <c r="C340" t="s">
        <v>523</v>
      </c>
      <c r="D340" t="s">
        <v>510</v>
      </c>
      <c r="E340" t="s">
        <v>517</v>
      </c>
      <c r="L340"/>
    </row>
    <row r="341" spans="1:12" x14ac:dyDescent="0.35">
      <c r="A341" t="s">
        <v>2975</v>
      </c>
      <c r="B341">
        <v>0</v>
      </c>
      <c r="C341" t="s">
        <v>523</v>
      </c>
      <c r="D341" t="s">
        <v>510</v>
      </c>
      <c r="E341" t="s">
        <v>517</v>
      </c>
      <c r="L341"/>
    </row>
    <row r="342" spans="1:12" x14ac:dyDescent="0.35">
      <c r="A342" t="s">
        <v>2976</v>
      </c>
      <c r="B342">
        <v>0</v>
      </c>
      <c r="C342" t="s">
        <v>523</v>
      </c>
      <c r="D342" t="s">
        <v>510</v>
      </c>
      <c r="E342" t="s">
        <v>517</v>
      </c>
      <c r="L342"/>
    </row>
    <row r="343" spans="1:12" x14ac:dyDescent="0.35">
      <c r="A343" t="s">
        <v>2977</v>
      </c>
      <c r="B343">
        <v>0</v>
      </c>
      <c r="C343" t="s">
        <v>523</v>
      </c>
      <c r="D343" t="s">
        <v>510</v>
      </c>
      <c r="E343" t="s">
        <v>517</v>
      </c>
      <c r="L343"/>
    </row>
    <row r="344" spans="1:12" x14ac:dyDescent="0.35">
      <c r="A344" t="s">
        <v>2978</v>
      </c>
      <c r="B344">
        <v>0</v>
      </c>
      <c r="C344" t="s">
        <v>523</v>
      </c>
      <c r="D344" t="s">
        <v>510</v>
      </c>
      <c r="E344" t="s">
        <v>517</v>
      </c>
      <c r="L344"/>
    </row>
    <row r="345" spans="1:12" x14ac:dyDescent="0.35">
      <c r="A345" t="s">
        <v>2979</v>
      </c>
      <c r="B345">
        <v>0</v>
      </c>
      <c r="C345" t="s">
        <v>523</v>
      </c>
      <c r="D345" t="s">
        <v>510</v>
      </c>
      <c r="E345" t="s">
        <v>517</v>
      </c>
      <c r="L345"/>
    </row>
    <row r="346" spans="1:12" x14ac:dyDescent="0.35">
      <c r="A346" t="s">
        <v>2980</v>
      </c>
      <c r="B346">
        <v>0</v>
      </c>
      <c r="C346" t="s">
        <v>523</v>
      </c>
      <c r="D346" t="s">
        <v>510</v>
      </c>
      <c r="E346" t="s">
        <v>517</v>
      </c>
      <c r="L346"/>
    </row>
    <row r="347" spans="1:12" x14ac:dyDescent="0.35">
      <c r="A347" t="s">
        <v>2981</v>
      </c>
      <c r="B347">
        <v>0</v>
      </c>
      <c r="C347" t="s">
        <v>523</v>
      </c>
      <c r="D347" t="s">
        <v>510</v>
      </c>
      <c r="E347" t="s">
        <v>517</v>
      </c>
      <c r="L347"/>
    </row>
    <row r="348" spans="1:12" x14ac:dyDescent="0.35">
      <c r="A348" t="s">
        <v>2982</v>
      </c>
      <c r="B348">
        <v>0</v>
      </c>
      <c r="C348" t="s">
        <v>523</v>
      </c>
      <c r="D348" t="s">
        <v>510</v>
      </c>
      <c r="E348" t="s">
        <v>517</v>
      </c>
      <c r="L348"/>
    </row>
    <row r="349" spans="1:12" x14ac:dyDescent="0.35">
      <c r="A349" t="s">
        <v>2983</v>
      </c>
      <c r="B349">
        <v>0</v>
      </c>
      <c r="C349" t="s">
        <v>523</v>
      </c>
      <c r="D349" t="s">
        <v>510</v>
      </c>
      <c r="E349" t="s">
        <v>517</v>
      </c>
      <c r="L349"/>
    </row>
    <row r="350" spans="1:12" x14ac:dyDescent="0.35">
      <c r="A350" t="s">
        <v>2984</v>
      </c>
      <c r="B350">
        <v>0</v>
      </c>
      <c r="C350" t="s">
        <v>523</v>
      </c>
      <c r="D350" t="s">
        <v>510</v>
      </c>
      <c r="E350" t="s">
        <v>517</v>
      </c>
      <c r="L350"/>
    </row>
    <row r="351" spans="1:12" x14ac:dyDescent="0.35">
      <c r="A351" t="s">
        <v>2985</v>
      </c>
      <c r="B351">
        <v>0</v>
      </c>
      <c r="C351" t="s">
        <v>523</v>
      </c>
      <c r="D351" t="s">
        <v>510</v>
      </c>
      <c r="E351" t="s">
        <v>517</v>
      </c>
      <c r="L351"/>
    </row>
    <row r="352" spans="1:12" x14ac:dyDescent="0.35">
      <c r="A352" t="s">
        <v>2986</v>
      </c>
      <c r="B352">
        <v>0</v>
      </c>
      <c r="C352" t="s">
        <v>523</v>
      </c>
      <c r="D352" t="s">
        <v>510</v>
      </c>
      <c r="E352" t="s">
        <v>517</v>
      </c>
      <c r="L352"/>
    </row>
    <row r="353" spans="1:12" x14ac:dyDescent="0.35">
      <c r="A353" t="s">
        <v>2987</v>
      </c>
      <c r="B353">
        <v>-3</v>
      </c>
      <c r="C353" t="s">
        <v>524</v>
      </c>
      <c r="D353" t="s">
        <v>506</v>
      </c>
      <c r="E353" t="s">
        <v>515</v>
      </c>
      <c r="L353"/>
    </row>
    <row r="354" spans="1:12" x14ac:dyDescent="0.35">
      <c r="A354" t="s">
        <v>2988</v>
      </c>
      <c r="B354">
        <v>-3</v>
      </c>
      <c r="C354" t="s">
        <v>524</v>
      </c>
      <c r="D354" t="s">
        <v>506</v>
      </c>
      <c r="E354" t="s">
        <v>515</v>
      </c>
      <c r="L354"/>
    </row>
    <row r="355" spans="1:12" x14ac:dyDescent="0.35">
      <c r="A355" t="s">
        <v>2989</v>
      </c>
      <c r="B355">
        <v>-3</v>
      </c>
      <c r="C355" t="s">
        <v>524</v>
      </c>
      <c r="D355" t="s">
        <v>513</v>
      </c>
      <c r="E355" t="s">
        <v>520</v>
      </c>
      <c r="L355"/>
    </row>
    <row r="356" spans="1:12" x14ac:dyDescent="0.35">
      <c r="A356" t="s">
        <v>2990</v>
      </c>
      <c r="B356">
        <v>-3</v>
      </c>
      <c r="C356" t="s">
        <v>524</v>
      </c>
      <c r="D356" t="s">
        <v>506</v>
      </c>
      <c r="E356" t="s">
        <v>515</v>
      </c>
      <c r="L356"/>
    </row>
    <row r="357" spans="1:12" x14ac:dyDescent="0.35">
      <c r="A357" t="s">
        <v>2991</v>
      </c>
      <c r="B357">
        <v>-3</v>
      </c>
      <c r="C357" t="s">
        <v>524</v>
      </c>
      <c r="D357" t="s">
        <v>506</v>
      </c>
      <c r="E357" t="s">
        <v>515</v>
      </c>
      <c r="L357"/>
    </row>
    <row r="358" spans="1:12" x14ac:dyDescent="0.35">
      <c r="A358" t="s">
        <v>2992</v>
      </c>
      <c r="B358">
        <v>0</v>
      </c>
      <c r="C358" t="s">
        <v>524</v>
      </c>
      <c r="D358" t="s">
        <v>506</v>
      </c>
      <c r="E358" t="s">
        <v>515</v>
      </c>
      <c r="L358"/>
    </row>
    <row r="359" spans="1:12" x14ac:dyDescent="0.35">
      <c r="A359" t="s">
        <v>2993</v>
      </c>
      <c r="B359">
        <v>0</v>
      </c>
      <c r="C359" t="s">
        <v>524</v>
      </c>
      <c r="D359" t="s">
        <v>506</v>
      </c>
      <c r="E359" t="s">
        <v>515</v>
      </c>
      <c r="L359"/>
    </row>
    <row r="360" spans="1:12" x14ac:dyDescent="0.35">
      <c r="A360" t="s">
        <v>2994</v>
      </c>
      <c r="B360">
        <v>0</v>
      </c>
      <c r="C360" t="s">
        <v>524</v>
      </c>
      <c r="D360" t="s">
        <v>506</v>
      </c>
      <c r="E360" t="s">
        <v>515</v>
      </c>
      <c r="L360"/>
    </row>
    <row r="361" spans="1:12" x14ac:dyDescent="0.35">
      <c r="A361" t="s">
        <v>2995</v>
      </c>
      <c r="B361">
        <v>0</v>
      </c>
      <c r="C361" t="s">
        <v>524</v>
      </c>
      <c r="D361" t="s">
        <v>506</v>
      </c>
      <c r="E361" t="s">
        <v>515</v>
      </c>
      <c r="L361"/>
    </row>
    <row r="362" spans="1:12" x14ac:dyDescent="0.35">
      <c r="A362" t="s">
        <v>2996</v>
      </c>
      <c r="B362">
        <v>-3</v>
      </c>
      <c r="C362" t="s">
        <v>524</v>
      </c>
      <c r="D362" t="s">
        <v>513</v>
      </c>
      <c r="E362" t="s">
        <v>517</v>
      </c>
      <c r="L362"/>
    </row>
    <row r="363" spans="1:12" x14ac:dyDescent="0.35">
      <c r="A363" t="s">
        <v>2997</v>
      </c>
      <c r="B363">
        <v>-3</v>
      </c>
      <c r="C363" t="s">
        <v>524</v>
      </c>
      <c r="D363" t="s">
        <v>506</v>
      </c>
      <c r="E363" t="s">
        <v>515</v>
      </c>
      <c r="L363"/>
    </row>
    <row r="364" spans="1:12" x14ac:dyDescent="0.35">
      <c r="A364" t="s">
        <v>2998</v>
      </c>
      <c r="B364">
        <v>0</v>
      </c>
      <c r="C364" t="s">
        <v>524</v>
      </c>
      <c r="D364" t="s">
        <v>506</v>
      </c>
      <c r="E364" t="s">
        <v>515</v>
      </c>
      <c r="L364"/>
    </row>
    <row r="365" spans="1:12" x14ac:dyDescent="0.35">
      <c r="A365" t="s">
        <v>2999</v>
      </c>
      <c r="B365">
        <v>-3</v>
      </c>
      <c r="C365" t="s">
        <v>524</v>
      </c>
      <c r="D365" t="s">
        <v>506</v>
      </c>
      <c r="E365" t="s">
        <v>515</v>
      </c>
      <c r="L365"/>
    </row>
    <row r="366" spans="1:12" x14ac:dyDescent="0.35">
      <c r="A366" t="s">
        <v>3000</v>
      </c>
      <c r="B366">
        <v>0</v>
      </c>
      <c r="C366" t="s">
        <v>524</v>
      </c>
      <c r="D366" t="s">
        <v>506</v>
      </c>
      <c r="E366" t="s">
        <v>515</v>
      </c>
      <c r="L366"/>
    </row>
    <row r="367" spans="1:12" x14ac:dyDescent="0.35">
      <c r="A367" t="s">
        <v>3001</v>
      </c>
      <c r="B367">
        <v>-3</v>
      </c>
      <c r="C367" t="s">
        <v>524</v>
      </c>
      <c r="D367" t="s">
        <v>506</v>
      </c>
      <c r="E367" t="s">
        <v>515</v>
      </c>
      <c r="L367"/>
    </row>
    <row r="368" spans="1:12" x14ac:dyDescent="0.35">
      <c r="A368" t="s">
        <v>3002</v>
      </c>
      <c r="B368">
        <v>0</v>
      </c>
      <c r="C368" t="s">
        <v>524</v>
      </c>
      <c r="D368" t="s">
        <v>509</v>
      </c>
      <c r="E368" t="s">
        <v>515</v>
      </c>
      <c r="L368"/>
    </row>
    <row r="369" spans="1:12" x14ac:dyDescent="0.35">
      <c r="A369" t="s">
        <v>3003</v>
      </c>
      <c r="B369">
        <v>-3</v>
      </c>
      <c r="C369" t="s">
        <v>524</v>
      </c>
      <c r="D369" t="s">
        <v>506</v>
      </c>
      <c r="E369" t="s">
        <v>515</v>
      </c>
      <c r="L369"/>
    </row>
    <row r="370" spans="1:12" x14ac:dyDescent="0.35">
      <c r="A370" t="s">
        <v>3004</v>
      </c>
      <c r="B370">
        <v>-3</v>
      </c>
      <c r="C370" t="s">
        <v>524</v>
      </c>
      <c r="D370" t="s">
        <v>506</v>
      </c>
      <c r="E370" t="s">
        <v>515</v>
      </c>
      <c r="L370"/>
    </row>
    <row r="371" spans="1:12" x14ac:dyDescent="0.35">
      <c r="A371" t="s">
        <v>3005</v>
      </c>
      <c r="B371">
        <v>-3</v>
      </c>
      <c r="C371" t="s">
        <v>524</v>
      </c>
      <c r="D371" t="s">
        <v>506</v>
      </c>
      <c r="E371" t="s">
        <v>515</v>
      </c>
      <c r="L371"/>
    </row>
    <row r="372" spans="1:12" x14ac:dyDescent="0.35">
      <c r="A372" t="s">
        <v>3006</v>
      </c>
      <c r="B372">
        <v>0</v>
      </c>
      <c r="C372" t="s">
        <v>524</v>
      </c>
      <c r="D372" t="s">
        <v>506</v>
      </c>
      <c r="E372" t="s">
        <v>515</v>
      </c>
      <c r="L372"/>
    </row>
    <row r="373" spans="1:12" x14ac:dyDescent="0.35">
      <c r="A373" t="s">
        <v>3007</v>
      </c>
      <c r="B373">
        <v>0</v>
      </c>
      <c r="C373" t="s">
        <v>524</v>
      </c>
      <c r="D373" t="s">
        <v>513</v>
      </c>
      <c r="E373" t="s">
        <v>519</v>
      </c>
      <c r="L373"/>
    </row>
    <row r="374" spans="1:12" x14ac:dyDescent="0.35">
      <c r="A374" t="s">
        <v>3008</v>
      </c>
      <c r="B374">
        <v>0</v>
      </c>
      <c r="C374" t="s">
        <v>524</v>
      </c>
      <c r="D374" t="s">
        <v>506</v>
      </c>
      <c r="E374" t="s">
        <v>515</v>
      </c>
      <c r="L374"/>
    </row>
    <row r="375" spans="1:12" x14ac:dyDescent="0.35">
      <c r="A375" t="s">
        <v>3009</v>
      </c>
      <c r="B375">
        <v>0</v>
      </c>
      <c r="C375" t="s">
        <v>524</v>
      </c>
      <c r="D375" t="s">
        <v>506</v>
      </c>
      <c r="E375" t="s">
        <v>515</v>
      </c>
      <c r="L375"/>
    </row>
    <row r="376" spans="1:12" x14ac:dyDescent="0.35">
      <c r="A376" t="s">
        <v>3010</v>
      </c>
      <c r="B376">
        <v>0</v>
      </c>
      <c r="C376" t="s">
        <v>524</v>
      </c>
      <c r="D376" t="s">
        <v>513</v>
      </c>
      <c r="E376" t="s">
        <v>519</v>
      </c>
      <c r="L376"/>
    </row>
    <row r="377" spans="1:12" x14ac:dyDescent="0.35">
      <c r="A377" t="s">
        <v>3011</v>
      </c>
      <c r="B377">
        <v>0</v>
      </c>
      <c r="C377" t="s">
        <v>524</v>
      </c>
      <c r="D377" t="s">
        <v>506</v>
      </c>
      <c r="E377" t="s">
        <v>515</v>
      </c>
      <c r="L377"/>
    </row>
    <row r="378" spans="1:12" x14ac:dyDescent="0.35">
      <c r="A378" t="s">
        <v>3012</v>
      </c>
      <c r="B378">
        <v>0</v>
      </c>
      <c r="C378" t="s">
        <v>524</v>
      </c>
      <c r="D378" t="s">
        <v>506</v>
      </c>
      <c r="E378" t="s">
        <v>515</v>
      </c>
      <c r="L378"/>
    </row>
    <row r="379" spans="1:12" x14ac:dyDescent="0.35">
      <c r="A379" t="s">
        <v>3013</v>
      </c>
      <c r="B379">
        <v>0</v>
      </c>
      <c r="C379" t="s">
        <v>524</v>
      </c>
      <c r="D379" t="s">
        <v>506</v>
      </c>
      <c r="E379" t="s">
        <v>515</v>
      </c>
      <c r="L379"/>
    </row>
    <row r="380" spans="1:12" x14ac:dyDescent="0.35">
      <c r="A380" t="s">
        <v>3014</v>
      </c>
      <c r="B380">
        <v>0</v>
      </c>
      <c r="C380" t="s">
        <v>524</v>
      </c>
      <c r="D380" t="s">
        <v>506</v>
      </c>
      <c r="E380" t="s">
        <v>515</v>
      </c>
      <c r="L380"/>
    </row>
    <row r="381" spans="1:12" x14ac:dyDescent="0.35">
      <c r="A381" t="s">
        <v>3015</v>
      </c>
      <c r="B381">
        <v>0</v>
      </c>
      <c r="C381" t="s">
        <v>524</v>
      </c>
      <c r="D381" t="s">
        <v>506</v>
      </c>
      <c r="E381" t="s">
        <v>515</v>
      </c>
      <c r="L381"/>
    </row>
    <row r="382" spans="1:12" x14ac:dyDescent="0.35">
      <c r="A382" t="s">
        <v>3016</v>
      </c>
      <c r="B382">
        <v>0</v>
      </c>
      <c r="C382" t="s">
        <v>524</v>
      </c>
      <c r="D382" t="s">
        <v>509</v>
      </c>
      <c r="E382" t="s">
        <v>515</v>
      </c>
      <c r="L382"/>
    </row>
    <row r="383" spans="1:12" x14ac:dyDescent="0.35">
      <c r="A383" t="s">
        <v>3017</v>
      </c>
      <c r="B383">
        <v>0</v>
      </c>
      <c r="C383" t="s">
        <v>524</v>
      </c>
      <c r="D383" t="s">
        <v>506</v>
      </c>
      <c r="E383" t="s">
        <v>515</v>
      </c>
      <c r="L383"/>
    </row>
    <row r="384" spans="1:12" x14ac:dyDescent="0.35">
      <c r="A384" t="s">
        <v>3018</v>
      </c>
      <c r="B384">
        <v>0</v>
      </c>
      <c r="C384" t="s">
        <v>524</v>
      </c>
      <c r="D384" t="s">
        <v>506</v>
      </c>
      <c r="E384" t="s">
        <v>515</v>
      </c>
      <c r="L384"/>
    </row>
    <row r="385" spans="1:12" x14ac:dyDescent="0.35">
      <c r="A385" t="s">
        <v>3019</v>
      </c>
      <c r="B385">
        <v>-3</v>
      </c>
      <c r="C385" t="s">
        <v>524</v>
      </c>
      <c r="D385" t="s">
        <v>506</v>
      </c>
      <c r="E385" t="s">
        <v>515</v>
      </c>
      <c r="L385"/>
    </row>
    <row r="386" spans="1:12" x14ac:dyDescent="0.35">
      <c r="A386" t="s">
        <v>3020</v>
      </c>
      <c r="B386">
        <v>0</v>
      </c>
      <c r="C386" t="s">
        <v>524</v>
      </c>
      <c r="D386" t="s">
        <v>506</v>
      </c>
      <c r="E386" t="s">
        <v>515</v>
      </c>
      <c r="L386"/>
    </row>
    <row r="387" spans="1:12" x14ac:dyDescent="0.35">
      <c r="A387" t="s">
        <v>3021</v>
      </c>
      <c r="B387">
        <v>0</v>
      </c>
      <c r="C387" t="s">
        <v>524</v>
      </c>
      <c r="D387" t="s">
        <v>506</v>
      </c>
      <c r="E387" t="s">
        <v>515</v>
      </c>
      <c r="L387"/>
    </row>
    <row r="388" spans="1:12" x14ac:dyDescent="0.35">
      <c r="A388" t="s">
        <v>3022</v>
      </c>
      <c r="B388">
        <v>0</v>
      </c>
      <c r="C388" t="s">
        <v>524</v>
      </c>
      <c r="D388" t="s">
        <v>506</v>
      </c>
      <c r="E388" t="s">
        <v>515</v>
      </c>
      <c r="L388"/>
    </row>
    <row r="389" spans="1:12" x14ac:dyDescent="0.35">
      <c r="A389" t="s">
        <v>3023</v>
      </c>
      <c r="B389">
        <v>-3</v>
      </c>
      <c r="C389" t="s">
        <v>524</v>
      </c>
      <c r="D389" t="s">
        <v>506</v>
      </c>
      <c r="E389" t="s">
        <v>515</v>
      </c>
      <c r="L389"/>
    </row>
    <row r="390" spans="1:12" x14ac:dyDescent="0.35">
      <c r="A390" t="s">
        <v>3024</v>
      </c>
      <c r="B390">
        <v>0</v>
      </c>
      <c r="C390" t="s">
        <v>524</v>
      </c>
      <c r="D390" t="s">
        <v>508</v>
      </c>
      <c r="E390" t="s">
        <v>517</v>
      </c>
      <c r="L390"/>
    </row>
    <row r="391" spans="1:12" x14ac:dyDescent="0.35">
      <c r="A391" t="s">
        <v>3025</v>
      </c>
      <c r="B391">
        <v>-3</v>
      </c>
      <c r="C391" t="s">
        <v>524</v>
      </c>
      <c r="D391" t="s">
        <v>513</v>
      </c>
      <c r="E391" t="s">
        <v>517</v>
      </c>
      <c r="L391"/>
    </row>
    <row r="392" spans="1:12" x14ac:dyDescent="0.35">
      <c r="A392" t="s">
        <v>3026</v>
      </c>
      <c r="B392">
        <v>-3</v>
      </c>
      <c r="C392" t="s">
        <v>524</v>
      </c>
      <c r="D392" t="s">
        <v>506</v>
      </c>
      <c r="E392" t="s">
        <v>515</v>
      </c>
      <c r="L392"/>
    </row>
    <row r="393" spans="1:12" x14ac:dyDescent="0.35">
      <c r="A393" t="s">
        <v>3027</v>
      </c>
      <c r="B393">
        <v>-3</v>
      </c>
      <c r="C393" t="s">
        <v>524</v>
      </c>
      <c r="D393" t="s">
        <v>506</v>
      </c>
      <c r="E393" t="s">
        <v>515</v>
      </c>
      <c r="L393"/>
    </row>
    <row r="394" spans="1:12" x14ac:dyDescent="0.35">
      <c r="A394" t="s">
        <v>3028</v>
      </c>
      <c r="B394">
        <v>-3</v>
      </c>
      <c r="C394" t="s">
        <v>524</v>
      </c>
      <c r="D394" t="s">
        <v>506</v>
      </c>
      <c r="E394" t="s">
        <v>515</v>
      </c>
      <c r="L394"/>
    </row>
    <row r="395" spans="1:12" x14ac:dyDescent="0.35">
      <c r="A395" t="s">
        <v>3029</v>
      </c>
      <c r="B395">
        <v>0</v>
      </c>
      <c r="C395" t="s">
        <v>524</v>
      </c>
      <c r="D395" t="s">
        <v>509</v>
      </c>
      <c r="E395" t="s">
        <v>515</v>
      </c>
      <c r="L395"/>
    </row>
    <row r="396" spans="1:12" x14ac:dyDescent="0.35">
      <c r="A396" t="s">
        <v>3030</v>
      </c>
      <c r="B396">
        <v>-3</v>
      </c>
      <c r="C396" t="s">
        <v>524</v>
      </c>
      <c r="D396" t="s">
        <v>506</v>
      </c>
      <c r="E396" t="s">
        <v>515</v>
      </c>
      <c r="L396"/>
    </row>
    <row r="397" spans="1:12" x14ac:dyDescent="0.35">
      <c r="A397" t="s">
        <v>3031</v>
      </c>
      <c r="B397">
        <v>-3</v>
      </c>
      <c r="C397" t="s">
        <v>524</v>
      </c>
      <c r="D397" t="s">
        <v>506</v>
      </c>
      <c r="E397" t="s">
        <v>515</v>
      </c>
      <c r="L397"/>
    </row>
    <row r="398" spans="1:12" x14ac:dyDescent="0.35">
      <c r="A398" t="s">
        <v>3032</v>
      </c>
      <c r="B398">
        <v>0</v>
      </c>
      <c r="C398" t="s">
        <v>524</v>
      </c>
      <c r="D398" t="s">
        <v>506</v>
      </c>
      <c r="E398" t="s">
        <v>515</v>
      </c>
      <c r="L398"/>
    </row>
    <row r="399" spans="1:12" x14ac:dyDescent="0.35">
      <c r="A399" t="s">
        <v>3033</v>
      </c>
      <c r="B399">
        <v>-3</v>
      </c>
      <c r="C399" t="s">
        <v>524</v>
      </c>
      <c r="D399" t="s">
        <v>506</v>
      </c>
      <c r="E399" t="s">
        <v>515</v>
      </c>
      <c r="L399"/>
    </row>
    <row r="400" spans="1:12" x14ac:dyDescent="0.35">
      <c r="A400" t="s">
        <v>3034</v>
      </c>
      <c r="B400">
        <v>-3</v>
      </c>
      <c r="C400" t="s">
        <v>524</v>
      </c>
      <c r="D400" t="s">
        <v>506</v>
      </c>
      <c r="E400" t="s">
        <v>515</v>
      </c>
      <c r="L400"/>
    </row>
    <row r="401" spans="1:12" x14ac:dyDescent="0.35">
      <c r="A401" t="s">
        <v>3035</v>
      </c>
      <c r="B401">
        <v>-3</v>
      </c>
      <c r="C401" t="s">
        <v>524</v>
      </c>
      <c r="D401" t="s">
        <v>506</v>
      </c>
      <c r="E401" t="s">
        <v>515</v>
      </c>
      <c r="L401"/>
    </row>
    <row r="402" spans="1:12" x14ac:dyDescent="0.35">
      <c r="A402" t="s">
        <v>3036</v>
      </c>
      <c r="B402">
        <v>-3</v>
      </c>
      <c r="C402" t="s">
        <v>524</v>
      </c>
      <c r="D402" t="s">
        <v>506</v>
      </c>
      <c r="E402" t="s">
        <v>515</v>
      </c>
      <c r="L402"/>
    </row>
    <row r="403" spans="1:12" x14ac:dyDescent="0.35">
      <c r="A403" t="s">
        <v>3037</v>
      </c>
      <c r="B403">
        <v>-3</v>
      </c>
      <c r="C403" t="s">
        <v>524</v>
      </c>
      <c r="D403" t="s">
        <v>506</v>
      </c>
      <c r="E403" t="s">
        <v>515</v>
      </c>
      <c r="L403"/>
    </row>
    <row r="404" spans="1:12" x14ac:dyDescent="0.35">
      <c r="A404" t="s">
        <v>3038</v>
      </c>
      <c r="B404">
        <v>-3</v>
      </c>
      <c r="C404" t="s">
        <v>524</v>
      </c>
      <c r="D404" t="s">
        <v>506</v>
      </c>
      <c r="E404" t="s">
        <v>515</v>
      </c>
      <c r="L404"/>
    </row>
    <row r="405" spans="1:12" x14ac:dyDescent="0.35">
      <c r="A405" t="s">
        <v>3039</v>
      </c>
      <c r="B405">
        <v>0</v>
      </c>
      <c r="C405" t="s">
        <v>524</v>
      </c>
      <c r="D405" t="s">
        <v>507</v>
      </c>
      <c r="E405" t="s">
        <v>519</v>
      </c>
      <c r="L405"/>
    </row>
    <row r="406" spans="1:12" x14ac:dyDescent="0.35">
      <c r="A406" t="s">
        <v>3040</v>
      </c>
      <c r="B406">
        <v>0</v>
      </c>
      <c r="C406" t="s">
        <v>524</v>
      </c>
      <c r="D406" t="s">
        <v>513</v>
      </c>
      <c r="E406" t="s">
        <v>519</v>
      </c>
      <c r="L406"/>
    </row>
    <row r="407" spans="1:12" x14ac:dyDescent="0.35">
      <c r="A407" t="s">
        <v>3041</v>
      </c>
      <c r="B407">
        <v>0</v>
      </c>
      <c r="C407" t="s">
        <v>524</v>
      </c>
      <c r="D407" t="s">
        <v>507</v>
      </c>
      <c r="E407" t="s">
        <v>518</v>
      </c>
      <c r="L407"/>
    </row>
    <row r="408" spans="1:12" x14ac:dyDescent="0.35">
      <c r="A408" t="s">
        <v>3042</v>
      </c>
      <c r="B408">
        <v>0</v>
      </c>
      <c r="C408" t="s">
        <v>524</v>
      </c>
      <c r="D408" t="s">
        <v>506</v>
      </c>
      <c r="E408" t="s">
        <v>515</v>
      </c>
      <c r="L408"/>
    </row>
    <row r="409" spans="1:12" x14ac:dyDescent="0.35">
      <c r="A409" t="s">
        <v>3043</v>
      </c>
      <c r="B409">
        <v>0</v>
      </c>
      <c r="C409" t="s">
        <v>524</v>
      </c>
      <c r="D409" t="s">
        <v>506</v>
      </c>
      <c r="E409" t="s">
        <v>515</v>
      </c>
      <c r="L409"/>
    </row>
    <row r="410" spans="1:12" x14ac:dyDescent="0.35">
      <c r="A410" t="s">
        <v>3044</v>
      </c>
      <c r="B410">
        <v>-3</v>
      </c>
      <c r="C410" t="s">
        <v>524</v>
      </c>
      <c r="D410" t="s">
        <v>513</v>
      </c>
      <c r="E410" t="s">
        <v>517</v>
      </c>
      <c r="L410"/>
    </row>
    <row r="411" spans="1:12" x14ac:dyDescent="0.35">
      <c r="A411" t="s">
        <v>3045</v>
      </c>
      <c r="B411">
        <v>0</v>
      </c>
      <c r="C411" t="s">
        <v>524</v>
      </c>
      <c r="D411" t="s">
        <v>513</v>
      </c>
      <c r="E411" t="s">
        <v>519</v>
      </c>
      <c r="L411"/>
    </row>
    <row r="412" spans="1:12" x14ac:dyDescent="0.35">
      <c r="A412" t="s">
        <v>3046</v>
      </c>
      <c r="B412">
        <v>0</v>
      </c>
      <c r="C412" t="s">
        <v>524</v>
      </c>
      <c r="D412" t="s">
        <v>509</v>
      </c>
      <c r="E412" t="s">
        <v>515</v>
      </c>
      <c r="L412"/>
    </row>
    <row r="413" spans="1:12" x14ac:dyDescent="0.35">
      <c r="A413" t="s">
        <v>3047</v>
      </c>
      <c r="B413">
        <v>0</v>
      </c>
      <c r="C413" t="s">
        <v>524</v>
      </c>
      <c r="D413" t="s">
        <v>506</v>
      </c>
      <c r="E413" t="s">
        <v>515</v>
      </c>
      <c r="L413"/>
    </row>
    <row r="414" spans="1:12" x14ac:dyDescent="0.35">
      <c r="A414" t="s">
        <v>3048</v>
      </c>
      <c r="B414">
        <v>0</v>
      </c>
      <c r="C414" t="s">
        <v>524</v>
      </c>
      <c r="D414" t="s">
        <v>506</v>
      </c>
      <c r="E414" t="s">
        <v>515</v>
      </c>
      <c r="L414"/>
    </row>
    <row r="415" spans="1:12" x14ac:dyDescent="0.35">
      <c r="A415" t="s">
        <v>3049</v>
      </c>
      <c r="B415">
        <v>-3</v>
      </c>
      <c r="C415" t="s">
        <v>524</v>
      </c>
      <c r="D415" t="s">
        <v>506</v>
      </c>
      <c r="E415" t="s">
        <v>515</v>
      </c>
      <c r="L415"/>
    </row>
    <row r="416" spans="1:12" x14ac:dyDescent="0.35">
      <c r="A416" t="s">
        <v>3050</v>
      </c>
      <c r="B416">
        <v>0</v>
      </c>
      <c r="C416" t="s">
        <v>524</v>
      </c>
      <c r="D416" t="s">
        <v>506</v>
      </c>
      <c r="E416" t="s">
        <v>515</v>
      </c>
      <c r="L416"/>
    </row>
    <row r="417" spans="1:12" x14ac:dyDescent="0.35">
      <c r="A417" t="s">
        <v>3051</v>
      </c>
      <c r="B417">
        <v>-3</v>
      </c>
      <c r="C417" t="s">
        <v>524</v>
      </c>
      <c r="D417" t="s">
        <v>506</v>
      </c>
      <c r="E417" t="s">
        <v>515</v>
      </c>
      <c r="L417"/>
    </row>
    <row r="418" spans="1:12" x14ac:dyDescent="0.35">
      <c r="A418" t="s">
        <v>3052</v>
      </c>
      <c r="B418">
        <v>0</v>
      </c>
      <c r="C418" t="s">
        <v>524</v>
      </c>
      <c r="D418" t="s">
        <v>506</v>
      </c>
      <c r="E418" t="s">
        <v>515</v>
      </c>
      <c r="L418"/>
    </row>
    <row r="419" spans="1:12" x14ac:dyDescent="0.35">
      <c r="A419" t="s">
        <v>3053</v>
      </c>
      <c r="B419">
        <v>-3</v>
      </c>
      <c r="C419" t="s">
        <v>524</v>
      </c>
      <c r="D419" t="s">
        <v>506</v>
      </c>
      <c r="E419" t="s">
        <v>515</v>
      </c>
      <c r="L419"/>
    </row>
    <row r="420" spans="1:12" x14ac:dyDescent="0.35">
      <c r="A420" t="s">
        <v>3054</v>
      </c>
      <c r="B420">
        <v>0</v>
      </c>
      <c r="C420" t="s">
        <v>524</v>
      </c>
      <c r="D420" t="s">
        <v>506</v>
      </c>
      <c r="E420" t="s">
        <v>515</v>
      </c>
      <c r="L420"/>
    </row>
    <row r="421" spans="1:12" x14ac:dyDescent="0.35">
      <c r="A421" t="s">
        <v>3055</v>
      </c>
      <c r="B421">
        <v>-3</v>
      </c>
      <c r="C421" t="s">
        <v>524</v>
      </c>
      <c r="D421" t="s">
        <v>506</v>
      </c>
      <c r="E421" t="s">
        <v>515</v>
      </c>
      <c r="L421"/>
    </row>
    <row r="422" spans="1:12" x14ac:dyDescent="0.35">
      <c r="A422" t="s">
        <v>3056</v>
      </c>
      <c r="B422">
        <v>0</v>
      </c>
      <c r="C422" t="s">
        <v>524</v>
      </c>
      <c r="D422" t="s">
        <v>506</v>
      </c>
      <c r="E422" t="s">
        <v>515</v>
      </c>
      <c r="L422"/>
    </row>
    <row r="423" spans="1:12" x14ac:dyDescent="0.35">
      <c r="A423" t="s">
        <v>3057</v>
      </c>
      <c r="B423">
        <v>-3</v>
      </c>
      <c r="C423" t="s">
        <v>524</v>
      </c>
      <c r="D423" t="s">
        <v>506</v>
      </c>
      <c r="E423" t="s">
        <v>515</v>
      </c>
      <c r="L423"/>
    </row>
    <row r="424" spans="1:12" x14ac:dyDescent="0.35">
      <c r="A424" t="s">
        <v>3058</v>
      </c>
      <c r="B424">
        <v>0</v>
      </c>
      <c r="C424" t="s">
        <v>524</v>
      </c>
      <c r="D424" t="s">
        <v>506</v>
      </c>
      <c r="E424" t="s">
        <v>515</v>
      </c>
      <c r="L424"/>
    </row>
    <row r="425" spans="1:12" x14ac:dyDescent="0.35">
      <c r="A425" t="s">
        <v>3059</v>
      </c>
      <c r="B425">
        <v>0</v>
      </c>
      <c r="C425" t="s">
        <v>524</v>
      </c>
      <c r="D425" t="s">
        <v>506</v>
      </c>
      <c r="E425" t="s">
        <v>515</v>
      </c>
      <c r="L425"/>
    </row>
    <row r="426" spans="1:12" x14ac:dyDescent="0.35">
      <c r="A426" t="s">
        <v>3456</v>
      </c>
      <c r="B426">
        <v>-3</v>
      </c>
      <c r="C426" t="s">
        <v>524</v>
      </c>
      <c r="D426" t="s">
        <v>506</v>
      </c>
      <c r="E426" t="s">
        <v>515</v>
      </c>
      <c r="L426"/>
    </row>
    <row r="427" spans="1:12" x14ac:dyDescent="0.35">
      <c r="A427" t="s">
        <v>3060</v>
      </c>
      <c r="B427">
        <v>-3</v>
      </c>
      <c r="C427" t="s">
        <v>524</v>
      </c>
      <c r="D427" t="s">
        <v>506</v>
      </c>
      <c r="E427" t="s">
        <v>515</v>
      </c>
      <c r="L427"/>
    </row>
    <row r="428" spans="1:12" x14ac:dyDescent="0.35">
      <c r="A428" t="s">
        <v>3061</v>
      </c>
      <c r="B428">
        <v>0</v>
      </c>
      <c r="C428" t="s">
        <v>524</v>
      </c>
      <c r="D428" t="s">
        <v>506</v>
      </c>
      <c r="E428" t="s">
        <v>515</v>
      </c>
      <c r="L428"/>
    </row>
    <row r="429" spans="1:12" x14ac:dyDescent="0.35">
      <c r="A429" t="s">
        <v>3062</v>
      </c>
      <c r="B429">
        <v>0</v>
      </c>
      <c r="C429" t="s">
        <v>524</v>
      </c>
      <c r="D429" t="s">
        <v>506</v>
      </c>
      <c r="E429" t="s">
        <v>515</v>
      </c>
      <c r="L429"/>
    </row>
    <row r="430" spans="1:12" x14ac:dyDescent="0.35">
      <c r="A430" t="s">
        <v>3063</v>
      </c>
      <c r="B430">
        <v>0</v>
      </c>
      <c r="C430" t="s">
        <v>524</v>
      </c>
      <c r="D430" t="s">
        <v>506</v>
      </c>
      <c r="E430" t="s">
        <v>515</v>
      </c>
      <c r="L430"/>
    </row>
    <row r="431" spans="1:12" x14ac:dyDescent="0.35">
      <c r="A431" t="s">
        <v>3064</v>
      </c>
      <c r="B431">
        <v>0</v>
      </c>
      <c r="C431" t="s">
        <v>524</v>
      </c>
      <c r="D431" t="s">
        <v>506</v>
      </c>
      <c r="E431" t="s">
        <v>515</v>
      </c>
      <c r="L431"/>
    </row>
    <row r="432" spans="1:12" x14ac:dyDescent="0.35">
      <c r="A432" t="s">
        <v>3065</v>
      </c>
      <c r="B432">
        <v>0</v>
      </c>
      <c r="C432" t="s">
        <v>524</v>
      </c>
      <c r="D432" t="s">
        <v>506</v>
      </c>
      <c r="E432" t="s">
        <v>515</v>
      </c>
      <c r="L432"/>
    </row>
    <row r="433" spans="1:12" x14ac:dyDescent="0.35">
      <c r="A433" t="s">
        <v>3066</v>
      </c>
      <c r="B433">
        <v>0</v>
      </c>
      <c r="C433" t="s">
        <v>524</v>
      </c>
      <c r="D433" t="s">
        <v>506</v>
      </c>
      <c r="E433" t="s">
        <v>515</v>
      </c>
      <c r="L433"/>
    </row>
    <row r="434" spans="1:12" x14ac:dyDescent="0.35">
      <c r="A434" t="s">
        <v>3067</v>
      </c>
      <c r="B434">
        <v>0</v>
      </c>
      <c r="C434" t="s">
        <v>524</v>
      </c>
      <c r="D434" t="s">
        <v>506</v>
      </c>
      <c r="E434" t="s">
        <v>515</v>
      </c>
      <c r="L434"/>
    </row>
    <row r="435" spans="1:12" x14ac:dyDescent="0.35">
      <c r="A435" t="s">
        <v>3068</v>
      </c>
      <c r="B435">
        <v>0</v>
      </c>
      <c r="C435" t="s">
        <v>524</v>
      </c>
      <c r="D435" t="s">
        <v>506</v>
      </c>
      <c r="E435" t="s">
        <v>515</v>
      </c>
      <c r="L435"/>
    </row>
    <row r="436" spans="1:12" x14ac:dyDescent="0.35">
      <c r="A436" t="s">
        <v>3069</v>
      </c>
      <c r="B436">
        <v>0</v>
      </c>
      <c r="C436" t="s">
        <v>524</v>
      </c>
      <c r="D436" t="s">
        <v>506</v>
      </c>
      <c r="E436" t="s">
        <v>515</v>
      </c>
      <c r="L436"/>
    </row>
    <row r="437" spans="1:12" x14ac:dyDescent="0.35">
      <c r="A437" t="s">
        <v>3070</v>
      </c>
      <c r="B437">
        <v>-3</v>
      </c>
      <c r="C437" t="s">
        <v>524</v>
      </c>
      <c r="D437" t="s">
        <v>506</v>
      </c>
      <c r="E437" t="s">
        <v>515</v>
      </c>
      <c r="L437"/>
    </row>
    <row r="438" spans="1:12" x14ac:dyDescent="0.35">
      <c r="A438" t="s">
        <v>3071</v>
      </c>
      <c r="B438">
        <v>-3</v>
      </c>
      <c r="C438" t="s">
        <v>524</v>
      </c>
      <c r="D438" t="s">
        <v>506</v>
      </c>
      <c r="E438" t="s">
        <v>515</v>
      </c>
      <c r="L438"/>
    </row>
    <row r="439" spans="1:12" x14ac:dyDescent="0.35">
      <c r="A439" t="s">
        <v>3072</v>
      </c>
      <c r="B439">
        <v>0</v>
      </c>
      <c r="C439" t="s">
        <v>524</v>
      </c>
      <c r="D439" t="s">
        <v>506</v>
      </c>
      <c r="E439" t="s">
        <v>515</v>
      </c>
      <c r="L439"/>
    </row>
    <row r="440" spans="1:12" x14ac:dyDescent="0.35">
      <c r="A440" t="s">
        <v>3073</v>
      </c>
      <c r="B440">
        <v>-3</v>
      </c>
      <c r="C440" t="s">
        <v>524</v>
      </c>
      <c r="D440" t="s">
        <v>506</v>
      </c>
      <c r="E440" t="s">
        <v>515</v>
      </c>
      <c r="L440"/>
    </row>
    <row r="441" spans="1:12" x14ac:dyDescent="0.35">
      <c r="A441" t="s">
        <v>3074</v>
      </c>
      <c r="B441">
        <v>0</v>
      </c>
      <c r="C441" t="s">
        <v>524</v>
      </c>
      <c r="D441" t="s">
        <v>513</v>
      </c>
      <c r="E441" t="s">
        <v>519</v>
      </c>
      <c r="L441"/>
    </row>
    <row r="442" spans="1:12" x14ac:dyDescent="0.35">
      <c r="A442" t="s">
        <v>3075</v>
      </c>
      <c r="B442">
        <v>0</v>
      </c>
      <c r="C442" t="s">
        <v>524</v>
      </c>
      <c r="D442" t="s">
        <v>506</v>
      </c>
      <c r="E442" t="s">
        <v>515</v>
      </c>
      <c r="L442"/>
    </row>
    <row r="443" spans="1:12" x14ac:dyDescent="0.35">
      <c r="A443" t="s">
        <v>3076</v>
      </c>
      <c r="B443">
        <v>0</v>
      </c>
      <c r="C443" t="s">
        <v>524</v>
      </c>
      <c r="D443" t="s">
        <v>506</v>
      </c>
      <c r="E443" t="s">
        <v>515</v>
      </c>
      <c r="L443"/>
    </row>
    <row r="444" spans="1:12" x14ac:dyDescent="0.35">
      <c r="A444" t="s">
        <v>3077</v>
      </c>
      <c r="B444">
        <v>0</v>
      </c>
      <c r="C444" t="s">
        <v>524</v>
      </c>
      <c r="D444" t="s">
        <v>506</v>
      </c>
      <c r="E444" t="s">
        <v>515</v>
      </c>
      <c r="L444"/>
    </row>
    <row r="445" spans="1:12" x14ac:dyDescent="0.35">
      <c r="A445" t="s">
        <v>3078</v>
      </c>
      <c r="B445">
        <v>-3</v>
      </c>
      <c r="C445" t="s">
        <v>524</v>
      </c>
      <c r="D445" t="s">
        <v>506</v>
      </c>
      <c r="E445" t="s">
        <v>515</v>
      </c>
      <c r="L445"/>
    </row>
    <row r="446" spans="1:12" x14ac:dyDescent="0.35">
      <c r="A446" t="s">
        <v>3079</v>
      </c>
      <c r="B446">
        <v>-3</v>
      </c>
      <c r="C446" t="s">
        <v>524</v>
      </c>
      <c r="D446" t="s">
        <v>506</v>
      </c>
      <c r="E446" t="s">
        <v>515</v>
      </c>
      <c r="L446"/>
    </row>
    <row r="447" spans="1:12" x14ac:dyDescent="0.35">
      <c r="A447" t="s">
        <v>3080</v>
      </c>
      <c r="B447">
        <v>0</v>
      </c>
      <c r="C447" t="s">
        <v>524</v>
      </c>
      <c r="D447" t="s">
        <v>513</v>
      </c>
      <c r="E447" t="s">
        <v>517</v>
      </c>
      <c r="L447"/>
    </row>
    <row r="448" spans="1:12" x14ac:dyDescent="0.35">
      <c r="A448" t="s">
        <v>3081</v>
      </c>
      <c r="B448">
        <v>0</v>
      </c>
      <c r="C448" t="s">
        <v>524</v>
      </c>
      <c r="D448" t="s">
        <v>506</v>
      </c>
      <c r="E448" t="s">
        <v>515</v>
      </c>
      <c r="L448"/>
    </row>
    <row r="449" spans="1:12" x14ac:dyDescent="0.35">
      <c r="A449" t="s">
        <v>3082</v>
      </c>
      <c r="B449">
        <v>-3</v>
      </c>
      <c r="C449" t="s">
        <v>524</v>
      </c>
      <c r="D449" t="s">
        <v>506</v>
      </c>
      <c r="E449" t="s">
        <v>515</v>
      </c>
      <c r="L449"/>
    </row>
    <row r="450" spans="1:12" x14ac:dyDescent="0.35">
      <c r="A450" t="s">
        <v>3083</v>
      </c>
      <c r="B450">
        <v>0</v>
      </c>
      <c r="C450" t="s">
        <v>524</v>
      </c>
      <c r="D450" t="s">
        <v>506</v>
      </c>
      <c r="E450" t="s">
        <v>515</v>
      </c>
      <c r="L450"/>
    </row>
    <row r="451" spans="1:12" x14ac:dyDescent="0.35">
      <c r="A451" t="s">
        <v>3084</v>
      </c>
      <c r="B451">
        <v>-3</v>
      </c>
      <c r="C451" t="s">
        <v>524</v>
      </c>
      <c r="D451" t="s">
        <v>506</v>
      </c>
      <c r="E451" t="s">
        <v>515</v>
      </c>
      <c r="L451"/>
    </row>
    <row r="452" spans="1:12" x14ac:dyDescent="0.35">
      <c r="A452" t="s">
        <v>3085</v>
      </c>
      <c r="B452">
        <v>-3</v>
      </c>
      <c r="C452" t="s">
        <v>524</v>
      </c>
      <c r="D452" t="s">
        <v>506</v>
      </c>
      <c r="E452" t="s">
        <v>515</v>
      </c>
      <c r="L452"/>
    </row>
    <row r="453" spans="1:12" x14ac:dyDescent="0.35">
      <c r="A453" t="s">
        <v>3086</v>
      </c>
      <c r="B453">
        <v>0</v>
      </c>
      <c r="C453" t="s">
        <v>523</v>
      </c>
      <c r="D453" t="s">
        <v>510</v>
      </c>
      <c r="E453" t="s">
        <v>515</v>
      </c>
      <c r="L453"/>
    </row>
    <row r="454" spans="1:12" x14ac:dyDescent="0.35">
      <c r="A454" t="s">
        <v>3087</v>
      </c>
      <c r="B454">
        <v>0</v>
      </c>
      <c r="C454" t="s">
        <v>523</v>
      </c>
      <c r="D454" t="s">
        <v>510</v>
      </c>
      <c r="E454" t="s">
        <v>515</v>
      </c>
      <c r="L454"/>
    </row>
    <row r="455" spans="1:12" x14ac:dyDescent="0.35">
      <c r="A455" t="s">
        <v>3088</v>
      </c>
      <c r="B455">
        <v>0</v>
      </c>
      <c r="C455" t="s">
        <v>523</v>
      </c>
      <c r="D455" t="s">
        <v>510</v>
      </c>
      <c r="E455" t="s">
        <v>515</v>
      </c>
      <c r="L455"/>
    </row>
    <row r="456" spans="1:12" x14ac:dyDescent="0.35">
      <c r="A456" t="s">
        <v>3089</v>
      </c>
      <c r="B456">
        <v>0</v>
      </c>
      <c r="C456" t="s">
        <v>523</v>
      </c>
      <c r="D456" t="s">
        <v>510</v>
      </c>
      <c r="E456" t="s">
        <v>515</v>
      </c>
      <c r="L456"/>
    </row>
    <row r="457" spans="1:12" x14ac:dyDescent="0.35">
      <c r="A457" t="s">
        <v>3090</v>
      </c>
      <c r="B457">
        <v>0</v>
      </c>
      <c r="C457" t="s">
        <v>523</v>
      </c>
      <c r="D457" t="s">
        <v>510</v>
      </c>
      <c r="E457" t="s">
        <v>515</v>
      </c>
      <c r="L457"/>
    </row>
    <row r="458" spans="1:12" x14ac:dyDescent="0.35">
      <c r="A458" t="s">
        <v>3091</v>
      </c>
      <c r="B458">
        <v>0</v>
      </c>
      <c r="C458" t="s">
        <v>523</v>
      </c>
      <c r="D458" t="s">
        <v>510</v>
      </c>
      <c r="E458" t="s">
        <v>515</v>
      </c>
      <c r="L458"/>
    </row>
    <row r="459" spans="1:12" x14ac:dyDescent="0.35">
      <c r="A459" t="s">
        <v>3092</v>
      </c>
      <c r="B459">
        <v>0</v>
      </c>
      <c r="C459" t="s">
        <v>523</v>
      </c>
      <c r="D459" t="s">
        <v>510</v>
      </c>
      <c r="E459" t="s">
        <v>515</v>
      </c>
      <c r="L459"/>
    </row>
    <row r="460" spans="1:12" x14ac:dyDescent="0.35">
      <c r="A460" t="s">
        <v>3093</v>
      </c>
      <c r="B460">
        <v>0</v>
      </c>
      <c r="C460" t="s">
        <v>523</v>
      </c>
      <c r="D460" t="s">
        <v>510</v>
      </c>
      <c r="E460" t="s">
        <v>515</v>
      </c>
      <c r="L460"/>
    </row>
    <row r="461" spans="1:12" x14ac:dyDescent="0.35">
      <c r="A461" t="s">
        <v>3094</v>
      </c>
      <c r="B461">
        <v>0</v>
      </c>
      <c r="C461" t="s">
        <v>523</v>
      </c>
      <c r="D461" t="s">
        <v>510</v>
      </c>
      <c r="E461" t="s">
        <v>515</v>
      </c>
      <c r="L461"/>
    </row>
    <row r="462" spans="1:12" x14ac:dyDescent="0.35">
      <c r="A462" t="s">
        <v>3095</v>
      </c>
      <c r="B462">
        <v>0</v>
      </c>
      <c r="C462" t="s">
        <v>523</v>
      </c>
      <c r="D462" t="s">
        <v>510</v>
      </c>
      <c r="E462" t="s">
        <v>515</v>
      </c>
      <c r="L462"/>
    </row>
    <row r="463" spans="1:12" x14ac:dyDescent="0.35">
      <c r="A463" t="s">
        <v>3096</v>
      </c>
      <c r="B463">
        <v>0</v>
      </c>
      <c r="C463" t="s">
        <v>523</v>
      </c>
      <c r="D463" t="s">
        <v>510</v>
      </c>
      <c r="E463" t="s">
        <v>515</v>
      </c>
      <c r="L463"/>
    </row>
    <row r="464" spans="1:12" x14ac:dyDescent="0.35">
      <c r="A464" t="s">
        <v>3097</v>
      </c>
      <c r="B464">
        <v>0</v>
      </c>
      <c r="C464" t="s">
        <v>523</v>
      </c>
      <c r="D464" t="s">
        <v>510</v>
      </c>
      <c r="E464" t="s">
        <v>515</v>
      </c>
      <c r="L464"/>
    </row>
    <row r="465" spans="1:12" x14ac:dyDescent="0.35">
      <c r="A465" t="s">
        <v>3098</v>
      </c>
      <c r="B465">
        <v>0</v>
      </c>
      <c r="C465" t="s">
        <v>523</v>
      </c>
      <c r="D465" t="s">
        <v>510</v>
      </c>
      <c r="E465" t="s">
        <v>515</v>
      </c>
      <c r="L465"/>
    </row>
    <row r="466" spans="1:12" x14ac:dyDescent="0.35">
      <c r="A466" t="s">
        <v>3099</v>
      </c>
      <c r="B466">
        <v>0</v>
      </c>
      <c r="C466" t="s">
        <v>523</v>
      </c>
      <c r="D466" t="s">
        <v>510</v>
      </c>
      <c r="E466" t="s">
        <v>515</v>
      </c>
      <c r="L466"/>
    </row>
    <row r="467" spans="1:12" x14ac:dyDescent="0.35">
      <c r="A467" t="s">
        <v>3100</v>
      </c>
      <c r="B467">
        <v>0</v>
      </c>
      <c r="C467" t="s">
        <v>523</v>
      </c>
      <c r="D467" t="s">
        <v>510</v>
      </c>
      <c r="E467" t="s">
        <v>515</v>
      </c>
      <c r="L467"/>
    </row>
    <row r="468" spans="1:12" x14ac:dyDescent="0.35">
      <c r="A468" t="s">
        <v>3101</v>
      </c>
      <c r="B468">
        <v>0</v>
      </c>
      <c r="C468" t="s">
        <v>523</v>
      </c>
      <c r="D468" t="s">
        <v>510</v>
      </c>
      <c r="E468" t="s">
        <v>515</v>
      </c>
      <c r="L468"/>
    </row>
    <row r="469" spans="1:12" x14ac:dyDescent="0.35">
      <c r="A469" t="s">
        <v>3102</v>
      </c>
      <c r="B469">
        <v>0</v>
      </c>
      <c r="C469" t="s">
        <v>523</v>
      </c>
      <c r="D469" t="s">
        <v>510</v>
      </c>
      <c r="E469" t="s">
        <v>515</v>
      </c>
      <c r="L469"/>
    </row>
    <row r="470" spans="1:12" x14ac:dyDescent="0.35">
      <c r="A470" t="s">
        <v>3103</v>
      </c>
      <c r="B470">
        <v>0</v>
      </c>
      <c r="C470" t="s">
        <v>523</v>
      </c>
      <c r="D470" t="s">
        <v>510</v>
      </c>
      <c r="E470" t="s">
        <v>515</v>
      </c>
      <c r="L470"/>
    </row>
    <row r="471" spans="1:12" x14ac:dyDescent="0.35">
      <c r="A471" t="s">
        <v>3104</v>
      </c>
      <c r="B471">
        <v>0</v>
      </c>
      <c r="C471" t="s">
        <v>523</v>
      </c>
      <c r="D471" t="s">
        <v>510</v>
      </c>
      <c r="E471" t="s">
        <v>515</v>
      </c>
      <c r="L471"/>
    </row>
    <row r="472" spans="1:12" x14ac:dyDescent="0.35">
      <c r="A472" t="s">
        <v>3105</v>
      </c>
      <c r="B472">
        <v>0</v>
      </c>
      <c r="C472" t="s">
        <v>523</v>
      </c>
      <c r="D472" t="s">
        <v>510</v>
      </c>
      <c r="E472" t="s">
        <v>515</v>
      </c>
      <c r="L472"/>
    </row>
    <row r="473" spans="1:12" x14ac:dyDescent="0.35">
      <c r="A473" t="s">
        <v>3106</v>
      </c>
      <c r="B473">
        <v>0</v>
      </c>
      <c r="C473" t="s">
        <v>523</v>
      </c>
      <c r="D473" t="s">
        <v>510</v>
      </c>
      <c r="E473" t="s">
        <v>515</v>
      </c>
      <c r="L473"/>
    </row>
    <row r="474" spans="1:12" x14ac:dyDescent="0.35">
      <c r="A474" t="s">
        <v>3107</v>
      </c>
      <c r="B474">
        <v>0</v>
      </c>
      <c r="C474" t="s">
        <v>523</v>
      </c>
      <c r="D474" t="s">
        <v>510</v>
      </c>
      <c r="E474" t="s">
        <v>515</v>
      </c>
      <c r="L474"/>
    </row>
    <row r="475" spans="1:12" x14ac:dyDescent="0.35">
      <c r="A475" t="s">
        <v>3108</v>
      </c>
      <c r="B475">
        <v>0</v>
      </c>
      <c r="C475" t="s">
        <v>523</v>
      </c>
      <c r="D475" t="s">
        <v>510</v>
      </c>
      <c r="E475" t="s">
        <v>515</v>
      </c>
      <c r="L475"/>
    </row>
    <row r="476" spans="1:12" x14ac:dyDescent="0.35">
      <c r="A476" t="s">
        <v>3109</v>
      </c>
      <c r="B476">
        <v>0</v>
      </c>
      <c r="C476" t="s">
        <v>523</v>
      </c>
      <c r="D476" t="s">
        <v>510</v>
      </c>
      <c r="E476" t="s">
        <v>515</v>
      </c>
      <c r="L476"/>
    </row>
    <row r="477" spans="1:12" x14ac:dyDescent="0.35">
      <c r="A477" t="s">
        <v>3110</v>
      </c>
      <c r="B477">
        <v>0</v>
      </c>
      <c r="C477" t="s">
        <v>523</v>
      </c>
      <c r="D477" t="s">
        <v>510</v>
      </c>
      <c r="E477" t="s">
        <v>515</v>
      </c>
      <c r="L477"/>
    </row>
    <row r="478" spans="1:12" x14ac:dyDescent="0.35">
      <c r="A478" t="s">
        <v>3111</v>
      </c>
      <c r="B478">
        <v>0</v>
      </c>
      <c r="C478" t="s">
        <v>523</v>
      </c>
      <c r="D478" t="s">
        <v>510</v>
      </c>
      <c r="E478" t="s">
        <v>515</v>
      </c>
      <c r="L478"/>
    </row>
    <row r="479" spans="1:12" x14ac:dyDescent="0.35">
      <c r="A479" t="s">
        <v>3112</v>
      </c>
      <c r="B479">
        <v>0</v>
      </c>
      <c r="C479" t="s">
        <v>523</v>
      </c>
      <c r="D479" t="s">
        <v>510</v>
      </c>
      <c r="E479" t="s">
        <v>515</v>
      </c>
      <c r="L479"/>
    </row>
    <row r="480" spans="1:12" x14ac:dyDescent="0.35">
      <c r="A480" t="s">
        <v>3113</v>
      </c>
      <c r="B480">
        <v>0</v>
      </c>
      <c r="C480" t="s">
        <v>523</v>
      </c>
      <c r="D480" t="s">
        <v>510</v>
      </c>
      <c r="E480" t="s">
        <v>515</v>
      </c>
      <c r="L480"/>
    </row>
    <row r="481" spans="1:12" x14ac:dyDescent="0.35">
      <c r="A481" t="s">
        <v>3114</v>
      </c>
      <c r="B481">
        <v>0</v>
      </c>
      <c r="C481" t="s">
        <v>523</v>
      </c>
      <c r="D481" t="s">
        <v>510</v>
      </c>
      <c r="E481" t="s">
        <v>515</v>
      </c>
      <c r="L481"/>
    </row>
    <row r="482" spans="1:12" x14ac:dyDescent="0.35">
      <c r="A482" t="s">
        <v>3115</v>
      </c>
      <c r="B482">
        <v>0</v>
      </c>
      <c r="C482" t="s">
        <v>523</v>
      </c>
      <c r="D482" t="s">
        <v>510</v>
      </c>
      <c r="E482" t="s">
        <v>515</v>
      </c>
      <c r="L482"/>
    </row>
    <row r="483" spans="1:12" x14ac:dyDescent="0.35">
      <c r="A483" t="s">
        <v>3116</v>
      </c>
      <c r="B483">
        <v>0</v>
      </c>
      <c r="C483" t="s">
        <v>523</v>
      </c>
      <c r="D483" t="s">
        <v>510</v>
      </c>
      <c r="E483" t="s">
        <v>515</v>
      </c>
      <c r="L483"/>
    </row>
    <row r="484" spans="1:12" x14ac:dyDescent="0.35">
      <c r="A484" t="s">
        <v>3117</v>
      </c>
      <c r="B484">
        <v>0</v>
      </c>
      <c r="C484" t="s">
        <v>523</v>
      </c>
      <c r="D484" t="s">
        <v>510</v>
      </c>
      <c r="E484" t="s">
        <v>515</v>
      </c>
      <c r="L484"/>
    </row>
    <row r="485" spans="1:12" x14ac:dyDescent="0.35">
      <c r="A485" t="s">
        <v>3118</v>
      </c>
      <c r="B485">
        <v>0</v>
      </c>
      <c r="C485" t="s">
        <v>523</v>
      </c>
      <c r="D485" t="s">
        <v>510</v>
      </c>
      <c r="E485" t="s">
        <v>515</v>
      </c>
      <c r="L485"/>
    </row>
    <row r="486" spans="1:12" x14ac:dyDescent="0.35">
      <c r="A486" t="s">
        <v>3119</v>
      </c>
      <c r="B486">
        <v>0</v>
      </c>
      <c r="C486" t="s">
        <v>523</v>
      </c>
      <c r="D486" t="s">
        <v>510</v>
      </c>
      <c r="E486" t="s">
        <v>515</v>
      </c>
      <c r="L486"/>
    </row>
    <row r="487" spans="1:12" x14ac:dyDescent="0.35">
      <c r="A487" t="s">
        <v>3120</v>
      </c>
      <c r="B487">
        <v>0</v>
      </c>
      <c r="C487" t="s">
        <v>523</v>
      </c>
      <c r="D487" t="s">
        <v>510</v>
      </c>
      <c r="E487" t="s">
        <v>515</v>
      </c>
      <c r="L487"/>
    </row>
    <row r="488" spans="1:12" x14ac:dyDescent="0.35">
      <c r="A488" t="s">
        <v>3121</v>
      </c>
      <c r="B488">
        <v>0</v>
      </c>
      <c r="C488" t="s">
        <v>523</v>
      </c>
      <c r="D488" t="s">
        <v>510</v>
      </c>
      <c r="E488" t="s">
        <v>515</v>
      </c>
      <c r="L488"/>
    </row>
    <row r="489" spans="1:12" x14ac:dyDescent="0.35">
      <c r="A489" t="s">
        <v>3122</v>
      </c>
      <c r="B489">
        <v>0</v>
      </c>
      <c r="C489" t="s">
        <v>523</v>
      </c>
      <c r="D489" t="s">
        <v>510</v>
      </c>
      <c r="E489" t="s">
        <v>515</v>
      </c>
      <c r="L489"/>
    </row>
    <row r="490" spans="1:12" x14ac:dyDescent="0.35">
      <c r="A490" t="s">
        <v>3123</v>
      </c>
      <c r="B490">
        <v>0</v>
      </c>
      <c r="C490" t="s">
        <v>523</v>
      </c>
      <c r="D490" t="s">
        <v>510</v>
      </c>
      <c r="E490" t="s">
        <v>515</v>
      </c>
      <c r="L490"/>
    </row>
    <row r="491" spans="1:12" x14ac:dyDescent="0.35">
      <c r="A491" t="s">
        <v>3124</v>
      </c>
      <c r="B491">
        <v>0</v>
      </c>
      <c r="C491" t="s">
        <v>523</v>
      </c>
      <c r="D491" t="s">
        <v>510</v>
      </c>
      <c r="E491" t="s">
        <v>515</v>
      </c>
      <c r="L491"/>
    </row>
    <row r="492" spans="1:12" x14ac:dyDescent="0.35">
      <c r="A492" t="s">
        <v>3125</v>
      </c>
      <c r="B492">
        <v>0</v>
      </c>
      <c r="C492" t="s">
        <v>523</v>
      </c>
      <c r="D492" t="s">
        <v>510</v>
      </c>
      <c r="E492" t="s">
        <v>515</v>
      </c>
      <c r="L492"/>
    </row>
    <row r="493" spans="1:12" x14ac:dyDescent="0.35">
      <c r="A493" t="s">
        <v>3126</v>
      </c>
      <c r="B493">
        <v>0</v>
      </c>
      <c r="C493" t="s">
        <v>523</v>
      </c>
      <c r="D493" t="s">
        <v>510</v>
      </c>
      <c r="E493" t="s">
        <v>515</v>
      </c>
      <c r="L493"/>
    </row>
    <row r="494" spans="1:12" x14ac:dyDescent="0.35">
      <c r="A494" t="s">
        <v>3127</v>
      </c>
      <c r="B494">
        <v>0</v>
      </c>
      <c r="C494" t="s">
        <v>523</v>
      </c>
      <c r="D494" t="s">
        <v>510</v>
      </c>
      <c r="E494" t="s">
        <v>515</v>
      </c>
      <c r="L494"/>
    </row>
    <row r="495" spans="1:12" x14ac:dyDescent="0.35">
      <c r="A495" t="s">
        <v>3128</v>
      </c>
      <c r="B495">
        <v>0</v>
      </c>
      <c r="C495" t="s">
        <v>523</v>
      </c>
      <c r="D495" t="s">
        <v>510</v>
      </c>
      <c r="E495" t="s">
        <v>515</v>
      </c>
      <c r="L495"/>
    </row>
    <row r="496" spans="1:12" x14ac:dyDescent="0.35">
      <c r="A496" t="s">
        <v>3129</v>
      </c>
      <c r="B496">
        <v>0</v>
      </c>
      <c r="C496" t="s">
        <v>523</v>
      </c>
      <c r="D496" t="s">
        <v>510</v>
      </c>
      <c r="E496" t="s">
        <v>515</v>
      </c>
      <c r="L496"/>
    </row>
    <row r="497" spans="1:12" x14ac:dyDescent="0.35">
      <c r="A497" t="s">
        <v>3130</v>
      </c>
      <c r="B497">
        <v>0</v>
      </c>
      <c r="C497" t="s">
        <v>523</v>
      </c>
      <c r="D497" t="s">
        <v>510</v>
      </c>
      <c r="E497" t="s">
        <v>515</v>
      </c>
      <c r="L497"/>
    </row>
    <row r="498" spans="1:12" x14ac:dyDescent="0.35">
      <c r="A498" t="s">
        <v>3131</v>
      </c>
      <c r="B498">
        <v>0</v>
      </c>
      <c r="C498" t="s">
        <v>523</v>
      </c>
      <c r="D498" t="s">
        <v>510</v>
      </c>
      <c r="E498" t="s">
        <v>515</v>
      </c>
      <c r="L498"/>
    </row>
    <row r="499" spans="1:12" x14ac:dyDescent="0.35">
      <c r="A499" t="s">
        <v>3132</v>
      </c>
      <c r="B499">
        <v>0</v>
      </c>
      <c r="C499" t="s">
        <v>523</v>
      </c>
      <c r="D499" t="s">
        <v>510</v>
      </c>
      <c r="E499" t="s">
        <v>515</v>
      </c>
      <c r="L499"/>
    </row>
    <row r="500" spans="1:12" x14ac:dyDescent="0.35">
      <c r="A500" t="s">
        <v>3133</v>
      </c>
      <c r="B500">
        <v>0</v>
      </c>
      <c r="C500" t="s">
        <v>523</v>
      </c>
      <c r="D500" t="s">
        <v>510</v>
      </c>
      <c r="E500" t="s">
        <v>515</v>
      </c>
      <c r="L500"/>
    </row>
    <row r="501" spans="1:12" x14ac:dyDescent="0.35">
      <c r="A501" t="s">
        <v>3134</v>
      </c>
      <c r="B501">
        <v>0</v>
      </c>
      <c r="C501" t="s">
        <v>523</v>
      </c>
      <c r="D501" t="s">
        <v>510</v>
      </c>
      <c r="E501" t="s">
        <v>515</v>
      </c>
      <c r="L501"/>
    </row>
    <row r="502" spans="1:12" x14ac:dyDescent="0.35">
      <c r="A502" t="s">
        <v>3135</v>
      </c>
      <c r="B502">
        <v>0</v>
      </c>
      <c r="C502" t="s">
        <v>523</v>
      </c>
      <c r="D502" t="s">
        <v>510</v>
      </c>
      <c r="E502" t="s">
        <v>515</v>
      </c>
      <c r="L502"/>
    </row>
    <row r="503" spans="1:12" x14ac:dyDescent="0.35">
      <c r="A503" t="s">
        <v>3136</v>
      </c>
      <c r="B503">
        <v>0</v>
      </c>
      <c r="C503" t="s">
        <v>523</v>
      </c>
      <c r="D503" t="s">
        <v>510</v>
      </c>
      <c r="E503" t="s">
        <v>515</v>
      </c>
      <c r="L503"/>
    </row>
    <row r="504" spans="1:12" x14ac:dyDescent="0.35">
      <c r="A504" t="s">
        <v>3137</v>
      </c>
      <c r="B504">
        <v>0</v>
      </c>
      <c r="C504" t="s">
        <v>523</v>
      </c>
      <c r="D504" t="s">
        <v>510</v>
      </c>
      <c r="E504" t="s">
        <v>515</v>
      </c>
      <c r="L504"/>
    </row>
    <row r="505" spans="1:12" x14ac:dyDescent="0.35">
      <c r="A505" t="s">
        <v>3138</v>
      </c>
      <c r="B505">
        <v>0</v>
      </c>
      <c r="C505" t="s">
        <v>523</v>
      </c>
      <c r="D505" t="s">
        <v>505</v>
      </c>
      <c r="E505" t="s">
        <v>515</v>
      </c>
      <c r="L505"/>
    </row>
    <row r="506" spans="1:12" x14ac:dyDescent="0.35">
      <c r="A506" t="s">
        <v>3139</v>
      </c>
      <c r="B506">
        <v>0</v>
      </c>
      <c r="C506" t="s">
        <v>524</v>
      </c>
      <c r="D506" t="s">
        <v>510</v>
      </c>
      <c r="E506" t="s">
        <v>515</v>
      </c>
      <c r="L506"/>
    </row>
    <row r="507" spans="1:12" x14ac:dyDescent="0.35">
      <c r="A507" t="s">
        <v>3140</v>
      </c>
      <c r="B507">
        <v>0</v>
      </c>
      <c r="C507" t="s">
        <v>525</v>
      </c>
      <c r="D507" t="s">
        <v>510</v>
      </c>
      <c r="E507" t="s">
        <v>519</v>
      </c>
      <c r="L507"/>
    </row>
    <row r="508" spans="1:12" x14ac:dyDescent="0.35">
      <c r="A508" t="s">
        <v>3141</v>
      </c>
      <c r="B508">
        <v>0</v>
      </c>
      <c r="C508" t="s">
        <v>525</v>
      </c>
      <c r="D508" t="s">
        <v>510</v>
      </c>
      <c r="E508" t="s">
        <v>519</v>
      </c>
      <c r="L508"/>
    </row>
    <row r="509" spans="1:12" x14ac:dyDescent="0.35">
      <c r="A509" t="s">
        <v>3142</v>
      </c>
      <c r="B509">
        <v>0</v>
      </c>
      <c r="C509" t="s">
        <v>524</v>
      </c>
      <c r="D509" t="s">
        <v>510</v>
      </c>
      <c r="E509" t="s">
        <v>515</v>
      </c>
      <c r="L509"/>
    </row>
    <row r="510" spans="1:12" x14ac:dyDescent="0.35">
      <c r="A510" t="s">
        <v>3143</v>
      </c>
      <c r="B510">
        <v>0</v>
      </c>
      <c r="C510" t="s">
        <v>524</v>
      </c>
      <c r="D510" t="s">
        <v>510</v>
      </c>
      <c r="E510" t="s">
        <v>515</v>
      </c>
      <c r="L510"/>
    </row>
    <row r="511" spans="1:12" x14ac:dyDescent="0.35">
      <c r="A511" t="s">
        <v>3144</v>
      </c>
      <c r="B511">
        <v>0</v>
      </c>
      <c r="C511" t="s">
        <v>524</v>
      </c>
      <c r="D511" t="s">
        <v>510</v>
      </c>
      <c r="E511" t="s">
        <v>515</v>
      </c>
      <c r="L511"/>
    </row>
    <row r="512" spans="1:12" x14ac:dyDescent="0.35">
      <c r="A512" t="s">
        <v>3145</v>
      </c>
      <c r="B512">
        <v>0</v>
      </c>
      <c r="C512" t="s">
        <v>524</v>
      </c>
      <c r="D512" t="s">
        <v>510</v>
      </c>
      <c r="E512" t="s">
        <v>515</v>
      </c>
      <c r="L512"/>
    </row>
    <row r="513" spans="1:12" x14ac:dyDescent="0.35">
      <c r="A513" t="s">
        <v>3146</v>
      </c>
      <c r="B513">
        <v>0</v>
      </c>
      <c r="C513" t="s">
        <v>524</v>
      </c>
      <c r="D513" t="s">
        <v>510</v>
      </c>
      <c r="E513" t="s">
        <v>515</v>
      </c>
      <c r="L513"/>
    </row>
    <row r="514" spans="1:12" x14ac:dyDescent="0.35">
      <c r="A514" t="s">
        <v>3147</v>
      </c>
      <c r="B514">
        <v>0</v>
      </c>
      <c r="C514" t="s">
        <v>524</v>
      </c>
      <c r="D514" t="s">
        <v>510</v>
      </c>
      <c r="E514" t="s">
        <v>515</v>
      </c>
      <c r="L514"/>
    </row>
    <row r="515" spans="1:12" x14ac:dyDescent="0.35">
      <c r="A515" t="s">
        <v>3148</v>
      </c>
      <c r="B515">
        <v>0</v>
      </c>
      <c r="C515" t="s">
        <v>524</v>
      </c>
      <c r="D515" t="s">
        <v>510</v>
      </c>
      <c r="E515" t="s">
        <v>515</v>
      </c>
      <c r="L515"/>
    </row>
    <row r="516" spans="1:12" x14ac:dyDescent="0.35">
      <c r="A516" t="s">
        <v>3149</v>
      </c>
      <c r="B516">
        <v>0</v>
      </c>
      <c r="C516" t="s">
        <v>524</v>
      </c>
      <c r="D516" t="s">
        <v>510</v>
      </c>
      <c r="E516" t="s">
        <v>515</v>
      </c>
      <c r="L516"/>
    </row>
    <row r="517" spans="1:12" x14ac:dyDescent="0.35">
      <c r="A517" t="s">
        <v>3150</v>
      </c>
      <c r="B517">
        <v>0</v>
      </c>
      <c r="C517" t="s">
        <v>524</v>
      </c>
      <c r="D517" t="s">
        <v>510</v>
      </c>
      <c r="E517" t="s">
        <v>515</v>
      </c>
      <c r="L517"/>
    </row>
    <row r="518" spans="1:12" x14ac:dyDescent="0.35">
      <c r="A518" t="s">
        <v>3151</v>
      </c>
      <c r="B518">
        <v>0</v>
      </c>
      <c r="C518" t="s">
        <v>524</v>
      </c>
      <c r="D518" t="s">
        <v>510</v>
      </c>
      <c r="E518" t="s">
        <v>515</v>
      </c>
      <c r="L518"/>
    </row>
    <row r="519" spans="1:12" x14ac:dyDescent="0.35">
      <c r="A519" t="s">
        <v>3152</v>
      </c>
      <c r="B519">
        <v>0</v>
      </c>
      <c r="C519" t="s">
        <v>525</v>
      </c>
      <c r="D519" t="s">
        <v>510</v>
      </c>
      <c r="E519" t="s">
        <v>519</v>
      </c>
      <c r="L519"/>
    </row>
    <row r="520" spans="1:12" x14ac:dyDescent="0.35">
      <c r="A520" t="s">
        <v>3153</v>
      </c>
      <c r="B520">
        <v>0</v>
      </c>
      <c r="C520" t="s">
        <v>524</v>
      </c>
      <c r="D520" t="s">
        <v>510</v>
      </c>
      <c r="E520" t="s">
        <v>515</v>
      </c>
      <c r="L520"/>
    </row>
    <row r="521" spans="1:12" x14ac:dyDescent="0.35">
      <c r="A521" t="s">
        <v>3154</v>
      </c>
      <c r="B521">
        <v>0</v>
      </c>
      <c r="C521" t="s">
        <v>524</v>
      </c>
      <c r="D521" t="s">
        <v>510</v>
      </c>
      <c r="E521" t="s">
        <v>515</v>
      </c>
      <c r="L521"/>
    </row>
    <row r="522" spans="1:12" x14ac:dyDescent="0.35">
      <c r="A522" t="s">
        <v>3155</v>
      </c>
      <c r="B522">
        <v>0</v>
      </c>
      <c r="C522" t="s">
        <v>524</v>
      </c>
      <c r="D522" t="s">
        <v>510</v>
      </c>
      <c r="E522" t="s">
        <v>515</v>
      </c>
      <c r="L522"/>
    </row>
    <row r="523" spans="1:12" x14ac:dyDescent="0.35">
      <c r="A523" t="s">
        <v>3156</v>
      </c>
      <c r="B523">
        <v>0</v>
      </c>
      <c r="C523" t="s">
        <v>525</v>
      </c>
      <c r="D523" t="s">
        <v>510</v>
      </c>
      <c r="E523" t="s">
        <v>519</v>
      </c>
      <c r="L523"/>
    </row>
    <row r="524" spans="1:12" x14ac:dyDescent="0.35">
      <c r="A524" t="s">
        <v>3157</v>
      </c>
      <c r="B524">
        <v>0</v>
      </c>
      <c r="C524" t="s">
        <v>524</v>
      </c>
      <c r="D524" t="s">
        <v>510</v>
      </c>
      <c r="E524" t="s">
        <v>515</v>
      </c>
      <c r="L524"/>
    </row>
    <row r="525" spans="1:12" x14ac:dyDescent="0.35">
      <c r="A525" t="s">
        <v>3158</v>
      </c>
      <c r="B525">
        <v>0</v>
      </c>
      <c r="C525" t="s">
        <v>524</v>
      </c>
      <c r="D525" t="s">
        <v>510</v>
      </c>
      <c r="E525" t="s">
        <v>515</v>
      </c>
      <c r="L525"/>
    </row>
    <row r="526" spans="1:12" x14ac:dyDescent="0.35">
      <c r="A526" t="s">
        <v>3159</v>
      </c>
      <c r="B526">
        <v>0</v>
      </c>
      <c r="C526" t="s">
        <v>524</v>
      </c>
      <c r="D526" t="s">
        <v>510</v>
      </c>
      <c r="E526" t="s">
        <v>515</v>
      </c>
      <c r="L526"/>
    </row>
    <row r="527" spans="1:12" x14ac:dyDescent="0.35">
      <c r="A527" t="s">
        <v>3160</v>
      </c>
      <c r="B527">
        <v>0</v>
      </c>
      <c r="C527" t="s">
        <v>524</v>
      </c>
      <c r="D527" t="s">
        <v>510</v>
      </c>
      <c r="E527" t="s">
        <v>515</v>
      </c>
      <c r="L527"/>
    </row>
    <row r="528" spans="1:12" x14ac:dyDescent="0.35">
      <c r="A528" t="s">
        <v>3161</v>
      </c>
      <c r="B528">
        <v>0</v>
      </c>
      <c r="C528" t="s">
        <v>525</v>
      </c>
      <c r="D528" t="s">
        <v>510</v>
      </c>
      <c r="E528" t="s">
        <v>519</v>
      </c>
      <c r="L528"/>
    </row>
    <row r="529" spans="1:12" x14ac:dyDescent="0.35">
      <c r="A529" t="s">
        <v>3162</v>
      </c>
      <c r="B529">
        <v>0</v>
      </c>
      <c r="C529" t="s">
        <v>525</v>
      </c>
      <c r="D529" t="s">
        <v>510</v>
      </c>
      <c r="E529" t="s">
        <v>519</v>
      </c>
      <c r="L529"/>
    </row>
    <row r="530" spans="1:12" x14ac:dyDescent="0.35">
      <c r="A530" t="s">
        <v>3163</v>
      </c>
      <c r="B530">
        <v>0</v>
      </c>
      <c r="C530" t="s">
        <v>524</v>
      </c>
      <c r="D530" t="s">
        <v>510</v>
      </c>
      <c r="E530" t="s">
        <v>515</v>
      </c>
      <c r="L530"/>
    </row>
    <row r="531" spans="1:12" x14ac:dyDescent="0.35">
      <c r="A531" t="s">
        <v>3164</v>
      </c>
      <c r="B531">
        <v>0</v>
      </c>
      <c r="C531" t="s">
        <v>524</v>
      </c>
      <c r="D531" t="s">
        <v>510</v>
      </c>
      <c r="E531" t="s">
        <v>515</v>
      </c>
      <c r="L531"/>
    </row>
    <row r="532" spans="1:12" x14ac:dyDescent="0.35">
      <c r="A532" t="s">
        <v>3165</v>
      </c>
      <c r="B532">
        <v>0</v>
      </c>
      <c r="C532" t="s">
        <v>525</v>
      </c>
      <c r="D532" t="s">
        <v>510</v>
      </c>
      <c r="E532" t="s">
        <v>519</v>
      </c>
      <c r="L532"/>
    </row>
    <row r="533" spans="1:12" x14ac:dyDescent="0.35">
      <c r="A533" t="s">
        <v>3166</v>
      </c>
      <c r="B533">
        <v>0</v>
      </c>
      <c r="C533" t="s">
        <v>524</v>
      </c>
      <c r="D533" t="s">
        <v>510</v>
      </c>
      <c r="E533" t="s">
        <v>515</v>
      </c>
      <c r="L533"/>
    </row>
    <row r="534" spans="1:12" x14ac:dyDescent="0.35">
      <c r="A534" t="s">
        <v>3167</v>
      </c>
      <c r="B534">
        <v>0</v>
      </c>
      <c r="C534" t="s">
        <v>524</v>
      </c>
      <c r="D534" t="s">
        <v>510</v>
      </c>
      <c r="E534" t="s">
        <v>515</v>
      </c>
      <c r="L534"/>
    </row>
    <row r="535" spans="1:12" x14ac:dyDescent="0.35">
      <c r="A535" t="s">
        <v>3168</v>
      </c>
      <c r="B535">
        <v>0</v>
      </c>
      <c r="C535" t="s">
        <v>524</v>
      </c>
      <c r="D535" t="s">
        <v>510</v>
      </c>
      <c r="E535" t="s">
        <v>515</v>
      </c>
      <c r="L535"/>
    </row>
    <row r="536" spans="1:12" x14ac:dyDescent="0.35">
      <c r="A536" t="s">
        <v>3169</v>
      </c>
      <c r="B536">
        <v>0</v>
      </c>
      <c r="C536" t="s">
        <v>525</v>
      </c>
      <c r="D536" t="s">
        <v>510</v>
      </c>
      <c r="E536" t="s">
        <v>519</v>
      </c>
      <c r="L536"/>
    </row>
    <row r="537" spans="1:12" x14ac:dyDescent="0.35">
      <c r="A537" t="s">
        <v>3170</v>
      </c>
      <c r="B537">
        <v>0</v>
      </c>
      <c r="C537" t="s">
        <v>524</v>
      </c>
      <c r="D537" t="s">
        <v>510</v>
      </c>
      <c r="E537" t="s">
        <v>515</v>
      </c>
      <c r="L537"/>
    </row>
    <row r="538" spans="1:12" x14ac:dyDescent="0.35">
      <c r="A538" t="s">
        <v>3171</v>
      </c>
      <c r="B538">
        <v>0</v>
      </c>
      <c r="C538" t="s">
        <v>524</v>
      </c>
      <c r="D538" t="s">
        <v>510</v>
      </c>
      <c r="E538" t="s">
        <v>515</v>
      </c>
      <c r="L538"/>
    </row>
    <row r="539" spans="1:12" x14ac:dyDescent="0.35">
      <c r="A539" t="s">
        <v>3172</v>
      </c>
      <c r="B539">
        <v>0</v>
      </c>
      <c r="C539" t="s">
        <v>524</v>
      </c>
      <c r="D539" t="s">
        <v>510</v>
      </c>
      <c r="E539" t="s">
        <v>515</v>
      </c>
      <c r="L539"/>
    </row>
    <row r="540" spans="1:12" x14ac:dyDescent="0.35">
      <c r="A540" t="s">
        <v>3173</v>
      </c>
      <c r="B540">
        <v>0</v>
      </c>
      <c r="C540" t="s">
        <v>524</v>
      </c>
      <c r="D540" t="s">
        <v>510</v>
      </c>
      <c r="E540" t="s">
        <v>515</v>
      </c>
      <c r="L540"/>
    </row>
    <row r="541" spans="1:12" x14ac:dyDescent="0.35">
      <c r="A541" t="s">
        <v>3174</v>
      </c>
      <c r="B541">
        <v>0</v>
      </c>
      <c r="C541" t="s">
        <v>524</v>
      </c>
      <c r="D541" t="s">
        <v>510</v>
      </c>
      <c r="E541" t="s">
        <v>515</v>
      </c>
      <c r="L541"/>
    </row>
    <row r="542" spans="1:12" x14ac:dyDescent="0.35">
      <c r="A542" t="s">
        <v>3175</v>
      </c>
      <c r="B542">
        <v>-3</v>
      </c>
      <c r="C542" t="s">
        <v>525</v>
      </c>
      <c r="D542" t="s">
        <v>510</v>
      </c>
      <c r="E542" t="s">
        <v>519</v>
      </c>
      <c r="L542"/>
    </row>
    <row r="543" spans="1:12" x14ac:dyDescent="0.35">
      <c r="A543" t="s">
        <v>3176</v>
      </c>
      <c r="B543">
        <v>0</v>
      </c>
      <c r="C543" t="s">
        <v>525</v>
      </c>
      <c r="D543" t="s">
        <v>510</v>
      </c>
      <c r="E543" t="s">
        <v>519</v>
      </c>
      <c r="L543"/>
    </row>
    <row r="544" spans="1:12" x14ac:dyDescent="0.35">
      <c r="A544" t="s">
        <v>3177</v>
      </c>
      <c r="B544">
        <v>0</v>
      </c>
      <c r="C544" t="s">
        <v>525</v>
      </c>
      <c r="D544" t="s">
        <v>510</v>
      </c>
      <c r="E544" t="s">
        <v>519</v>
      </c>
      <c r="L544"/>
    </row>
    <row r="545" spans="1:12" x14ac:dyDescent="0.35">
      <c r="A545" t="s">
        <v>3178</v>
      </c>
      <c r="B545">
        <v>0</v>
      </c>
      <c r="C545" t="s">
        <v>524</v>
      </c>
      <c r="D545" t="s">
        <v>510</v>
      </c>
      <c r="E545" t="s">
        <v>515</v>
      </c>
      <c r="L545"/>
    </row>
    <row r="546" spans="1:12" x14ac:dyDescent="0.35">
      <c r="A546" t="s">
        <v>3179</v>
      </c>
      <c r="B546">
        <v>0</v>
      </c>
      <c r="C546" t="s">
        <v>524</v>
      </c>
      <c r="D546" t="s">
        <v>510</v>
      </c>
      <c r="E546" t="s">
        <v>515</v>
      </c>
      <c r="L546"/>
    </row>
    <row r="547" spans="1:12" x14ac:dyDescent="0.35">
      <c r="A547" t="s">
        <v>3444</v>
      </c>
      <c r="B547">
        <v>0</v>
      </c>
      <c r="C547" t="s">
        <v>524</v>
      </c>
      <c r="D547" t="s">
        <v>510</v>
      </c>
      <c r="E547" t="s">
        <v>515</v>
      </c>
      <c r="L547"/>
    </row>
    <row r="548" spans="1:12" x14ac:dyDescent="0.35">
      <c r="A548" t="s">
        <v>3180</v>
      </c>
      <c r="B548">
        <v>0</v>
      </c>
      <c r="C548" t="s">
        <v>524</v>
      </c>
      <c r="D548" t="s">
        <v>510</v>
      </c>
      <c r="E548" t="s">
        <v>515</v>
      </c>
      <c r="L548"/>
    </row>
    <row r="549" spans="1:12" x14ac:dyDescent="0.35">
      <c r="A549" t="s">
        <v>3181</v>
      </c>
      <c r="B549">
        <v>0</v>
      </c>
      <c r="C549" t="s">
        <v>524</v>
      </c>
      <c r="D549" t="s">
        <v>510</v>
      </c>
      <c r="E549" t="s">
        <v>515</v>
      </c>
      <c r="L549"/>
    </row>
    <row r="550" spans="1:12" x14ac:dyDescent="0.35">
      <c r="A550" t="s">
        <v>3182</v>
      </c>
      <c r="B550">
        <v>0</v>
      </c>
      <c r="C550" t="s">
        <v>525</v>
      </c>
      <c r="D550" t="s">
        <v>510</v>
      </c>
      <c r="E550" t="s">
        <v>519</v>
      </c>
      <c r="L550"/>
    </row>
    <row r="551" spans="1:12" x14ac:dyDescent="0.35">
      <c r="A551" t="s">
        <v>3183</v>
      </c>
      <c r="B551">
        <v>0</v>
      </c>
      <c r="C551" t="s">
        <v>524</v>
      </c>
      <c r="D551" t="s">
        <v>510</v>
      </c>
      <c r="E551" t="s">
        <v>515</v>
      </c>
      <c r="L551"/>
    </row>
    <row r="552" spans="1:12" x14ac:dyDescent="0.35">
      <c r="A552" t="s">
        <v>3184</v>
      </c>
      <c r="B552">
        <v>0</v>
      </c>
      <c r="C552" t="s">
        <v>525</v>
      </c>
      <c r="D552" t="s">
        <v>510</v>
      </c>
      <c r="E552" t="s">
        <v>518</v>
      </c>
      <c r="L552"/>
    </row>
    <row r="553" spans="1:12" x14ac:dyDescent="0.35">
      <c r="A553" t="s">
        <v>3185</v>
      </c>
      <c r="B553">
        <v>0</v>
      </c>
      <c r="C553" t="s">
        <v>525</v>
      </c>
      <c r="D553" t="s">
        <v>510</v>
      </c>
      <c r="E553" t="s">
        <v>518</v>
      </c>
      <c r="L553"/>
    </row>
    <row r="554" spans="1:12" x14ac:dyDescent="0.35">
      <c r="A554" t="s">
        <v>3186</v>
      </c>
      <c r="B554">
        <v>0</v>
      </c>
      <c r="C554" t="s">
        <v>524</v>
      </c>
      <c r="D554" t="s">
        <v>510</v>
      </c>
      <c r="E554" t="s">
        <v>519</v>
      </c>
      <c r="L554"/>
    </row>
    <row r="555" spans="1:12" x14ac:dyDescent="0.35">
      <c r="A555" t="s">
        <v>3187</v>
      </c>
      <c r="B555">
        <v>0</v>
      </c>
      <c r="C555" t="s">
        <v>525</v>
      </c>
      <c r="D555" t="s">
        <v>510</v>
      </c>
      <c r="E555" t="s">
        <v>518</v>
      </c>
      <c r="L555"/>
    </row>
    <row r="556" spans="1:12" x14ac:dyDescent="0.35">
      <c r="A556" t="s">
        <v>3188</v>
      </c>
      <c r="B556">
        <v>0</v>
      </c>
      <c r="C556" t="s">
        <v>525</v>
      </c>
      <c r="D556" t="s">
        <v>510</v>
      </c>
      <c r="E556" t="s">
        <v>519</v>
      </c>
      <c r="L556"/>
    </row>
    <row r="557" spans="1:12" x14ac:dyDescent="0.35">
      <c r="A557" t="s">
        <v>3189</v>
      </c>
      <c r="B557">
        <v>0</v>
      </c>
      <c r="C557" t="s">
        <v>524</v>
      </c>
      <c r="D557" t="s">
        <v>510</v>
      </c>
      <c r="E557" t="s">
        <v>515</v>
      </c>
      <c r="L557"/>
    </row>
    <row r="558" spans="1:12" x14ac:dyDescent="0.35">
      <c r="A558" t="s">
        <v>3190</v>
      </c>
      <c r="B558">
        <v>0</v>
      </c>
      <c r="C558" t="s">
        <v>525</v>
      </c>
      <c r="D558" t="s">
        <v>510</v>
      </c>
      <c r="E558" t="s">
        <v>518</v>
      </c>
      <c r="L558"/>
    </row>
    <row r="559" spans="1:12" x14ac:dyDescent="0.35">
      <c r="A559" t="s">
        <v>3191</v>
      </c>
      <c r="B559">
        <v>-3</v>
      </c>
      <c r="C559" t="s">
        <v>524</v>
      </c>
      <c r="D559" t="s">
        <v>510</v>
      </c>
      <c r="E559" t="s">
        <v>515</v>
      </c>
      <c r="L559"/>
    </row>
    <row r="560" spans="1:12" x14ac:dyDescent="0.35">
      <c r="A560" t="s">
        <v>3192</v>
      </c>
      <c r="B560">
        <v>0</v>
      </c>
      <c r="C560" t="s">
        <v>525</v>
      </c>
      <c r="D560" t="s">
        <v>510</v>
      </c>
      <c r="E560" t="s">
        <v>518</v>
      </c>
      <c r="L560"/>
    </row>
    <row r="561" spans="1:12" x14ac:dyDescent="0.35">
      <c r="A561" t="s">
        <v>3193</v>
      </c>
      <c r="B561">
        <v>0</v>
      </c>
      <c r="C561" t="s">
        <v>524</v>
      </c>
      <c r="D561" t="s">
        <v>510</v>
      </c>
      <c r="E561" t="s">
        <v>515</v>
      </c>
      <c r="L561"/>
    </row>
    <row r="562" spans="1:12" x14ac:dyDescent="0.35">
      <c r="A562" t="s">
        <v>3194</v>
      </c>
      <c r="B562">
        <v>0</v>
      </c>
      <c r="C562" t="s">
        <v>524</v>
      </c>
      <c r="D562" t="s">
        <v>510</v>
      </c>
      <c r="E562" t="s">
        <v>515</v>
      </c>
      <c r="L562"/>
    </row>
    <row r="563" spans="1:12" x14ac:dyDescent="0.35">
      <c r="A563" t="s">
        <v>3195</v>
      </c>
      <c r="B563">
        <v>0</v>
      </c>
      <c r="C563" t="s">
        <v>524</v>
      </c>
      <c r="D563" t="s">
        <v>510</v>
      </c>
      <c r="E563" t="s">
        <v>515</v>
      </c>
      <c r="L563"/>
    </row>
    <row r="564" spans="1:12" x14ac:dyDescent="0.35">
      <c r="A564" t="s">
        <v>3196</v>
      </c>
      <c r="B564">
        <v>0</v>
      </c>
      <c r="C564" t="s">
        <v>523</v>
      </c>
      <c r="D564" t="s">
        <v>506</v>
      </c>
      <c r="E564" t="s">
        <v>516</v>
      </c>
      <c r="L564"/>
    </row>
    <row r="565" spans="1:12" x14ac:dyDescent="0.35">
      <c r="A565" t="s">
        <v>3197</v>
      </c>
      <c r="B565">
        <v>0</v>
      </c>
      <c r="C565" t="s">
        <v>523</v>
      </c>
      <c r="D565" t="s">
        <v>506</v>
      </c>
      <c r="E565" t="s">
        <v>516</v>
      </c>
      <c r="L565"/>
    </row>
    <row r="566" spans="1:12" x14ac:dyDescent="0.35">
      <c r="A566" t="s">
        <v>3198</v>
      </c>
      <c r="B566">
        <v>0</v>
      </c>
      <c r="C566" t="s">
        <v>523</v>
      </c>
      <c r="D566" t="s">
        <v>506</v>
      </c>
      <c r="E566" t="s">
        <v>515</v>
      </c>
      <c r="L566"/>
    </row>
    <row r="567" spans="1:12" x14ac:dyDescent="0.35">
      <c r="A567" t="s">
        <v>3199</v>
      </c>
      <c r="B567">
        <v>0</v>
      </c>
      <c r="C567" t="s">
        <v>523</v>
      </c>
      <c r="D567" t="s">
        <v>506</v>
      </c>
      <c r="E567" t="s">
        <v>516</v>
      </c>
      <c r="L567"/>
    </row>
    <row r="568" spans="1:12" x14ac:dyDescent="0.35">
      <c r="A568" t="s">
        <v>3200</v>
      </c>
      <c r="B568">
        <v>0</v>
      </c>
      <c r="C568" t="s">
        <v>523</v>
      </c>
      <c r="D568" t="s">
        <v>509</v>
      </c>
      <c r="E568" t="s">
        <v>516</v>
      </c>
      <c r="L568"/>
    </row>
    <row r="569" spans="1:12" x14ac:dyDescent="0.35">
      <c r="A569" t="s">
        <v>3201</v>
      </c>
      <c r="B569">
        <v>0</v>
      </c>
      <c r="C569" t="s">
        <v>523</v>
      </c>
      <c r="D569" t="s">
        <v>506</v>
      </c>
      <c r="E569" t="s">
        <v>515</v>
      </c>
      <c r="L569"/>
    </row>
    <row r="570" spans="1:12" x14ac:dyDescent="0.35">
      <c r="A570" t="s">
        <v>3202</v>
      </c>
      <c r="B570">
        <v>0</v>
      </c>
      <c r="C570" t="s">
        <v>523</v>
      </c>
      <c r="D570" t="s">
        <v>510</v>
      </c>
      <c r="E570" t="s">
        <v>515</v>
      </c>
      <c r="L570"/>
    </row>
    <row r="571" spans="1:12" x14ac:dyDescent="0.35">
      <c r="A571" t="s">
        <v>3203</v>
      </c>
      <c r="B571">
        <v>0</v>
      </c>
      <c r="C571" t="s">
        <v>523</v>
      </c>
      <c r="D571" t="s">
        <v>510</v>
      </c>
      <c r="E571" t="s">
        <v>515</v>
      </c>
      <c r="L571"/>
    </row>
    <row r="572" spans="1:12" x14ac:dyDescent="0.35">
      <c r="A572" t="s">
        <v>227</v>
      </c>
      <c r="B572">
        <v>0</v>
      </c>
      <c r="C572" t="s">
        <v>523</v>
      </c>
      <c r="D572" t="s">
        <v>512</v>
      </c>
      <c r="E572" t="s">
        <v>516</v>
      </c>
      <c r="L572"/>
    </row>
    <row r="573" spans="1:12" x14ac:dyDescent="0.35">
      <c r="A573" t="s">
        <v>211</v>
      </c>
      <c r="B573">
        <v>0</v>
      </c>
      <c r="C573" t="s">
        <v>523</v>
      </c>
      <c r="D573" t="s">
        <v>512</v>
      </c>
      <c r="E573" t="s">
        <v>516</v>
      </c>
      <c r="L573"/>
    </row>
    <row r="574" spans="1:12" x14ac:dyDescent="0.35">
      <c r="A574" t="s">
        <v>212</v>
      </c>
      <c r="B574">
        <v>0</v>
      </c>
      <c r="C574" t="s">
        <v>523</v>
      </c>
      <c r="D574" t="s">
        <v>512</v>
      </c>
      <c r="E574" t="s">
        <v>516</v>
      </c>
      <c r="L574"/>
    </row>
    <row r="575" spans="1:12" x14ac:dyDescent="0.35">
      <c r="A575" t="s">
        <v>213</v>
      </c>
      <c r="B575">
        <v>0</v>
      </c>
      <c r="C575" t="s">
        <v>523</v>
      </c>
      <c r="D575" t="s">
        <v>512</v>
      </c>
      <c r="E575" t="s">
        <v>516</v>
      </c>
      <c r="L575"/>
    </row>
    <row r="576" spans="1:12" x14ac:dyDescent="0.35">
      <c r="A576" t="s">
        <v>214</v>
      </c>
      <c r="B576">
        <v>0</v>
      </c>
      <c r="C576" t="s">
        <v>523</v>
      </c>
      <c r="D576" t="s">
        <v>512</v>
      </c>
      <c r="E576" t="s">
        <v>516</v>
      </c>
      <c r="L576"/>
    </row>
    <row r="577" spans="1:12" x14ac:dyDescent="0.35">
      <c r="A577" t="s">
        <v>215</v>
      </c>
      <c r="B577">
        <v>0</v>
      </c>
      <c r="C577" t="s">
        <v>523</v>
      </c>
      <c r="D577" t="s">
        <v>512</v>
      </c>
      <c r="E577" t="s">
        <v>516</v>
      </c>
      <c r="L577"/>
    </row>
    <row r="578" spans="1:12" x14ac:dyDescent="0.35">
      <c r="A578" t="s">
        <v>216</v>
      </c>
      <c r="B578">
        <v>0</v>
      </c>
      <c r="C578" t="s">
        <v>523</v>
      </c>
      <c r="D578" t="s">
        <v>512</v>
      </c>
      <c r="E578" t="s">
        <v>516</v>
      </c>
      <c r="L578"/>
    </row>
    <row r="579" spans="1:12" x14ac:dyDescent="0.35">
      <c r="A579" t="s">
        <v>217</v>
      </c>
      <c r="B579">
        <v>0</v>
      </c>
      <c r="C579" t="s">
        <v>523</v>
      </c>
      <c r="D579" t="s">
        <v>512</v>
      </c>
      <c r="E579" t="s">
        <v>516</v>
      </c>
      <c r="L579"/>
    </row>
    <row r="580" spans="1:12" x14ac:dyDescent="0.35">
      <c r="A580" t="s">
        <v>218</v>
      </c>
      <c r="B580">
        <v>0</v>
      </c>
      <c r="C580" t="s">
        <v>523</v>
      </c>
      <c r="D580" t="s">
        <v>512</v>
      </c>
      <c r="E580" t="s">
        <v>516</v>
      </c>
      <c r="L580"/>
    </row>
    <row r="581" spans="1:12" x14ac:dyDescent="0.35">
      <c r="A581" t="s">
        <v>219</v>
      </c>
      <c r="B581">
        <v>0</v>
      </c>
      <c r="C581" t="s">
        <v>523</v>
      </c>
      <c r="D581" t="s">
        <v>512</v>
      </c>
      <c r="E581" t="s">
        <v>516</v>
      </c>
      <c r="L581"/>
    </row>
    <row r="582" spans="1:12" x14ac:dyDescent="0.35">
      <c r="A582" t="s">
        <v>220</v>
      </c>
      <c r="B582">
        <v>0</v>
      </c>
      <c r="C582" t="s">
        <v>523</v>
      </c>
      <c r="D582" t="s">
        <v>512</v>
      </c>
      <c r="E582" t="s">
        <v>516</v>
      </c>
      <c r="L582"/>
    </row>
    <row r="583" spans="1:12" x14ac:dyDescent="0.35">
      <c r="A583" t="s">
        <v>221</v>
      </c>
      <c r="B583">
        <v>0</v>
      </c>
      <c r="C583" t="s">
        <v>523</v>
      </c>
      <c r="D583" t="s">
        <v>512</v>
      </c>
      <c r="E583" t="s">
        <v>516</v>
      </c>
      <c r="L583"/>
    </row>
    <row r="584" spans="1:12" x14ac:dyDescent="0.35">
      <c r="A584" t="s">
        <v>222</v>
      </c>
      <c r="B584">
        <v>0</v>
      </c>
      <c r="C584" t="s">
        <v>523</v>
      </c>
      <c r="D584" t="s">
        <v>512</v>
      </c>
      <c r="E584" t="s">
        <v>516</v>
      </c>
      <c r="L584"/>
    </row>
    <row r="585" spans="1:12" x14ac:dyDescent="0.35">
      <c r="A585" t="s">
        <v>223</v>
      </c>
      <c r="B585">
        <v>0</v>
      </c>
      <c r="C585" t="s">
        <v>523</v>
      </c>
      <c r="D585" t="s">
        <v>511</v>
      </c>
      <c r="E585" t="s">
        <v>515</v>
      </c>
      <c r="L585"/>
    </row>
    <row r="586" spans="1:12" x14ac:dyDescent="0.35">
      <c r="A586" t="s">
        <v>224</v>
      </c>
      <c r="B586">
        <v>0</v>
      </c>
      <c r="C586" t="s">
        <v>523</v>
      </c>
      <c r="D586" t="s">
        <v>512</v>
      </c>
      <c r="E586" t="s">
        <v>516</v>
      </c>
      <c r="L586"/>
    </row>
    <row r="587" spans="1:12" x14ac:dyDescent="0.35">
      <c r="A587" t="s">
        <v>3204</v>
      </c>
      <c r="B587">
        <v>0</v>
      </c>
      <c r="C587" t="s">
        <v>523</v>
      </c>
      <c r="D587" t="s">
        <v>506</v>
      </c>
      <c r="E587" t="s">
        <v>516</v>
      </c>
      <c r="L587"/>
    </row>
    <row r="588" spans="1:12" x14ac:dyDescent="0.35">
      <c r="A588" t="s">
        <v>3205</v>
      </c>
      <c r="B588">
        <v>0</v>
      </c>
      <c r="C588" t="s">
        <v>523</v>
      </c>
      <c r="D588" t="s">
        <v>506</v>
      </c>
      <c r="E588" t="s">
        <v>516</v>
      </c>
      <c r="L588"/>
    </row>
    <row r="589" spans="1:12" x14ac:dyDescent="0.35">
      <c r="A589" t="s">
        <v>3206</v>
      </c>
      <c r="B589">
        <v>0</v>
      </c>
      <c r="C589" t="s">
        <v>523</v>
      </c>
      <c r="D589" t="s">
        <v>506</v>
      </c>
      <c r="E589" t="s">
        <v>516</v>
      </c>
      <c r="L589"/>
    </row>
    <row r="590" spans="1:12" x14ac:dyDescent="0.35">
      <c r="A590" t="s">
        <v>3207</v>
      </c>
      <c r="B590">
        <v>0</v>
      </c>
      <c r="C590" t="s">
        <v>523</v>
      </c>
      <c r="D590" t="s">
        <v>506</v>
      </c>
      <c r="E590" t="s">
        <v>516</v>
      </c>
      <c r="L590"/>
    </row>
    <row r="591" spans="1:12" x14ac:dyDescent="0.35">
      <c r="A591" t="s">
        <v>3208</v>
      </c>
      <c r="B591">
        <v>0</v>
      </c>
      <c r="C591" t="s">
        <v>523</v>
      </c>
      <c r="D591" t="s">
        <v>506</v>
      </c>
      <c r="E591" t="s">
        <v>516</v>
      </c>
      <c r="L591"/>
    </row>
    <row r="592" spans="1:12" x14ac:dyDescent="0.35">
      <c r="A592" t="s">
        <v>3209</v>
      </c>
      <c r="B592">
        <v>-3</v>
      </c>
      <c r="C592" t="s">
        <v>523</v>
      </c>
      <c r="D592" t="s">
        <v>506</v>
      </c>
      <c r="E592" t="s">
        <v>516</v>
      </c>
      <c r="L592"/>
    </row>
    <row r="593" spans="1:12" x14ac:dyDescent="0.35">
      <c r="A593" t="s">
        <v>3210</v>
      </c>
      <c r="B593">
        <v>0</v>
      </c>
      <c r="C593" t="s">
        <v>523</v>
      </c>
      <c r="D593" t="s">
        <v>506</v>
      </c>
      <c r="E593" t="s">
        <v>516</v>
      </c>
      <c r="L593"/>
    </row>
    <row r="594" spans="1:12" x14ac:dyDescent="0.35">
      <c r="A594" t="s">
        <v>3211</v>
      </c>
      <c r="B594">
        <v>0</v>
      </c>
      <c r="C594" t="s">
        <v>523</v>
      </c>
      <c r="D594" t="s">
        <v>506</v>
      </c>
      <c r="E594" t="s">
        <v>516</v>
      </c>
      <c r="L594"/>
    </row>
    <row r="595" spans="1:12" x14ac:dyDescent="0.35">
      <c r="A595" t="s">
        <v>3212</v>
      </c>
      <c r="B595">
        <v>0</v>
      </c>
      <c r="C595" t="s">
        <v>523</v>
      </c>
      <c r="D595" t="s">
        <v>506</v>
      </c>
      <c r="E595" t="s">
        <v>516</v>
      </c>
      <c r="L595"/>
    </row>
    <row r="596" spans="1:12" x14ac:dyDescent="0.35">
      <c r="A596" t="s">
        <v>3213</v>
      </c>
      <c r="B596">
        <v>0</v>
      </c>
      <c r="C596" t="s">
        <v>523</v>
      </c>
      <c r="D596" t="s">
        <v>506</v>
      </c>
      <c r="E596" t="s">
        <v>516</v>
      </c>
      <c r="L596"/>
    </row>
    <row r="597" spans="1:12" x14ac:dyDescent="0.35">
      <c r="A597" t="s">
        <v>3214</v>
      </c>
      <c r="B597">
        <v>0</v>
      </c>
      <c r="C597" t="s">
        <v>523</v>
      </c>
      <c r="D597" t="s">
        <v>513</v>
      </c>
      <c r="E597" t="s">
        <v>517</v>
      </c>
      <c r="L597"/>
    </row>
    <row r="598" spans="1:12" x14ac:dyDescent="0.35">
      <c r="A598" t="s">
        <v>3215</v>
      </c>
      <c r="B598">
        <v>0</v>
      </c>
      <c r="C598" t="s">
        <v>523</v>
      </c>
      <c r="D598" t="s">
        <v>513</v>
      </c>
      <c r="E598" t="s">
        <v>517</v>
      </c>
      <c r="L598"/>
    </row>
    <row r="599" spans="1:12" x14ac:dyDescent="0.35">
      <c r="A599" t="s">
        <v>3216</v>
      </c>
      <c r="B599">
        <v>0</v>
      </c>
      <c r="C599" t="s">
        <v>523</v>
      </c>
      <c r="D599" t="s">
        <v>513</v>
      </c>
      <c r="E599" t="s">
        <v>515</v>
      </c>
      <c r="L599"/>
    </row>
    <row r="600" spans="1:12" x14ac:dyDescent="0.35">
      <c r="A600" t="s">
        <v>3217</v>
      </c>
      <c r="B600">
        <v>0</v>
      </c>
      <c r="C600" t="s">
        <v>523</v>
      </c>
      <c r="D600" t="s">
        <v>513</v>
      </c>
      <c r="E600" t="s">
        <v>517</v>
      </c>
      <c r="L600"/>
    </row>
    <row r="601" spans="1:12" x14ac:dyDescent="0.35">
      <c r="A601" t="s">
        <v>3218</v>
      </c>
      <c r="B601">
        <v>0</v>
      </c>
      <c r="C601" t="s">
        <v>523</v>
      </c>
      <c r="D601" t="s">
        <v>513</v>
      </c>
      <c r="E601" t="s">
        <v>515</v>
      </c>
      <c r="L601"/>
    </row>
    <row r="602" spans="1:12" x14ac:dyDescent="0.35">
      <c r="A602" t="s">
        <v>3219</v>
      </c>
      <c r="B602">
        <v>0</v>
      </c>
      <c r="C602" t="s">
        <v>523</v>
      </c>
      <c r="D602" t="s">
        <v>513</v>
      </c>
      <c r="E602" t="s">
        <v>515</v>
      </c>
      <c r="L602"/>
    </row>
    <row r="603" spans="1:12" x14ac:dyDescent="0.35">
      <c r="A603" t="s">
        <v>3220</v>
      </c>
      <c r="B603">
        <v>0</v>
      </c>
      <c r="C603" t="s">
        <v>523</v>
      </c>
      <c r="D603" t="s">
        <v>506</v>
      </c>
      <c r="E603" t="s">
        <v>515</v>
      </c>
      <c r="L603"/>
    </row>
    <row r="604" spans="1:12" x14ac:dyDescent="0.35">
      <c r="A604" t="s">
        <v>3221</v>
      </c>
      <c r="B604">
        <v>-3</v>
      </c>
      <c r="C604" t="s">
        <v>524</v>
      </c>
      <c r="D604" t="s">
        <v>506</v>
      </c>
      <c r="E604" t="s">
        <v>515</v>
      </c>
      <c r="L604"/>
    </row>
    <row r="605" spans="1:12" x14ac:dyDescent="0.35">
      <c r="A605" t="s">
        <v>3222</v>
      </c>
      <c r="B605">
        <v>0</v>
      </c>
      <c r="C605" t="s">
        <v>524</v>
      </c>
      <c r="D605" t="s">
        <v>513</v>
      </c>
      <c r="E605" t="s">
        <v>519</v>
      </c>
      <c r="L605"/>
    </row>
    <row r="606" spans="1:12" x14ac:dyDescent="0.35">
      <c r="A606" t="s">
        <v>3223</v>
      </c>
      <c r="B606">
        <v>-3</v>
      </c>
      <c r="C606" t="s">
        <v>524</v>
      </c>
      <c r="D606" t="s">
        <v>506</v>
      </c>
      <c r="E606" t="s">
        <v>515</v>
      </c>
      <c r="L606"/>
    </row>
    <row r="607" spans="1:12" x14ac:dyDescent="0.35">
      <c r="A607" t="s">
        <v>3224</v>
      </c>
      <c r="B607">
        <v>0</v>
      </c>
      <c r="C607" t="s">
        <v>524</v>
      </c>
      <c r="D607" t="s">
        <v>506</v>
      </c>
      <c r="E607" t="s">
        <v>515</v>
      </c>
      <c r="L607"/>
    </row>
    <row r="608" spans="1:12" x14ac:dyDescent="0.35">
      <c r="A608" t="s">
        <v>3225</v>
      </c>
      <c r="B608">
        <v>0</v>
      </c>
      <c r="C608" t="s">
        <v>524</v>
      </c>
      <c r="D608" t="s">
        <v>506</v>
      </c>
      <c r="E608" t="s">
        <v>515</v>
      </c>
      <c r="L608"/>
    </row>
    <row r="609" spans="1:12" x14ac:dyDescent="0.35">
      <c r="A609" t="s">
        <v>3226</v>
      </c>
      <c r="B609">
        <v>0</v>
      </c>
      <c r="C609" t="s">
        <v>524</v>
      </c>
      <c r="D609" t="s">
        <v>506</v>
      </c>
      <c r="E609" t="s">
        <v>515</v>
      </c>
      <c r="L609"/>
    </row>
    <row r="610" spans="1:12" x14ac:dyDescent="0.35">
      <c r="A610" t="s">
        <v>3227</v>
      </c>
      <c r="B610">
        <v>0</v>
      </c>
      <c r="C610" t="s">
        <v>524</v>
      </c>
      <c r="D610" t="s">
        <v>506</v>
      </c>
      <c r="E610" t="s">
        <v>515</v>
      </c>
      <c r="L610"/>
    </row>
    <row r="611" spans="1:12" x14ac:dyDescent="0.35">
      <c r="A611" t="s">
        <v>3228</v>
      </c>
      <c r="B611">
        <v>-3</v>
      </c>
      <c r="C611" t="s">
        <v>524</v>
      </c>
      <c r="D611" t="s">
        <v>506</v>
      </c>
      <c r="E611" t="s">
        <v>515</v>
      </c>
      <c r="L611"/>
    </row>
    <row r="612" spans="1:12" x14ac:dyDescent="0.35">
      <c r="A612" t="s">
        <v>3229</v>
      </c>
      <c r="B612">
        <v>0</v>
      </c>
      <c r="C612" t="s">
        <v>524</v>
      </c>
      <c r="D612" t="s">
        <v>506</v>
      </c>
      <c r="E612" t="s">
        <v>515</v>
      </c>
      <c r="L612"/>
    </row>
    <row r="613" spans="1:12" x14ac:dyDescent="0.35">
      <c r="A613" t="s">
        <v>3230</v>
      </c>
      <c r="B613">
        <v>0</v>
      </c>
      <c r="C613" t="s">
        <v>524</v>
      </c>
      <c r="D613" t="s">
        <v>513</v>
      </c>
      <c r="E613" t="s">
        <v>517</v>
      </c>
      <c r="L613"/>
    </row>
    <row r="614" spans="1:12" x14ac:dyDescent="0.35">
      <c r="A614" t="s">
        <v>3231</v>
      </c>
      <c r="B614">
        <v>0</v>
      </c>
      <c r="C614" t="s">
        <v>524</v>
      </c>
      <c r="D614" t="s">
        <v>506</v>
      </c>
      <c r="E614" t="s">
        <v>515</v>
      </c>
      <c r="L614"/>
    </row>
    <row r="615" spans="1:12" x14ac:dyDescent="0.35">
      <c r="A615" t="s">
        <v>3232</v>
      </c>
      <c r="B615">
        <v>0</v>
      </c>
      <c r="C615" t="s">
        <v>524</v>
      </c>
      <c r="D615" t="s">
        <v>506</v>
      </c>
      <c r="E615" t="s">
        <v>515</v>
      </c>
      <c r="L615"/>
    </row>
    <row r="616" spans="1:12" x14ac:dyDescent="0.35">
      <c r="A616" t="s">
        <v>3233</v>
      </c>
      <c r="B616">
        <v>0</v>
      </c>
      <c r="C616" t="s">
        <v>524</v>
      </c>
      <c r="D616" t="s">
        <v>506</v>
      </c>
      <c r="E616" t="s">
        <v>515</v>
      </c>
      <c r="L616"/>
    </row>
    <row r="617" spans="1:12" x14ac:dyDescent="0.35">
      <c r="A617" t="s">
        <v>3234</v>
      </c>
      <c r="B617">
        <v>0</v>
      </c>
      <c r="C617" t="s">
        <v>524</v>
      </c>
      <c r="D617" t="s">
        <v>506</v>
      </c>
      <c r="E617" t="s">
        <v>515</v>
      </c>
      <c r="L617"/>
    </row>
    <row r="618" spans="1:12" x14ac:dyDescent="0.35">
      <c r="A618" t="s">
        <v>3235</v>
      </c>
      <c r="B618">
        <v>0</v>
      </c>
      <c r="C618" t="s">
        <v>525</v>
      </c>
      <c r="D618" t="s">
        <v>510</v>
      </c>
      <c r="E618" t="s">
        <v>519</v>
      </c>
      <c r="L618"/>
    </row>
    <row r="619" spans="1:12" x14ac:dyDescent="0.35">
      <c r="A619" t="s">
        <v>3236</v>
      </c>
      <c r="B619">
        <v>0</v>
      </c>
      <c r="C619" t="s">
        <v>525</v>
      </c>
      <c r="D619" t="s">
        <v>510</v>
      </c>
      <c r="E619" t="s">
        <v>519</v>
      </c>
      <c r="L619"/>
    </row>
    <row r="620" spans="1:12" x14ac:dyDescent="0.35">
      <c r="A620" t="s">
        <v>3237</v>
      </c>
      <c r="B620">
        <v>-3</v>
      </c>
      <c r="C620" t="s">
        <v>524</v>
      </c>
      <c r="D620" t="s">
        <v>510</v>
      </c>
      <c r="E620" t="s">
        <v>515</v>
      </c>
      <c r="L620"/>
    </row>
    <row r="621" spans="1:12" x14ac:dyDescent="0.35">
      <c r="A621" t="s">
        <v>3238</v>
      </c>
      <c r="B621">
        <v>0</v>
      </c>
      <c r="C621" t="s">
        <v>524</v>
      </c>
      <c r="D621" t="s">
        <v>510</v>
      </c>
      <c r="E621" t="s">
        <v>515</v>
      </c>
      <c r="L621"/>
    </row>
    <row r="622" spans="1:12" x14ac:dyDescent="0.35">
      <c r="A622" t="s">
        <v>3239</v>
      </c>
      <c r="B622">
        <v>0</v>
      </c>
      <c r="C622" t="s">
        <v>524</v>
      </c>
      <c r="D622" t="s">
        <v>510</v>
      </c>
      <c r="E622" t="s">
        <v>515</v>
      </c>
      <c r="L622"/>
    </row>
    <row r="623" spans="1:12" x14ac:dyDescent="0.35">
      <c r="A623" t="s">
        <v>3478</v>
      </c>
      <c r="B623">
        <v>0</v>
      </c>
      <c r="C623" t="s">
        <v>524</v>
      </c>
      <c r="D623" t="s">
        <v>510</v>
      </c>
      <c r="E623" t="s">
        <v>515</v>
      </c>
      <c r="L623"/>
    </row>
    <row r="624" spans="1:12" x14ac:dyDescent="0.35">
      <c r="A624" t="s">
        <v>3241</v>
      </c>
      <c r="B624">
        <v>0</v>
      </c>
      <c r="C624" t="s">
        <v>524</v>
      </c>
      <c r="D624" t="s">
        <v>510</v>
      </c>
      <c r="E624" t="s">
        <v>515</v>
      </c>
      <c r="L624"/>
    </row>
    <row r="625" spans="1:12" x14ac:dyDescent="0.35">
      <c r="A625" t="s">
        <v>3242</v>
      </c>
      <c r="B625">
        <v>0</v>
      </c>
      <c r="C625" t="s">
        <v>524</v>
      </c>
      <c r="D625" t="s">
        <v>510</v>
      </c>
      <c r="E625" t="s">
        <v>515</v>
      </c>
      <c r="L625"/>
    </row>
    <row r="626" spans="1:12" x14ac:dyDescent="0.35">
      <c r="A626" t="s">
        <v>3243</v>
      </c>
      <c r="B626">
        <v>0</v>
      </c>
      <c r="C626" t="s">
        <v>524</v>
      </c>
      <c r="D626" t="s">
        <v>510</v>
      </c>
      <c r="E626" t="s">
        <v>515</v>
      </c>
      <c r="L626"/>
    </row>
    <row r="627" spans="1:12" x14ac:dyDescent="0.35">
      <c r="A627" t="s">
        <v>3244</v>
      </c>
      <c r="B627">
        <v>0</v>
      </c>
      <c r="C627" t="s">
        <v>525</v>
      </c>
      <c r="D627" t="s">
        <v>510</v>
      </c>
      <c r="E627" t="s">
        <v>519</v>
      </c>
      <c r="L627"/>
    </row>
    <row r="628" spans="1:12" x14ac:dyDescent="0.35">
      <c r="A628" t="s">
        <v>3245</v>
      </c>
      <c r="B628">
        <v>0</v>
      </c>
      <c r="C628" t="s">
        <v>525</v>
      </c>
      <c r="D628" t="s">
        <v>510</v>
      </c>
      <c r="E628" t="s">
        <v>519</v>
      </c>
      <c r="L628"/>
    </row>
    <row r="629" spans="1:12" x14ac:dyDescent="0.35">
      <c r="A629" t="s">
        <v>3246</v>
      </c>
      <c r="B629">
        <v>0</v>
      </c>
      <c r="C629" t="s">
        <v>524</v>
      </c>
      <c r="D629" t="s">
        <v>513</v>
      </c>
      <c r="E629" t="s">
        <v>519</v>
      </c>
      <c r="L629"/>
    </row>
    <row r="630" spans="1:12" x14ac:dyDescent="0.35">
      <c r="A630" t="s">
        <v>3247</v>
      </c>
      <c r="B630">
        <v>0</v>
      </c>
      <c r="C630" t="s">
        <v>524</v>
      </c>
      <c r="D630" t="s">
        <v>513</v>
      </c>
      <c r="E630" t="s">
        <v>519</v>
      </c>
      <c r="L630"/>
    </row>
    <row r="631" spans="1:12" x14ac:dyDescent="0.35">
      <c r="A631" t="s">
        <v>3248</v>
      </c>
      <c r="B631">
        <v>-3</v>
      </c>
      <c r="C631" t="s">
        <v>524</v>
      </c>
      <c r="D631" t="s">
        <v>506</v>
      </c>
      <c r="E631" t="s">
        <v>515</v>
      </c>
      <c r="L631"/>
    </row>
    <row r="632" spans="1:12" x14ac:dyDescent="0.35">
      <c r="A632" t="s">
        <v>3249</v>
      </c>
      <c r="B632">
        <v>0</v>
      </c>
      <c r="C632" t="s">
        <v>524</v>
      </c>
      <c r="D632" t="s">
        <v>513</v>
      </c>
      <c r="E632" t="s">
        <v>519</v>
      </c>
      <c r="L632"/>
    </row>
    <row r="633" spans="1:12" x14ac:dyDescent="0.35">
      <c r="A633" t="s">
        <v>3250</v>
      </c>
      <c r="B633">
        <v>0</v>
      </c>
      <c r="C633" t="s">
        <v>524</v>
      </c>
      <c r="D633" t="s">
        <v>506</v>
      </c>
      <c r="E633" t="s">
        <v>515</v>
      </c>
      <c r="L633"/>
    </row>
    <row r="634" spans="1:12" x14ac:dyDescent="0.35">
      <c r="A634" t="s">
        <v>3251</v>
      </c>
      <c r="B634">
        <v>0</v>
      </c>
      <c r="C634" t="s">
        <v>524</v>
      </c>
      <c r="D634" t="s">
        <v>513</v>
      </c>
      <c r="E634" t="s">
        <v>519</v>
      </c>
      <c r="L634"/>
    </row>
    <row r="635" spans="1:12" x14ac:dyDescent="0.35">
      <c r="A635" t="s">
        <v>3252</v>
      </c>
      <c r="B635">
        <v>0</v>
      </c>
      <c r="C635" t="s">
        <v>524</v>
      </c>
      <c r="D635" t="s">
        <v>513</v>
      </c>
      <c r="E635" t="s">
        <v>519</v>
      </c>
      <c r="L635"/>
    </row>
    <row r="636" spans="1:12" x14ac:dyDescent="0.35">
      <c r="A636" t="s">
        <v>3253</v>
      </c>
      <c r="B636">
        <v>0</v>
      </c>
      <c r="C636" t="s">
        <v>524</v>
      </c>
      <c r="D636" t="s">
        <v>513</v>
      </c>
      <c r="E636" t="s">
        <v>519</v>
      </c>
      <c r="L636"/>
    </row>
    <row r="637" spans="1:12" x14ac:dyDescent="0.35">
      <c r="A637" t="s">
        <v>3254</v>
      </c>
      <c r="B637">
        <v>-3</v>
      </c>
      <c r="C637" t="s">
        <v>524</v>
      </c>
      <c r="D637" t="s">
        <v>506</v>
      </c>
      <c r="E637" t="s">
        <v>515</v>
      </c>
      <c r="L637"/>
    </row>
    <row r="638" spans="1:12" x14ac:dyDescent="0.35">
      <c r="A638" t="s">
        <v>3255</v>
      </c>
      <c r="B638">
        <v>-3</v>
      </c>
      <c r="C638" t="s">
        <v>524</v>
      </c>
      <c r="D638" t="s">
        <v>506</v>
      </c>
      <c r="E638" t="s">
        <v>515</v>
      </c>
      <c r="L638"/>
    </row>
    <row r="639" spans="1:12" x14ac:dyDescent="0.35">
      <c r="A639" t="s">
        <v>3256</v>
      </c>
      <c r="B639">
        <v>-3</v>
      </c>
      <c r="C639" t="s">
        <v>524</v>
      </c>
      <c r="D639" t="s">
        <v>506</v>
      </c>
      <c r="E639" t="s">
        <v>515</v>
      </c>
      <c r="L639"/>
    </row>
    <row r="640" spans="1:12" x14ac:dyDescent="0.35">
      <c r="A640" t="s">
        <v>3257</v>
      </c>
      <c r="B640">
        <v>-3</v>
      </c>
      <c r="C640" t="s">
        <v>524</v>
      </c>
      <c r="D640" t="s">
        <v>506</v>
      </c>
      <c r="E640" t="s">
        <v>515</v>
      </c>
      <c r="L640"/>
    </row>
    <row r="641" spans="1:12" x14ac:dyDescent="0.35">
      <c r="A641" t="s">
        <v>3258</v>
      </c>
      <c r="B641">
        <v>0</v>
      </c>
      <c r="C641" t="s">
        <v>524</v>
      </c>
      <c r="D641" t="s">
        <v>513</v>
      </c>
      <c r="E641" t="s">
        <v>519</v>
      </c>
      <c r="L641"/>
    </row>
    <row r="642" spans="1:12" x14ac:dyDescent="0.35">
      <c r="A642" t="s">
        <v>3259</v>
      </c>
      <c r="B642">
        <v>0</v>
      </c>
      <c r="C642" t="s">
        <v>524</v>
      </c>
      <c r="D642" t="s">
        <v>506</v>
      </c>
      <c r="E642" t="s">
        <v>515</v>
      </c>
      <c r="L642"/>
    </row>
    <row r="643" spans="1:12" x14ac:dyDescent="0.35">
      <c r="A643" t="s">
        <v>3260</v>
      </c>
      <c r="B643">
        <v>-3</v>
      </c>
      <c r="C643" t="s">
        <v>523</v>
      </c>
      <c r="D643" t="s">
        <v>506</v>
      </c>
      <c r="E643" t="s">
        <v>516</v>
      </c>
      <c r="L643"/>
    </row>
    <row r="644" spans="1:12" x14ac:dyDescent="0.35">
      <c r="A644" t="s">
        <v>3261</v>
      </c>
      <c r="B644">
        <v>-3</v>
      </c>
      <c r="C644" t="s">
        <v>523</v>
      </c>
      <c r="D644" t="s">
        <v>506</v>
      </c>
      <c r="E644" t="s">
        <v>516</v>
      </c>
      <c r="L644"/>
    </row>
    <row r="645" spans="1:12" x14ac:dyDescent="0.35">
      <c r="A645" t="s">
        <v>3262</v>
      </c>
      <c r="B645">
        <v>0</v>
      </c>
      <c r="C645" t="s">
        <v>525</v>
      </c>
      <c r="D645" t="s">
        <v>510</v>
      </c>
      <c r="E645" t="s">
        <v>519</v>
      </c>
      <c r="L645"/>
    </row>
    <row r="646" spans="1:12" x14ac:dyDescent="0.35">
      <c r="A646" t="s">
        <v>3263</v>
      </c>
      <c r="B646">
        <v>0</v>
      </c>
      <c r="C646" t="s">
        <v>524</v>
      </c>
      <c r="D646" t="s">
        <v>510</v>
      </c>
      <c r="E646" t="s">
        <v>519</v>
      </c>
      <c r="L646"/>
    </row>
    <row r="647" spans="1:12" x14ac:dyDescent="0.35">
      <c r="A647" t="s">
        <v>3264</v>
      </c>
      <c r="B647">
        <v>0</v>
      </c>
      <c r="C647" t="s">
        <v>524</v>
      </c>
      <c r="D647" t="s">
        <v>510</v>
      </c>
      <c r="E647" t="s">
        <v>515</v>
      </c>
      <c r="L647"/>
    </row>
    <row r="648" spans="1:12" x14ac:dyDescent="0.35">
      <c r="A648" t="s">
        <v>3265</v>
      </c>
      <c r="B648">
        <v>0</v>
      </c>
      <c r="C648" t="s">
        <v>525</v>
      </c>
      <c r="D648" t="s">
        <v>510</v>
      </c>
      <c r="E648" t="s">
        <v>519</v>
      </c>
      <c r="L648"/>
    </row>
    <row r="649" spans="1:12" x14ac:dyDescent="0.35">
      <c r="A649" t="s">
        <v>74</v>
      </c>
      <c r="B649">
        <v>0</v>
      </c>
      <c r="C649" t="s">
        <v>523</v>
      </c>
      <c r="D649" t="s">
        <v>506</v>
      </c>
      <c r="E649" t="s">
        <v>520</v>
      </c>
      <c r="L649"/>
    </row>
    <row r="650" spans="1:12" x14ac:dyDescent="0.35">
      <c r="A650" t="s">
        <v>73</v>
      </c>
      <c r="B650">
        <v>0</v>
      </c>
      <c r="C650" t="s">
        <v>523</v>
      </c>
      <c r="D650" t="s">
        <v>506</v>
      </c>
      <c r="E650" t="s">
        <v>520</v>
      </c>
      <c r="L650"/>
    </row>
    <row r="651" spans="1:12" x14ac:dyDescent="0.35">
      <c r="A651" t="s">
        <v>75</v>
      </c>
      <c r="B651">
        <v>0</v>
      </c>
      <c r="C651" t="s">
        <v>523</v>
      </c>
      <c r="D651" t="s">
        <v>506</v>
      </c>
      <c r="E651" t="s">
        <v>520</v>
      </c>
      <c r="L651"/>
    </row>
    <row r="652" spans="1:12" x14ac:dyDescent="0.35">
      <c r="A652" t="s">
        <v>76</v>
      </c>
      <c r="B652">
        <v>0</v>
      </c>
      <c r="C652" t="s">
        <v>523</v>
      </c>
      <c r="D652" t="s">
        <v>506</v>
      </c>
      <c r="E652" t="s">
        <v>520</v>
      </c>
      <c r="L652"/>
    </row>
    <row r="653" spans="1:12" x14ac:dyDescent="0.35">
      <c r="A653" t="s">
        <v>77</v>
      </c>
      <c r="B653">
        <v>0</v>
      </c>
      <c r="C653" t="s">
        <v>523</v>
      </c>
      <c r="D653" t="s">
        <v>506</v>
      </c>
      <c r="E653" t="s">
        <v>520</v>
      </c>
      <c r="L653"/>
    </row>
    <row r="654" spans="1:12" x14ac:dyDescent="0.35">
      <c r="A654" t="s">
        <v>78</v>
      </c>
      <c r="B654">
        <v>0</v>
      </c>
      <c r="C654" t="s">
        <v>523</v>
      </c>
      <c r="D654" t="s">
        <v>506</v>
      </c>
      <c r="E654" t="s">
        <v>520</v>
      </c>
      <c r="L654"/>
    </row>
    <row r="655" spans="1:12" x14ac:dyDescent="0.35">
      <c r="A655" t="s">
        <v>79</v>
      </c>
      <c r="B655">
        <v>0</v>
      </c>
      <c r="C655" t="s">
        <v>523</v>
      </c>
      <c r="D655" t="s">
        <v>512</v>
      </c>
      <c r="E655" t="s">
        <v>516</v>
      </c>
      <c r="L655"/>
    </row>
    <row r="656" spans="1:12" x14ac:dyDescent="0.35">
      <c r="A656" t="s">
        <v>80</v>
      </c>
      <c r="B656">
        <v>0</v>
      </c>
      <c r="C656" t="s">
        <v>523</v>
      </c>
      <c r="D656" t="s">
        <v>512</v>
      </c>
      <c r="E656" t="s">
        <v>516</v>
      </c>
      <c r="L656"/>
    </row>
    <row r="657" spans="1:12" x14ac:dyDescent="0.35">
      <c r="A657" t="s">
        <v>81</v>
      </c>
      <c r="B657">
        <v>0</v>
      </c>
      <c r="C657" t="s">
        <v>523</v>
      </c>
      <c r="D657" t="s">
        <v>512</v>
      </c>
      <c r="E657" t="s">
        <v>516</v>
      </c>
      <c r="L657"/>
    </row>
    <row r="658" spans="1:12" x14ac:dyDescent="0.35">
      <c r="A658" t="s">
        <v>82</v>
      </c>
      <c r="B658">
        <v>0</v>
      </c>
      <c r="C658" t="s">
        <v>523</v>
      </c>
      <c r="D658" t="s">
        <v>512</v>
      </c>
      <c r="E658" t="s">
        <v>516</v>
      </c>
      <c r="L658"/>
    </row>
    <row r="659" spans="1:12" x14ac:dyDescent="0.35">
      <c r="A659" t="s">
        <v>153</v>
      </c>
      <c r="B659">
        <v>0</v>
      </c>
      <c r="C659" t="s">
        <v>523</v>
      </c>
      <c r="D659" t="s">
        <v>512</v>
      </c>
      <c r="E659" t="s">
        <v>516</v>
      </c>
      <c r="L659"/>
    </row>
    <row r="660" spans="1:12" x14ac:dyDescent="0.35">
      <c r="A660" t="s">
        <v>154</v>
      </c>
      <c r="B660">
        <v>0</v>
      </c>
      <c r="C660" t="s">
        <v>523</v>
      </c>
      <c r="D660" t="s">
        <v>512</v>
      </c>
      <c r="E660" t="s">
        <v>516</v>
      </c>
      <c r="L660"/>
    </row>
    <row r="661" spans="1:12" x14ac:dyDescent="0.35">
      <c r="A661" t="s">
        <v>155</v>
      </c>
      <c r="B661">
        <v>0</v>
      </c>
      <c r="C661" t="s">
        <v>523</v>
      </c>
      <c r="D661" t="s">
        <v>512</v>
      </c>
      <c r="E661" t="s">
        <v>516</v>
      </c>
      <c r="L661"/>
    </row>
    <row r="662" spans="1:12" x14ac:dyDescent="0.35">
      <c r="A662" t="s">
        <v>156</v>
      </c>
      <c r="B662">
        <v>0</v>
      </c>
      <c r="C662" t="s">
        <v>523</v>
      </c>
      <c r="D662" t="s">
        <v>512</v>
      </c>
      <c r="E662" t="s">
        <v>516</v>
      </c>
      <c r="L662"/>
    </row>
    <row r="663" spans="1:12" x14ac:dyDescent="0.35">
      <c r="A663" t="s">
        <v>157</v>
      </c>
      <c r="B663">
        <v>0</v>
      </c>
      <c r="C663" t="s">
        <v>523</v>
      </c>
      <c r="D663" t="s">
        <v>512</v>
      </c>
      <c r="E663" t="s">
        <v>516</v>
      </c>
      <c r="L663"/>
    </row>
    <row r="664" spans="1:12" x14ac:dyDescent="0.35">
      <c r="A664" t="s">
        <v>158</v>
      </c>
      <c r="B664">
        <v>0</v>
      </c>
      <c r="C664" t="s">
        <v>523</v>
      </c>
      <c r="D664" t="s">
        <v>512</v>
      </c>
      <c r="E664" t="s">
        <v>516</v>
      </c>
      <c r="L664"/>
    </row>
    <row r="665" spans="1:12" x14ac:dyDescent="0.35">
      <c r="A665" t="s">
        <v>159</v>
      </c>
      <c r="B665">
        <v>0</v>
      </c>
      <c r="C665" t="s">
        <v>523</v>
      </c>
      <c r="D665" t="s">
        <v>512</v>
      </c>
      <c r="E665" t="s">
        <v>516</v>
      </c>
      <c r="L665"/>
    </row>
    <row r="666" spans="1:12" x14ac:dyDescent="0.35">
      <c r="A666" t="s">
        <v>160</v>
      </c>
      <c r="B666">
        <v>0</v>
      </c>
      <c r="C666" t="s">
        <v>523</v>
      </c>
      <c r="D666" t="s">
        <v>512</v>
      </c>
      <c r="E666" t="s">
        <v>516</v>
      </c>
      <c r="L666"/>
    </row>
    <row r="667" spans="1:12" x14ac:dyDescent="0.35">
      <c r="A667" t="s">
        <v>161</v>
      </c>
      <c r="B667">
        <v>0</v>
      </c>
      <c r="C667" t="s">
        <v>523</v>
      </c>
      <c r="D667" t="s">
        <v>512</v>
      </c>
      <c r="E667" t="s">
        <v>516</v>
      </c>
      <c r="L667"/>
    </row>
    <row r="668" spans="1:12" x14ac:dyDescent="0.35">
      <c r="A668" t="s">
        <v>162</v>
      </c>
      <c r="B668">
        <v>0</v>
      </c>
      <c r="C668" t="s">
        <v>523</v>
      </c>
      <c r="D668" t="s">
        <v>512</v>
      </c>
      <c r="E668" t="s">
        <v>516</v>
      </c>
      <c r="L668"/>
    </row>
    <row r="669" spans="1:12" x14ac:dyDescent="0.35">
      <c r="A669" t="s">
        <v>163</v>
      </c>
      <c r="B669">
        <v>0</v>
      </c>
      <c r="C669" t="s">
        <v>523</v>
      </c>
      <c r="D669" t="s">
        <v>512</v>
      </c>
      <c r="E669" t="s">
        <v>516</v>
      </c>
      <c r="L669"/>
    </row>
    <row r="670" spans="1:12" x14ac:dyDescent="0.35">
      <c r="A670" t="s">
        <v>164</v>
      </c>
      <c r="B670">
        <v>0</v>
      </c>
      <c r="C670" t="s">
        <v>523</v>
      </c>
      <c r="D670" t="s">
        <v>512</v>
      </c>
      <c r="E670" t="s">
        <v>516</v>
      </c>
      <c r="L670"/>
    </row>
    <row r="671" spans="1:12" x14ac:dyDescent="0.35">
      <c r="A671" t="s">
        <v>165</v>
      </c>
      <c r="B671">
        <v>0</v>
      </c>
      <c r="C671" t="s">
        <v>523</v>
      </c>
      <c r="D671" t="s">
        <v>512</v>
      </c>
      <c r="E671" t="s">
        <v>516</v>
      </c>
      <c r="L671"/>
    </row>
    <row r="672" spans="1:12" x14ac:dyDescent="0.35">
      <c r="A672" t="s">
        <v>166</v>
      </c>
      <c r="B672">
        <v>0</v>
      </c>
      <c r="C672" t="s">
        <v>523</v>
      </c>
      <c r="D672" t="s">
        <v>512</v>
      </c>
      <c r="E672" t="s">
        <v>516</v>
      </c>
      <c r="L672"/>
    </row>
    <row r="673" spans="1:12" x14ac:dyDescent="0.35">
      <c r="A673" t="s">
        <v>167</v>
      </c>
      <c r="B673">
        <v>0</v>
      </c>
      <c r="C673" t="s">
        <v>523</v>
      </c>
      <c r="D673" t="s">
        <v>512</v>
      </c>
      <c r="E673" t="s">
        <v>516</v>
      </c>
      <c r="L673"/>
    </row>
    <row r="674" spans="1:12" x14ac:dyDescent="0.35">
      <c r="A674" t="s">
        <v>168</v>
      </c>
      <c r="B674">
        <v>0</v>
      </c>
      <c r="C674" t="s">
        <v>523</v>
      </c>
      <c r="D674" t="s">
        <v>512</v>
      </c>
      <c r="E674" t="s">
        <v>516</v>
      </c>
      <c r="L674"/>
    </row>
    <row r="675" spans="1:12" x14ac:dyDescent="0.35">
      <c r="A675" t="s">
        <v>169</v>
      </c>
      <c r="B675">
        <v>0</v>
      </c>
      <c r="C675" t="s">
        <v>523</v>
      </c>
      <c r="D675" t="s">
        <v>512</v>
      </c>
      <c r="E675" t="s">
        <v>516</v>
      </c>
      <c r="L675"/>
    </row>
    <row r="676" spans="1:12" x14ac:dyDescent="0.35">
      <c r="A676" t="s">
        <v>170</v>
      </c>
      <c r="B676">
        <v>0</v>
      </c>
      <c r="C676" t="s">
        <v>523</v>
      </c>
      <c r="D676" t="s">
        <v>512</v>
      </c>
      <c r="E676" t="s">
        <v>516</v>
      </c>
      <c r="L676"/>
    </row>
    <row r="677" spans="1:12" x14ac:dyDescent="0.35">
      <c r="A677" t="s">
        <v>171</v>
      </c>
      <c r="B677">
        <v>0</v>
      </c>
      <c r="C677" t="s">
        <v>523</v>
      </c>
      <c r="D677" t="s">
        <v>512</v>
      </c>
      <c r="E677" t="s">
        <v>516</v>
      </c>
      <c r="L677"/>
    </row>
    <row r="678" spans="1:12" x14ac:dyDescent="0.35">
      <c r="A678" t="s">
        <v>172</v>
      </c>
      <c r="B678">
        <v>0</v>
      </c>
      <c r="C678" t="s">
        <v>523</v>
      </c>
      <c r="D678" t="s">
        <v>512</v>
      </c>
      <c r="E678" t="s">
        <v>516</v>
      </c>
      <c r="L678"/>
    </row>
    <row r="679" spans="1:12" x14ac:dyDescent="0.35">
      <c r="A679" t="s">
        <v>173</v>
      </c>
      <c r="B679">
        <v>0</v>
      </c>
      <c r="C679" t="s">
        <v>523</v>
      </c>
      <c r="D679" t="s">
        <v>512</v>
      </c>
      <c r="E679" t="s">
        <v>516</v>
      </c>
      <c r="L679"/>
    </row>
    <row r="680" spans="1:12" x14ac:dyDescent="0.35">
      <c r="A680" t="s">
        <v>174</v>
      </c>
      <c r="B680">
        <v>0</v>
      </c>
      <c r="C680" t="s">
        <v>523</v>
      </c>
      <c r="D680" t="s">
        <v>512</v>
      </c>
      <c r="E680" t="s">
        <v>516</v>
      </c>
      <c r="L680"/>
    </row>
    <row r="681" spans="1:12" x14ac:dyDescent="0.35">
      <c r="A681" t="s">
        <v>175</v>
      </c>
      <c r="B681">
        <v>0</v>
      </c>
      <c r="C681" t="s">
        <v>523</v>
      </c>
      <c r="D681" t="s">
        <v>512</v>
      </c>
      <c r="E681" t="s">
        <v>516</v>
      </c>
      <c r="L681"/>
    </row>
    <row r="682" spans="1:12" x14ac:dyDescent="0.35">
      <c r="A682" t="s">
        <v>176</v>
      </c>
      <c r="B682">
        <v>0</v>
      </c>
      <c r="C682" t="s">
        <v>523</v>
      </c>
      <c r="D682" t="s">
        <v>512</v>
      </c>
      <c r="E682" t="s">
        <v>516</v>
      </c>
      <c r="L682"/>
    </row>
    <row r="683" spans="1:12" x14ac:dyDescent="0.35">
      <c r="A683" t="s">
        <v>177</v>
      </c>
      <c r="B683">
        <v>0</v>
      </c>
      <c r="C683" t="s">
        <v>523</v>
      </c>
      <c r="D683" t="s">
        <v>512</v>
      </c>
      <c r="E683" t="s">
        <v>516</v>
      </c>
      <c r="L683"/>
    </row>
    <row r="684" spans="1:12" x14ac:dyDescent="0.35">
      <c r="A684" t="s">
        <v>178</v>
      </c>
      <c r="B684">
        <v>0</v>
      </c>
      <c r="C684" t="s">
        <v>523</v>
      </c>
      <c r="D684" t="s">
        <v>512</v>
      </c>
      <c r="E684" t="s">
        <v>516</v>
      </c>
      <c r="L684"/>
    </row>
    <row r="685" spans="1:12" x14ac:dyDescent="0.35">
      <c r="A685" t="s">
        <v>179</v>
      </c>
      <c r="B685">
        <v>0</v>
      </c>
      <c r="C685" t="s">
        <v>523</v>
      </c>
      <c r="D685" t="s">
        <v>512</v>
      </c>
      <c r="E685" t="s">
        <v>516</v>
      </c>
      <c r="L685"/>
    </row>
    <row r="686" spans="1:12" x14ac:dyDescent="0.35">
      <c r="A686" t="s">
        <v>180</v>
      </c>
      <c r="B686">
        <v>0</v>
      </c>
      <c r="C686" t="s">
        <v>523</v>
      </c>
      <c r="D686" t="s">
        <v>512</v>
      </c>
      <c r="E686" t="s">
        <v>516</v>
      </c>
      <c r="L686"/>
    </row>
    <row r="687" spans="1:12" x14ac:dyDescent="0.35">
      <c r="A687" t="s">
        <v>181</v>
      </c>
      <c r="B687">
        <v>0</v>
      </c>
      <c r="C687" t="s">
        <v>523</v>
      </c>
      <c r="D687" t="s">
        <v>512</v>
      </c>
      <c r="E687" t="s">
        <v>516</v>
      </c>
      <c r="L687"/>
    </row>
    <row r="688" spans="1:12" x14ac:dyDescent="0.35">
      <c r="A688" t="s">
        <v>182</v>
      </c>
      <c r="B688">
        <v>0</v>
      </c>
      <c r="C688" t="s">
        <v>523</v>
      </c>
      <c r="D688" t="s">
        <v>512</v>
      </c>
      <c r="E688" t="s">
        <v>516</v>
      </c>
      <c r="L688"/>
    </row>
    <row r="689" spans="1:12" x14ac:dyDescent="0.35">
      <c r="A689" t="s">
        <v>183</v>
      </c>
      <c r="B689">
        <v>0</v>
      </c>
      <c r="C689" t="s">
        <v>523</v>
      </c>
      <c r="D689" t="s">
        <v>512</v>
      </c>
      <c r="E689" t="s">
        <v>516</v>
      </c>
      <c r="L689"/>
    </row>
    <row r="690" spans="1:12" x14ac:dyDescent="0.35">
      <c r="A690" t="s">
        <v>184</v>
      </c>
      <c r="B690">
        <v>0</v>
      </c>
      <c r="C690" t="s">
        <v>523</v>
      </c>
      <c r="D690" t="s">
        <v>512</v>
      </c>
      <c r="E690" t="s">
        <v>516</v>
      </c>
      <c r="L690"/>
    </row>
    <row r="691" spans="1:12" x14ac:dyDescent="0.35">
      <c r="A691" t="s">
        <v>185</v>
      </c>
      <c r="B691">
        <v>0</v>
      </c>
      <c r="C691" t="s">
        <v>523</v>
      </c>
      <c r="D691" t="s">
        <v>512</v>
      </c>
      <c r="E691" t="s">
        <v>516</v>
      </c>
      <c r="L691"/>
    </row>
    <row r="692" spans="1:12" x14ac:dyDescent="0.35">
      <c r="A692" t="s">
        <v>186</v>
      </c>
      <c r="B692">
        <v>0</v>
      </c>
      <c r="C692" t="s">
        <v>523</v>
      </c>
      <c r="D692" t="s">
        <v>512</v>
      </c>
      <c r="E692" t="s">
        <v>516</v>
      </c>
      <c r="L692"/>
    </row>
    <row r="693" spans="1:12" x14ac:dyDescent="0.35">
      <c r="A693" t="s">
        <v>187</v>
      </c>
      <c r="B693">
        <v>0</v>
      </c>
      <c r="C693" t="s">
        <v>523</v>
      </c>
      <c r="D693" t="s">
        <v>512</v>
      </c>
      <c r="E693" t="s">
        <v>516</v>
      </c>
      <c r="L693"/>
    </row>
    <row r="694" spans="1:12" x14ac:dyDescent="0.35">
      <c r="A694" t="s">
        <v>188</v>
      </c>
      <c r="B694">
        <v>0</v>
      </c>
      <c r="C694" t="s">
        <v>523</v>
      </c>
      <c r="D694" t="s">
        <v>512</v>
      </c>
      <c r="E694" t="s">
        <v>516</v>
      </c>
      <c r="L694"/>
    </row>
    <row r="695" spans="1:12" x14ac:dyDescent="0.35">
      <c r="A695" t="s">
        <v>189</v>
      </c>
      <c r="B695">
        <v>0</v>
      </c>
      <c r="C695" t="s">
        <v>523</v>
      </c>
      <c r="D695" t="s">
        <v>512</v>
      </c>
      <c r="E695" t="s">
        <v>516</v>
      </c>
      <c r="L695"/>
    </row>
    <row r="696" spans="1:12" x14ac:dyDescent="0.35">
      <c r="A696" t="s">
        <v>190</v>
      </c>
      <c r="B696">
        <v>0</v>
      </c>
      <c r="C696" t="s">
        <v>523</v>
      </c>
      <c r="D696" t="s">
        <v>512</v>
      </c>
      <c r="E696" t="s">
        <v>516</v>
      </c>
      <c r="L696"/>
    </row>
    <row r="697" spans="1:12" x14ac:dyDescent="0.35">
      <c r="A697" t="s">
        <v>191</v>
      </c>
      <c r="B697">
        <v>0</v>
      </c>
      <c r="C697" t="s">
        <v>523</v>
      </c>
      <c r="D697" t="s">
        <v>512</v>
      </c>
      <c r="E697" t="s">
        <v>516</v>
      </c>
      <c r="L697"/>
    </row>
    <row r="698" spans="1:12" x14ac:dyDescent="0.35">
      <c r="A698" t="s">
        <v>192</v>
      </c>
      <c r="B698">
        <v>0</v>
      </c>
      <c r="C698" t="s">
        <v>523</v>
      </c>
      <c r="D698" t="s">
        <v>512</v>
      </c>
      <c r="E698" t="s">
        <v>516</v>
      </c>
      <c r="L698"/>
    </row>
    <row r="699" spans="1:12" x14ac:dyDescent="0.35">
      <c r="A699" t="s">
        <v>193</v>
      </c>
      <c r="B699">
        <v>0</v>
      </c>
      <c r="C699" t="s">
        <v>523</v>
      </c>
      <c r="D699" t="s">
        <v>512</v>
      </c>
      <c r="E699" t="s">
        <v>516</v>
      </c>
      <c r="L699"/>
    </row>
    <row r="700" spans="1:12" x14ac:dyDescent="0.35">
      <c r="A700" t="s">
        <v>194</v>
      </c>
      <c r="B700">
        <v>0</v>
      </c>
      <c r="C700" t="s">
        <v>523</v>
      </c>
      <c r="D700" t="s">
        <v>512</v>
      </c>
      <c r="E700" t="s">
        <v>516</v>
      </c>
      <c r="L700"/>
    </row>
    <row r="701" spans="1:12" x14ac:dyDescent="0.35">
      <c r="A701" t="s">
        <v>195</v>
      </c>
      <c r="B701">
        <v>0</v>
      </c>
      <c r="C701" t="s">
        <v>523</v>
      </c>
      <c r="D701" t="s">
        <v>511</v>
      </c>
      <c r="E701" t="s">
        <v>515</v>
      </c>
      <c r="L701"/>
    </row>
    <row r="702" spans="1:12" x14ac:dyDescent="0.35">
      <c r="A702" t="s">
        <v>196</v>
      </c>
      <c r="B702">
        <v>0</v>
      </c>
      <c r="C702" t="s">
        <v>523</v>
      </c>
      <c r="D702" t="s">
        <v>512</v>
      </c>
      <c r="E702" t="s">
        <v>516</v>
      </c>
      <c r="L702"/>
    </row>
    <row r="703" spans="1:12" x14ac:dyDescent="0.35">
      <c r="A703" t="s">
        <v>197</v>
      </c>
      <c r="B703">
        <v>0</v>
      </c>
      <c r="C703" t="s">
        <v>523</v>
      </c>
      <c r="D703" t="s">
        <v>512</v>
      </c>
      <c r="E703" t="s">
        <v>516</v>
      </c>
      <c r="L703"/>
    </row>
    <row r="704" spans="1:12" x14ac:dyDescent="0.35">
      <c r="A704" t="s">
        <v>198</v>
      </c>
      <c r="B704">
        <v>0</v>
      </c>
      <c r="C704" t="s">
        <v>523</v>
      </c>
      <c r="D704" t="s">
        <v>512</v>
      </c>
      <c r="E704" t="s">
        <v>516</v>
      </c>
      <c r="L704"/>
    </row>
    <row r="705" spans="1:12" x14ac:dyDescent="0.35">
      <c r="A705" t="s">
        <v>199</v>
      </c>
      <c r="B705">
        <v>0</v>
      </c>
      <c r="C705" t="s">
        <v>523</v>
      </c>
      <c r="D705" t="s">
        <v>512</v>
      </c>
      <c r="E705" t="s">
        <v>516</v>
      </c>
      <c r="L705"/>
    </row>
    <row r="706" spans="1:12" x14ac:dyDescent="0.35">
      <c r="A706" t="s">
        <v>200</v>
      </c>
      <c r="B706">
        <v>0</v>
      </c>
      <c r="C706" t="s">
        <v>523</v>
      </c>
      <c r="D706" t="s">
        <v>512</v>
      </c>
      <c r="E706" t="s">
        <v>516</v>
      </c>
      <c r="L706"/>
    </row>
    <row r="707" spans="1:12" x14ac:dyDescent="0.35">
      <c r="A707" t="s">
        <v>201</v>
      </c>
      <c r="B707">
        <v>0</v>
      </c>
      <c r="C707" t="s">
        <v>523</v>
      </c>
      <c r="D707" t="s">
        <v>512</v>
      </c>
      <c r="E707" t="s">
        <v>516</v>
      </c>
      <c r="L707"/>
    </row>
    <row r="708" spans="1:12" x14ac:dyDescent="0.35">
      <c r="A708" t="s">
        <v>202</v>
      </c>
      <c r="B708">
        <v>0</v>
      </c>
      <c r="C708" t="s">
        <v>523</v>
      </c>
      <c r="D708" t="s">
        <v>512</v>
      </c>
      <c r="E708" t="s">
        <v>516</v>
      </c>
      <c r="L708"/>
    </row>
    <row r="709" spans="1:12" x14ac:dyDescent="0.35">
      <c r="A709" t="s">
        <v>203</v>
      </c>
      <c r="B709">
        <v>0</v>
      </c>
      <c r="C709" t="s">
        <v>523</v>
      </c>
      <c r="D709" t="s">
        <v>512</v>
      </c>
      <c r="E709" t="s">
        <v>516</v>
      </c>
      <c r="L709"/>
    </row>
    <row r="710" spans="1:12" x14ac:dyDescent="0.35">
      <c r="A710" t="s">
        <v>204</v>
      </c>
      <c r="B710">
        <v>0</v>
      </c>
      <c r="C710" t="s">
        <v>523</v>
      </c>
      <c r="D710" t="s">
        <v>512</v>
      </c>
      <c r="E710" t="s">
        <v>516</v>
      </c>
      <c r="L710"/>
    </row>
    <row r="711" spans="1:12" x14ac:dyDescent="0.35">
      <c r="A711" t="s">
        <v>205</v>
      </c>
      <c r="B711">
        <v>0</v>
      </c>
      <c r="C711" t="s">
        <v>523</v>
      </c>
      <c r="D711" t="s">
        <v>512</v>
      </c>
      <c r="E711" t="s">
        <v>516</v>
      </c>
      <c r="L711"/>
    </row>
    <row r="712" spans="1:12" x14ac:dyDescent="0.35">
      <c r="A712" t="s">
        <v>206</v>
      </c>
      <c r="B712">
        <v>0</v>
      </c>
      <c r="C712" t="s">
        <v>523</v>
      </c>
      <c r="D712" t="s">
        <v>512</v>
      </c>
      <c r="E712" t="s">
        <v>516</v>
      </c>
      <c r="L712"/>
    </row>
    <row r="713" spans="1:12" x14ac:dyDescent="0.35">
      <c r="A713" t="s">
        <v>207</v>
      </c>
      <c r="B713">
        <v>0</v>
      </c>
      <c r="C713" t="s">
        <v>523</v>
      </c>
      <c r="D713" t="s">
        <v>512</v>
      </c>
      <c r="E713" t="s">
        <v>516</v>
      </c>
      <c r="L713"/>
    </row>
    <row r="714" spans="1:12" x14ac:dyDescent="0.35">
      <c r="A714" t="s">
        <v>208</v>
      </c>
      <c r="B714">
        <v>0</v>
      </c>
      <c r="C714" t="s">
        <v>523</v>
      </c>
      <c r="D714" t="s">
        <v>512</v>
      </c>
      <c r="E714" t="s">
        <v>516</v>
      </c>
      <c r="L714"/>
    </row>
    <row r="715" spans="1:12" x14ac:dyDescent="0.35">
      <c r="A715" t="s">
        <v>209</v>
      </c>
      <c r="B715">
        <v>0</v>
      </c>
      <c r="C715" t="s">
        <v>523</v>
      </c>
      <c r="D715" t="s">
        <v>512</v>
      </c>
      <c r="E715" t="s">
        <v>516</v>
      </c>
      <c r="L715"/>
    </row>
    <row r="716" spans="1:12" x14ac:dyDescent="0.35">
      <c r="A716" t="s">
        <v>210</v>
      </c>
      <c r="B716">
        <v>0</v>
      </c>
      <c r="C716" t="s">
        <v>523</v>
      </c>
      <c r="D716" t="s">
        <v>511</v>
      </c>
      <c r="E716" t="s">
        <v>515</v>
      </c>
      <c r="L716"/>
    </row>
    <row r="717" spans="1:12" x14ac:dyDescent="0.35">
      <c r="A717" t="s">
        <v>225</v>
      </c>
      <c r="B717">
        <v>0</v>
      </c>
      <c r="C717" t="s">
        <v>523</v>
      </c>
      <c r="D717" t="s">
        <v>512</v>
      </c>
      <c r="E717" t="s">
        <v>515</v>
      </c>
      <c r="L717"/>
    </row>
    <row r="718" spans="1:12" x14ac:dyDescent="0.35">
      <c r="A718" t="s">
        <v>226</v>
      </c>
      <c r="B718">
        <v>0</v>
      </c>
      <c r="C718" t="s">
        <v>523</v>
      </c>
      <c r="D718" t="s">
        <v>512</v>
      </c>
      <c r="E718" t="s">
        <v>515</v>
      </c>
      <c r="L718"/>
    </row>
    <row r="719" spans="1:12" x14ac:dyDescent="0.35">
      <c r="A719" t="s">
        <v>83</v>
      </c>
      <c r="B719">
        <v>0</v>
      </c>
      <c r="C719" t="s">
        <v>523</v>
      </c>
      <c r="D719" t="s">
        <v>512</v>
      </c>
      <c r="E719" t="s">
        <v>515</v>
      </c>
      <c r="L719"/>
    </row>
    <row r="720" spans="1:12" x14ac:dyDescent="0.35">
      <c r="A720" t="s">
        <v>84</v>
      </c>
      <c r="B720">
        <v>0</v>
      </c>
      <c r="C720" t="s">
        <v>523</v>
      </c>
      <c r="D720" t="s">
        <v>512</v>
      </c>
      <c r="E720" t="s">
        <v>515</v>
      </c>
      <c r="L720"/>
    </row>
    <row r="721" spans="1:12" x14ac:dyDescent="0.35">
      <c r="A721" t="s">
        <v>85</v>
      </c>
      <c r="B721">
        <v>0</v>
      </c>
      <c r="C721" t="s">
        <v>523</v>
      </c>
      <c r="D721" t="s">
        <v>512</v>
      </c>
      <c r="E721" t="s">
        <v>515</v>
      </c>
      <c r="L721"/>
    </row>
    <row r="722" spans="1:12" x14ac:dyDescent="0.35">
      <c r="A722" t="s">
        <v>86</v>
      </c>
      <c r="B722">
        <v>0</v>
      </c>
      <c r="C722" t="s">
        <v>523</v>
      </c>
      <c r="D722" t="s">
        <v>512</v>
      </c>
      <c r="E722" t="s">
        <v>515</v>
      </c>
      <c r="L722"/>
    </row>
    <row r="723" spans="1:12" x14ac:dyDescent="0.35">
      <c r="A723" t="s">
        <v>87</v>
      </c>
      <c r="B723">
        <v>0</v>
      </c>
      <c r="C723" t="s">
        <v>523</v>
      </c>
      <c r="D723" t="s">
        <v>512</v>
      </c>
      <c r="E723" t="s">
        <v>515</v>
      </c>
      <c r="L723"/>
    </row>
    <row r="724" spans="1:12" x14ac:dyDescent="0.35">
      <c r="A724" t="s">
        <v>88</v>
      </c>
      <c r="B724">
        <v>0</v>
      </c>
      <c r="C724" t="s">
        <v>523</v>
      </c>
      <c r="D724" t="s">
        <v>512</v>
      </c>
      <c r="E724" t="s">
        <v>515</v>
      </c>
      <c r="L724"/>
    </row>
    <row r="725" spans="1:12" x14ac:dyDescent="0.35">
      <c r="A725" t="s">
        <v>89</v>
      </c>
      <c r="B725">
        <v>0</v>
      </c>
      <c r="C725" t="s">
        <v>523</v>
      </c>
      <c r="D725" t="s">
        <v>512</v>
      </c>
      <c r="E725" t="s">
        <v>515</v>
      </c>
      <c r="L725"/>
    </row>
    <row r="726" spans="1:12" x14ac:dyDescent="0.35">
      <c r="A726" t="s">
        <v>90</v>
      </c>
      <c r="B726">
        <v>0</v>
      </c>
      <c r="C726" t="s">
        <v>523</v>
      </c>
      <c r="D726" t="s">
        <v>512</v>
      </c>
      <c r="E726" t="s">
        <v>515</v>
      </c>
      <c r="L726"/>
    </row>
    <row r="727" spans="1:12" x14ac:dyDescent="0.35">
      <c r="A727" t="s">
        <v>91</v>
      </c>
      <c r="B727">
        <v>0</v>
      </c>
      <c r="C727" t="s">
        <v>523</v>
      </c>
      <c r="D727" t="s">
        <v>512</v>
      </c>
      <c r="E727" t="s">
        <v>515</v>
      </c>
      <c r="L727"/>
    </row>
    <row r="728" spans="1:12" x14ac:dyDescent="0.35">
      <c r="A728" t="s">
        <v>92</v>
      </c>
      <c r="B728">
        <v>0</v>
      </c>
      <c r="C728" t="s">
        <v>523</v>
      </c>
      <c r="D728" t="s">
        <v>512</v>
      </c>
      <c r="E728" t="s">
        <v>3566</v>
      </c>
      <c r="L728"/>
    </row>
    <row r="729" spans="1:12" x14ac:dyDescent="0.35">
      <c r="A729" t="s">
        <v>93</v>
      </c>
      <c r="B729">
        <v>0</v>
      </c>
      <c r="C729" t="s">
        <v>523</v>
      </c>
      <c r="D729" t="s">
        <v>512</v>
      </c>
      <c r="E729" t="s">
        <v>515</v>
      </c>
      <c r="L729"/>
    </row>
    <row r="730" spans="1:12" x14ac:dyDescent="0.35">
      <c r="A730" t="s">
        <v>94</v>
      </c>
      <c r="B730">
        <v>0</v>
      </c>
      <c r="C730" t="s">
        <v>523</v>
      </c>
      <c r="D730" t="s">
        <v>512</v>
      </c>
      <c r="E730" t="s">
        <v>515</v>
      </c>
      <c r="L730"/>
    </row>
    <row r="731" spans="1:12" x14ac:dyDescent="0.35">
      <c r="A731" t="s">
        <v>95</v>
      </c>
      <c r="B731">
        <v>0</v>
      </c>
      <c r="C731" t="s">
        <v>523</v>
      </c>
      <c r="D731" t="s">
        <v>512</v>
      </c>
      <c r="E731" t="s">
        <v>515</v>
      </c>
      <c r="L731"/>
    </row>
    <row r="732" spans="1:12" x14ac:dyDescent="0.35">
      <c r="A732" t="s">
        <v>96</v>
      </c>
      <c r="B732">
        <v>0</v>
      </c>
      <c r="C732" t="s">
        <v>523</v>
      </c>
      <c r="D732" t="s">
        <v>512</v>
      </c>
      <c r="E732" t="s">
        <v>515</v>
      </c>
      <c r="L732"/>
    </row>
    <row r="733" spans="1:12" x14ac:dyDescent="0.35">
      <c r="A733" t="s">
        <v>97</v>
      </c>
      <c r="B733">
        <v>0</v>
      </c>
      <c r="C733" t="s">
        <v>523</v>
      </c>
      <c r="D733" t="s">
        <v>512</v>
      </c>
      <c r="E733" t="s">
        <v>515</v>
      </c>
      <c r="L733"/>
    </row>
    <row r="734" spans="1:12" x14ac:dyDescent="0.35">
      <c r="A734" t="s">
        <v>98</v>
      </c>
      <c r="B734">
        <v>0</v>
      </c>
      <c r="C734" t="s">
        <v>523</v>
      </c>
      <c r="D734" t="s">
        <v>512</v>
      </c>
      <c r="E734" t="s">
        <v>515</v>
      </c>
      <c r="L734"/>
    </row>
    <row r="735" spans="1:12" x14ac:dyDescent="0.35">
      <c r="A735" t="s">
        <v>99</v>
      </c>
      <c r="B735">
        <v>0</v>
      </c>
      <c r="C735" t="s">
        <v>523</v>
      </c>
      <c r="D735" t="s">
        <v>512</v>
      </c>
      <c r="E735" t="s">
        <v>515</v>
      </c>
      <c r="L735"/>
    </row>
    <row r="736" spans="1:12" x14ac:dyDescent="0.35">
      <c r="A736" t="s">
        <v>100</v>
      </c>
      <c r="B736">
        <v>0</v>
      </c>
      <c r="C736" t="s">
        <v>523</v>
      </c>
      <c r="D736" t="s">
        <v>512</v>
      </c>
      <c r="E736" t="s">
        <v>515</v>
      </c>
      <c r="L736"/>
    </row>
    <row r="737" spans="1:12" x14ac:dyDescent="0.35">
      <c r="A737" t="s">
        <v>101</v>
      </c>
      <c r="B737">
        <v>0</v>
      </c>
      <c r="C737" t="s">
        <v>523</v>
      </c>
      <c r="D737" t="s">
        <v>512</v>
      </c>
      <c r="E737" t="s">
        <v>515</v>
      </c>
      <c r="L737"/>
    </row>
    <row r="738" spans="1:12" x14ac:dyDescent="0.35">
      <c r="A738" t="s">
        <v>102</v>
      </c>
      <c r="B738">
        <v>0</v>
      </c>
      <c r="C738" t="s">
        <v>523</v>
      </c>
      <c r="D738" t="s">
        <v>512</v>
      </c>
      <c r="E738" t="s">
        <v>515</v>
      </c>
      <c r="L738"/>
    </row>
    <row r="739" spans="1:12" x14ac:dyDescent="0.35">
      <c r="A739" t="s">
        <v>103</v>
      </c>
      <c r="B739">
        <v>0</v>
      </c>
      <c r="C739" t="s">
        <v>523</v>
      </c>
      <c r="D739" t="s">
        <v>512</v>
      </c>
      <c r="E739" t="s">
        <v>515</v>
      </c>
      <c r="L739"/>
    </row>
    <row r="740" spans="1:12" x14ac:dyDescent="0.35">
      <c r="A740" t="s">
        <v>104</v>
      </c>
      <c r="B740">
        <v>0</v>
      </c>
      <c r="C740" t="s">
        <v>523</v>
      </c>
      <c r="D740" t="s">
        <v>512</v>
      </c>
      <c r="E740" t="s">
        <v>3566</v>
      </c>
      <c r="L740"/>
    </row>
    <row r="741" spans="1:12" x14ac:dyDescent="0.35">
      <c r="A741" t="s">
        <v>105</v>
      </c>
      <c r="B741">
        <v>0</v>
      </c>
      <c r="C741" t="s">
        <v>523</v>
      </c>
      <c r="D741" t="s">
        <v>512</v>
      </c>
      <c r="E741" t="s">
        <v>515</v>
      </c>
      <c r="L741"/>
    </row>
    <row r="742" spans="1:12" x14ac:dyDescent="0.35">
      <c r="A742" t="s">
        <v>106</v>
      </c>
      <c r="B742">
        <v>0</v>
      </c>
      <c r="C742" t="s">
        <v>523</v>
      </c>
      <c r="D742" t="s">
        <v>512</v>
      </c>
      <c r="E742" t="s">
        <v>515</v>
      </c>
      <c r="L742"/>
    </row>
    <row r="743" spans="1:12" x14ac:dyDescent="0.35">
      <c r="A743" t="s">
        <v>107</v>
      </c>
      <c r="B743">
        <v>0</v>
      </c>
      <c r="C743" t="s">
        <v>523</v>
      </c>
      <c r="D743" t="s">
        <v>512</v>
      </c>
      <c r="E743" t="s">
        <v>3566</v>
      </c>
      <c r="L743"/>
    </row>
    <row r="744" spans="1:12" x14ac:dyDescent="0.35">
      <c r="A744" t="s">
        <v>108</v>
      </c>
      <c r="B744">
        <v>0</v>
      </c>
      <c r="C744" t="s">
        <v>523</v>
      </c>
      <c r="D744" t="s">
        <v>512</v>
      </c>
      <c r="E744" t="s">
        <v>3566</v>
      </c>
      <c r="L744"/>
    </row>
    <row r="745" spans="1:12" x14ac:dyDescent="0.35">
      <c r="A745" t="s">
        <v>109</v>
      </c>
      <c r="B745">
        <v>0</v>
      </c>
      <c r="C745" t="s">
        <v>523</v>
      </c>
      <c r="D745" t="s">
        <v>512</v>
      </c>
      <c r="E745" t="s">
        <v>3566</v>
      </c>
      <c r="L745"/>
    </row>
    <row r="746" spans="1:12" x14ac:dyDescent="0.35">
      <c r="A746" t="s">
        <v>110</v>
      </c>
      <c r="B746">
        <v>0</v>
      </c>
      <c r="C746" t="s">
        <v>523</v>
      </c>
      <c r="D746" t="s">
        <v>512</v>
      </c>
      <c r="E746" t="s">
        <v>515</v>
      </c>
      <c r="L746"/>
    </row>
    <row r="747" spans="1:12" x14ac:dyDescent="0.35">
      <c r="A747" t="s">
        <v>111</v>
      </c>
      <c r="B747">
        <v>0</v>
      </c>
      <c r="C747" t="s">
        <v>523</v>
      </c>
      <c r="D747" t="s">
        <v>512</v>
      </c>
      <c r="E747" t="s">
        <v>515</v>
      </c>
      <c r="L747"/>
    </row>
    <row r="748" spans="1:12" x14ac:dyDescent="0.35">
      <c r="A748" t="s">
        <v>112</v>
      </c>
      <c r="B748">
        <v>0</v>
      </c>
      <c r="C748" t="s">
        <v>523</v>
      </c>
      <c r="D748" t="s">
        <v>512</v>
      </c>
      <c r="E748" t="s">
        <v>515</v>
      </c>
      <c r="L748"/>
    </row>
    <row r="749" spans="1:12" x14ac:dyDescent="0.35">
      <c r="A749" t="s">
        <v>113</v>
      </c>
      <c r="B749">
        <v>0</v>
      </c>
      <c r="C749" t="s">
        <v>523</v>
      </c>
      <c r="D749" t="s">
        <v>512</v>
      </c>
      <c r="E749" t="s">
        <v>515</v>
      </c>
      <c r="L749"/>
    </row>
    <row r="750" spans="1:12" x14ac:dyDescent="0.35">
      <c r="A750" t="s">
        <v>114</v>
      </c>
      <c r="B750">
        <v>0</v>
      </c>
      <c r="C750" t="s">
        <v>523</v>
      </c>
      <c r="D750" t="s">
        <v>512</v>
      </c>
      <c r="E750" t="s">
        <v>515</v>
      </c>
      <c r="L750"/>
    </row>
    <row r="751" spans="1:12" x14ac:dyDescent="0.35">
      <c r="A751" t="s">
        <v>115</v>
      </c>
      <c r="B751">
        <v>0</v>
      </c>
      <c r="C751" t="s">
        <v>523</v>
      </c>
      <c r="D751" t="s">
        <v>512</v>
      </c>
      <c r="E751" t="s">
        <v>515</v>
      </c>
      <c r="L751"/>
    </row>
    <row r="752" spans="1:12" x14ac:dyDescent="0.35">
      <c r="A752" t="s">
        <v>116</v>
      </c>
      <c r="B752">
        <v>0</v>
      </c>
      <c r="C752" t="s">
        <v>523</v>
      </c>
      <c r="D752" t="s">
        <v>512</v>
      </c>
      <c r="E752" t="s">
        <v>515</v>
      </c>
      <c r="L752"/>
    </row>
    <row r="753" spans="1:12" x14ac:dyDescent="0.35">
      <c r="A753" t="s">
        <v>117</v>
      </c>
      <c r="B753">
        <v>0</v>
      </c>
      <c r="C753" t="s">
        <v>523</v>
      </c>
      <c r="D753" t="s">
        <v>512</v>
      </c>
      <c r="E753" t="s">
        <v>515</v>
      </c>
      <c r="L753"/>
    </row>
    <row r="754" spans="1:12" x14ac:dyDescent="0.35">
      <c r="A754" t="s">
        <v>3601</v>
      </c>
      <c r="B754">
        <v>0</v>
      </c>
      <c r="C754" t="s">
        <v>523</v>
      </c>
      <c r="D754" t="s">
        <v>512</v>
      </c>
      <c r="E754" t="s">
        <v>515</v>
      </c>
      <c r="L754"/>
    </row>
    <row r="755" spans="1:12" x14ac:dyDescent="0.35">
      <c r="A755" t="s">
        <v>118</v>
      </c>
      <c r="B755">
        <v>0</v>
      </c>
      <c r="C755" t="s">
        <v>523</v>
      </c>
      <c r="D755" t="s">
        <v>512</v>
      </c>
      <c r="E755" t="s">
        <v>515</v>
      </c>
      <c r="L755"/>
    </row>
    <row r="756" spans="1:12" x14ac:dyDescent="0.35">
      <c r="A756" t="s">
        <v>119</v>
      </c>
      <c r="B756">
        <v>0</v>
      </c>
      <c r="C756" t="s">
        <v>523</v>
      </c>
      <c r="D756" t="s">
        <v>512</v>
      </c>
      <c r="E756" t="s">
        <v>515</v>
      </c>
      <c r="L756"/>
    </row>
    <row r="757" spans="1:12" x14ac:dyDescent="0.35">
      <c r="A757" t="s">
        <v>120</v>
      </c>
      <c r="B757">
        <v>0</v>
      </c>
      <c r="C757" t="s">
        <v>523</v>
      </c>
      <c r="D757" t="s">
        <v>512</v>
      </c>
      <c r="E757" t="s">
        <v>516</v>
      </c>
      <c r="L757"/>
    </row>
    <row r="758" spans="1:12" x14ac:dyDescent="0.35">
      <c r="A758" t="s">
        <v>121</v>
      </c>
      <c r="B758">
        <v>0</v>
      </c>
      <c r="C758" t="s">
        <v>523</v>
      </c>
      <c r="D758" t="s">
        <v>512</v>
      </c>
      <c r="E758" t="s">
        <v>516</v>
      </c>
      <c r="L758"/>
    </row>
    <row r="759" spans="1:12" x14ac:dyDescent="0.35">
      <c r="A759" t="s">
        <v>122</v>
      </c>
      <c r="B759">
        <v>0</v>
      </c>
      <c r="C759" t="s">
        <v>523</v>
      </c>
      <c r="D759" t="s">
        <v>512</v>
      </c>
      <c r="E759" t="s">
        <v>515</v>
      </c>
      <c r="L759"/>
    </row>
    <row r="760" spans="1:12" x14ac:dyDescent="0.35">
      <c r="A760" t="s">
        <v>123</v>
      </c>
      <c r="B760">
        <v>0</v>
      </c>
      <c r="C760" t="s">
        <v>523</v>
      </c>
      <c r="D760" t="s">
        <v>512</v>
      </c>
      <c r="E760" t="s">
        <v>515</v>
      </c>
      <c r="L760"/>
    </row>
    <row r="761" spans="1:12" x14ac:dyDescent="0.35">
      <c r="A761" t="s">
        <v>124</v>
      </c>
      <c r="B761">
        <v>0</v>
      </c>
      <c r="C761" t="s">
        <v>523</v>
      </c>
      <c r="D761" t="s">
        <v>512</v>
      </c>
      <c r="E761" t="s">
        <v>515</v>
      </c>
      <c r="L761"/>
    </row>
    <row r="762" spans="1:12" x14ac:dyDescent="0.35">
      <c r="A762" t="s">
        <v>125</v>
      </c>
      <c r="B762">
        <v>0</v>
      </c>
      <c r="C762" t="s">
        <v>523</v>
      </c>
      <c r="D762" t="s">
        <v>512</v>
      </c>
      <c r="E762" t="s">
        <v>515</v>
      </c>
      <c r="L762"/>
    </row>
    <row r="763" spans="1:12" x14ac:dyDescent="0.35">
      <c r="A763" t="s">
        <v>126</v>
      </c>
      <c r="B763">
        <v>0</v>
      </c>
      <c r="C763" t="s">
        <v>523</v>
      </c>
      <c r="D763" t="s">
        <v>512</v>
      </c>
      <c r="E763" t="s">
        <v>515</v>
      </c>
      <c r="L763"/>
    </row>
    <row r="764" spans="1:12" x14ac:dyDescent="0.35">
      <c r="A764" t="s">
        <v>127</v>
      </c>
      <c r="B764">
        <v>0</v>
      </c>
      <c r="C764" t="s">
        <v>523</v>
      </c>
      <c r="D764" t="s">
        <v>512</v>
      </c>
      <c r="E764" t="s">
        <v>515</v>
      </c>
      <c r="L764"/>
    </row>
    <row r="765" spans="1:12" x14ac:dyDescent="0.35">
      <c r="A765" t="s">
        <v>128</v>
      </c>
      <c r="B765">
        <v>0</v>
      </c>
      <c r="C765" t="s">
        <v>523</v>
      </c>
      <c r="D765" t="s">
        <v>512</v>
      </c>
      <c r="E765" t="s">
        <v>515</v>
      </c>
      <c r="L765"/>
    </row>
    <row r="766" spans="1:12" x14ac:dyDescent="0.35">
      <c r="A766" t="s">
        <v>129</v>
      </c>
      <c r="B766">
        <v>0</v>
      </c>
      <c r="C766" t="s">
        <v>523</v>
      </c>
      <c r="D766" t="s">
        <v>512</v>
      </c>
      <c r="E766" t="s">
        <v>515</v>
      </c>
      <c r="L766"/>
    </row>
    <row r="767" spans="1:12" x14ac:dyDescent="0.35">
      <c r="A767" t="s">
        <v>130</v>
      </c>
      <c r="B767">
        <v>0</v>
      </c>
      <c r="C767" t="s">
        <v>523</v>
      </c>
      <c r="D767" t="s">
        <v>512</v>
      </c>
      <c r="E767" t="s">
        <v>515</v>
      </c>
      <c r="L767"/>
    </row>
    <row r="768" spans="1:12" x14ac:dyDescent="0.35">
      <c r="A768" t="s">
        <v>131</v>
      </c>
      <c r="B768">
        <v>0</v>
      </c>
      <c r="C768" t="s">
        <v>523</v>
      </c>
      <c r="D768" t="s">
        <v>512</v>
      </c>
      <c r="E768" t="s">
        <v>515</v>
      </c>
      <c r="L768"/>
    </row>
    <row r="769" spans="1:12" x14ac:dyDescent="0.35">
      <c r="A769" t="s">
        <v>132</v>
      </c>
      <c r="B769">
        <v>0</v>
      </c>
      <c r="C769" t="s">
        <v>523</v>
      </c>
      <c r="D769" t="s">
        <v>512</v>
      </c>
      <c r="E769" t="s">
        <v>515</v>
      </c>
      <c r="L769"/>
    </row>
    <row r="770" spans="1:12" x14ac:dyDescent="0.35">
      <c r="A770" t="s">
        <v>133</v>
      </c>
      <c r="B770">
        <v>0</v>
      </c>
      <c r="C770" t="s">
        <v>523</v>
      </c>
      <c r="D770" t="s">
        <v>512</v>
      </c>
      <c r="E770" t="s">
        <v>515</v>
      </c>
      <c r="L770"/>
    </row>
    <row r="771" spans="1:12" x14ac:dyDescent="0.35">
      <c r="A771" t="s">
        <v>134</v>
      </c>
      <c r="B771">
        <v>0</v>
      </c>
      <c r="C771" t="s">
        <v>523</v>
      </c>
      <c r="D771" t="s">
        <v>512</v>
      </c>
      <c r="E771" t="s">
        <v>515</v>
      </c>
      <c r="L771"/>
    </row>
    <row r="772" spans="1:12" x14ac:dyDescent="0.35">
      <c r="A772" t="s">
        <v>135</v>
      </c>
      <c r="B772">
        <v>0</v>
      </c>
      <c r="C772" t="s">
        <v>523</v>
      </c>
      <c r="D772" t="s">
        <v>512</v>
      </c>
      <c r="E772" t="s">
        <v>515</v>
      </c>
      <c r="L772"/>
    </row>
    <row r="773" spans="1:12" x14ac:dyDescent="0.35">
      <c r="A773" t="s">
        <v>136</v>
      </c>
      <c r="B773">
        <v>0</v>
      </c>
      <c r="C773" t="s">
        <v>523</v>
      </c>
      <c r="D773" t="s">
        <v>512</v>
      </c>
      <c r="E773" t="s">
        <v>515</v>
      </c>
      <c r="L773"/>
    </row>
    <row r="774" spans="1:12" x14ac:dyDescent="0.35">
      <c r="A774" t="s">
        <v>137</v>
      </c>
      <c r="B774">
        <v>0</v>
      </c>
      <c r="C774" t="s">
        <v>523</v>
      </c>
      <c r="D774" t="s">
        <v>512</v>
      </c>
      <c r="E774" t="s">
        <v>515</v>
      </c>
      <c r="L774"/>
    </row>
    <row r="775" spans="1:12" x14ac:dyDescent="0.35">
      <c r="A775" t="s">
        <v>138</v>
      </c>
      <c r="B775">
        <v>0</v>
      </c>
      <c r="C775" t="s">
        <v>523</v>
      </c>
      <c r="D775" t="s">
        <v>512</v>
      </c>
      <c r="E775" t="s">
        <v>515</v>
      </c>
      <c r="L775"/>
    </row>
    <row r="776" spans="1:12" x14ac:dyDescent="0.35">
      <c r="A776" t="s">
        <v>139</v>
      </c>
      <c r="B776">
        <v>0</v>
      </c>
      <c r="C776" t="s">
        <v>523</v>
      </c>
      <c r="D776" t="s">
        <v>512</v>
      </c>
      <c r="E776" t="s">
        <v>515</v>
      </c>
      <c r="L776"/>
    </row>
    <row r="777" spans="1:12" x14ac:dyDescent="0.35">
      <c r="A777" t="s">
        <v>140</v>
      </c>
      <c r="B777">
        <v>0</v>
      </c>
      <c r="C777" t="s">
        <v>523</v>
      </c>
      <c r="D777" t="s">
        <v>512</v>
      </c>
      <c r="E777" t="s">
        <v>515</v>
      </c>
      <c r="L777"/>
    </row>
    <row r="778" spans="1:12" x14ac:dyDescent="0.35">
      <c r="A778" t="s">
        <v>141</v>
      </c>
      <c r="B778">
        <v>0</v>
      </c>
      <c r="C778" t="s">
        <v>523</v>
      </c>
      <c r="D778" t="s">
        <v>512</v>
      </c>
      <c r="E778" t="s">
        <v>515</v>
      </c>
      <c r="L778"/>
    </row>
    <row r="779" spans="1:12" x14ac:dyDescent="0.35">
      <c r="A779" t="s">
        <v>142</v>
      </c>
      <c r="B779">
        <v>0</v>
      </c>
      <c r="C779" t="s">
        <v>523</v>
      </c>
      <c r="D779" t="s">
        <v>512</v>
      </c>
      <c r="E779" t="s">
        <v>515</v>
      </c>
      <c r="L779"/>
    </row>
    <row r="780" spans="1:12" x14ac:dyDescent="0.35">
      <c r="A780" t="s">
        <v>143</v>
      </c>
      <c r="B780">
        <v>0</v>
      </c>
      <c r="C780" t="s">
        <v>523</v>
      </c>
      <c r="D780" t="s">
        <v>512</v>
      </c>
      <c r="E780" t="s">
        <v>515</v>
      </c>
      <c r="L780"/>
    </row>
    <row r="781" spans="1:12" x14ac:dyDescent="0.35">
      <c r="A781" t="s">
        <v>144</v>
      </c>
      <c r="B781">
        <v>0</v>
      </c>
      <c r="C781" t="s">
        <v>523</v>
      </c>
      <c r="D781" t="s">
        <v>512</v>
      </c>
      <c r="E781" t="s">
        <v>515</v>
      </c>
      <c r="L781"/>
    </row>
    <row r="782" spans="1:12" x14ac:dyDescent="0.35">
      <c r="A782" t="s">
        <v>145</v>
      </c>
      <c r="B782">
        <v>0</v>
      </c>
      <c r="C782" t="s">
        <v>523</v>
      </c>
      <c r="D782" t="s">
        <v>512</v>
      </c>
      <c r="E782" t="s">
        <v>3566</v>
      </c>
      <c r="L782"/>
    </row>
    <row r="783" spans="1:12" x14ac:dyDescent="0.35">
      <c r="A783" t="s">
        <v>146</v>
      </c>
      <c r="B783">
        <v>0</v>
      </c>
      <c r="C783" t="s">
        <v>523</v>
      </c>
      <c r="D783" t="s">
        <v>512</v>
      </c>
      <c r="E783" t="s">
        <v>3566</v>
      </c>
      <c r="L783"/>
    </row>
    <row r="784" spans="1:12" x14ac:dyDescent="0.35">
      <c r="A784" t="s">
        <v>147</v>
      </c>
      <c r="B784">
        <v>0</v>
      </c>
      <c r="C784" t="s">
        <v>523</v>
      </c>
      <c r="D784" t="s">
        <v>512</v>
      </c>
      <c r="E784" t="s">
        <v>515</v>
      </c>
      <c r="L784"/>
    </row>
    <row r="785" spans="1:12" x14ac:dyDescent="0.35">
      <c r="A785" t="s">
        <v>148</v>
      </c>
      <c r="B785">
        <v>0</v>
      </c>
      <c r="C785" t="s">
        <v>523</v>
      </c>
      <c r="D785" t="s">
        <v>512</v>
      </c>
      <c r="E785" t="s">
        <v>515</v>
      </c>
      <c r="L785"/>
    </row>
    <row r="786" spans="1:12" x14ac:dyDescent="0.35">
      <c r="A786" t="s">
        <v>149</v>
      </c>
      <c r="B786">
        <v>0</v>
      </c>
      <c r="C786" t="s">
        <v>523</v>
      </c>
      <c r="D786" t="s">
        <v>512</v>
      </c>
      <c r="E786" t="s">
        <v>515</v>
      </c>
      <c r="L786"/>
    </row>
    <row r="787" spans="1:12" x14ac:dyDescent="0.35">
      <c r="A787" t="s">
        <v>150</v>
      </c>
      <c r="B787">
        <v>0</v>
      </c>
      <c r="C787" t="s">
        <v>523</v>
      </c>
      <c r="D787" t="s">
        <v>512</v>
      </c>
      <c r="E787" t="s">
        <v>515</v>
      </c>
      <c r="L787"/>
    </row>
    <row r="788" spans="1:12" x14ac:dyDescent="0.35">
      <c r="A788" t="s">
        <v>151</v>
      </c>
      <c r="B788">
        <v>0</v>
      </c>
      <c r="C788" t="s">
        <v>523</v>
      </c>
      <c r="D788" t="s">
        <v>512</v>
      </c>
      <c r="E788" t="s">
        <v>515</v>
      </c>
      <c r="L788"/>
    </row>
    <row r="789" spans="1:12" x14ac:dyDescent="0.35">
      <c r="A789" t="s">
        <v>152</v>
      </c>
      <c r="B789">
        <v>0</v>
      </c>
      <c r="C789" t="s">
        <v>523</v>
      </c>
      <c r="D789" t="s">
        <v>512</v>
      </c>
      <c r="E789" t="s">
        <v>515</v>
      </c>
      <c r="L789"/>
    </row>
    <row r="790" spans="1:12" x14ac:dyDescent="0.35">
      <c r="A790" t="s">
        <v>3266</v>
      </c>
      <c r="B790">
        <v>0</v>
      </c>
      <c r="C790" t="s">
        <v>523</v>
      </c>
      <c r="D790" t="s">
        <v>506</v>
      </c>
      <c r="E790" t="s">
        <v>515</v>
      </c>
    </row>
    <row r="791" spans="1:12" x14ac:dyDescent="0.35">
      <c r="A791" t="s">
        <v>3267</v>
      </c>
      <c r="B791">
        <v>0</v>
      </c>
      <c r="C791" t="s">
        <v>523</v>
      </c>
      <c r="D791" t="s">
        <v>513</v>
      </c>
      <c r="E791" t="s">
        <v>515</v>
      </c>
    </row>
    <row r="792" spans="1:12" x14ac:dyDescent="0.35">
      <c r="A792" t="s">
        <v>3268</v>
      </c>
      <c r="B792">
        <v>0</v>
      </c>
      <c r="C792" t="s">
        <v>524</v>
      </c>
      <c r="D792" t="s">
        <v>505</v>
      </c>
      <c r="E792" t="s">
        <v>516</v>
      </c>
    </row>
    <row r="793" spans="1:12" x14ac:dyDescent="0.35">
      <c r="A793" t="s">
        <v>3269</v>
      </c>
      <c r="B793">
        <v>0</v>
      </c>
      <c r="C793" t="s">
        <v>523</v>
      </c>
      <c r="D793" t="s">
        <v>513</v>
      </c>
      <c r="E793" t="s">
        <v>517</v>
      </c>
    </row>
    <row r="794" spans="1:12" x14ac:dyDescent="0.35">
      <c r="A794" t="s">
        <v>3270</v>
      </c>
      <c r="B794">
        <v>0</v>
      </c>
      <c r="C794" t="s">
        <v>523</v>
      </c>
      <c r="D794" t="s">
        <v>506</v>
      </c>
      <c r="E794" t="s">
        <v>516</v>
      </c>
    </row>
    <row r="795" spans="1:12" x14ac:dyDescent="0.35">
      <c r="A795" t="s">
        <v>3271</v>
      </c>
      <c r="B795">
        <v>0</v>
      </c>
      <c r="C795" t="s">
        <v>523</v>
      </c>
      <c r="D795" t="s">
        <v>513</v>
      </c>
      <c r="E795" t="s">
        <v>515</v>
      </c>
    </row>
    <row r="796" spans="1:12" x14ac:dyDescent="0.35">
      <c r="A796" t="s">
        <v>3446</v>
      </c>
      <c r="B796">
        <v>0</v>
      </c>
      <c r="C796" t="s">
        <v>523</v>
      </c>
      <c r="D796" t="s">
        <v>513</v>
      </c>
      <c r="E796" t="s">
        <v>515</v>
      </c>
    </row>
    <row r="797" spans="1:12" x14ac:dyDescent="0.35">
      <c r="A797" t="s">
        <v>3272</v>
      </c>
      <c r="B797">
        <v>0</v>
      </c>
      <c r="C797" t="s">
        <v>523</v>
      </c>
      <c r="D797" t="s">
        <v>509</v>
      </c>
      <c r="E797" t="s">
        <v>515</v>
      </c>
    </row>
    <row r="798" spans="1:12" x14ac:dyDescent="0.35">
      <c r="A798" t="s">
        <v>3273</v>
      </c>
      <c r="B798">
        <v>0</v>
      </c>
      <c r="C798" t="s">
        <v>523</v>
      </c>
      <c r="D798" t="s">
        <v>509</v>
      </c>
      <c r="E798" t="s">
        <v>515</v>
      </c>
    </row>
    <row r="799" spans="1:12" x14ac:dyDescent="0.35">
      <c r="A799" t="s">
        <v>3274</v>
      </c>
      <c r="B799">
        <v>0</v>
      </c>
      <c r="C799" t="s">
        <v>524</v>
      </c>
      <c r="D799" t="s">
        <v>506</v>
      </c>
      <c r="E799" t="s">
        <v>515</v>
      </c>
    </row>
    <row r="800" spans="1:12" x14ac:dyDescent="0.35">
      <c r="A800" t="s">
        <v>3275</v>
      </c>
      <c r="B800">
        <v>0</v>
      </c>
      <c r="C800" t="s">
        <v>523</v>
      </c>
      <c r="D800" t="s">
        <v>506</v>
      </c>
      <c r="E800" t="s">
        <v>515</v>
      </c>
    </row>
    <row r="801" spans="1:5" x14ac:dyDescent="0.35">
      <c r="A801" t="s">
        <v>3276</v>
      </c>
      <c r="B801">
        <v>0</v>
      </c>
      <c r="C801" t="s">
        <v>523</v>
      </c>
      <c r="D801" t="s">
        <v>506</v>
      </c>
      <c r="E801" t="s">
        <v>515</v>
      </c>
    </row>
    <row r="802" spans="1:5" x14ac:dyDescent="0.35">
      <c r="A802" t="s">
        <v>3277</v>
      </c>
      <c r="B802">
        <v>0</v>
      </c>
      <c r="C802" t="s">
        <v>523</v>
      </c>
      <c r="D802" t="s">
        <v>506</v>
      </c>
      <c r="E802" t="s">
        <v>515</v>
      </c>
    </row>
    <row r="803" spans="1:5" x14ac:dyDescent="0.35">
      <c r="A803" t="s">
        <v>3278</v>
      </c>
      <c r="B803">
        <v>0</v>
      </c>
      <c r="C803" t="s">
        <v>524</v>
      </c>
      <c r="D803" t="s">
        <v>506</v>
      </c>
      <c r="E803" t="s">
        <v>515</v>
      </c>
    </row>
    <row r="804" spans="1:5" x14ac:dyDescent="0.35">
      <c r="A804" t="s">
        <v>3279</v>
      </c>
      <c r="B804">
        <v>0</v>
      </c>
      <c r="C804" t="s">
        <v>523</v>
      </c>
      <c r="D804" t="s">
        <v>510</v>
      </c>
      <c r="E804" t="s">
        <v>517</v>
      </c>
    </row>
    <row r="805" spans="1:5" x14ac:dyDescent="0.35">
      <c r="A805" t="s">
        <v>1729</v>
      </c>
      <c r="B805">
        <v>0</v>
      </c>
      <c r="C805" t="s">
        <v>523</v>
      </c>
      <c r="D805" t="s">
        <v>512</v>
      </c>
      <c r="E805" t="s">
        <v>515</v>
      </c>
    </row>
    <row r="806" spans="1:5" x14ac:dyDescent="0.35">
      <c r="A806" t="s">
        <v>1730</v>
      </c>
      <c r="B806">
        <v>0</v>
      </c>
      <c r="C806" t="s">
        <v>523</v>
      </c>
      <c r="D806" t="s">
        <v>512</v>
      </c>
      <c r="E806" t="s">
        <v>515</v>
      </c>
    </row>
    <row r="807" spans="1:5" x14ac:dyDescent="0.35">
      <c r="A807" t="s">
        <v>1715</v>
      </c>
      <c r="B807">
        <v>0</v>
      </c>
      <c r="C807" t="s">
        <v>523</v>
      </c>
      <c r="D807" t="s">
        <v>512</v>
      </c>
      <c r="E807" t="s">
        <v>516</v>
      </c>
    </row>
    <row r="808" spans="1:5" x14ac:dyDescent="0.35">
      <c r="A808" t="s">
        <v>1710</v>
      </c>
      <c r="B808">
        <v>0</v>
      </c>
      <c r="C808" t="s">
        <v>523</v>
      </c>
      <c r="D808" t="s">
        <v>512</v>
      </c>
      <c r="E808" t="s">
        <v>516</v>
      </c>
    </row>
    <row r="809" spans="1:5" x14ac:dyDescent="0.35">
      <c r="A809" t="s">
        <v>1711</v>
      </c>
      <c r="B809">
        <v>0</v>
      </c>
      <c r="C809" t="s">
        <v>523</v>
      </c>
      <c r="D809" t="s">
        <v>512</v>
      </c>
      <c r="E809" t="s">
        <v>516</v>
      </c>
    </row>
    <row r="810" spans="1:5" x14ac:dyDescent="0.35">
      <c r="A810" t="s">
        <v>1712</v>
      </c>
      <c r="B810">
        <v>0</v>
      </c>
      <c r="C810" t="s">
        <v>523</v>
      </c>
      <c r="D810" t="s">
        <v>512</v>
      </c>
      <c r="E810" t="s">
        <v>516</v>
      </c>
    </row>
    <row r="811" spans="1:5" x14ac:dyDescent="0.35">
      <c r="A811" t="s">
        <v>1713</v>
      </c>
      <c r="B811">
        <v>0</v>
      </c>
      <c r="C811" t="s">
        <v>523</v>
      </c>
      <c r="D811" t="s">
        <v>512</v>
      </c>
      <c r="E811" t="s">
        <v>516</v>
      </c>
    </row>
    <row r="812" spans="1:5" x14ac:dyDescent="0.35">
      <c r="A812" t="s">
        <v>1714</v>
      </c>
      <c r="B812">
        <v>0</v>
      </c>
      <c r="C812" t="s">
        <v>523</v>
      </c>
      <c r="D812" t="s">
        <v>512</v>
      </c>
      <c r="E812" t="s">
        <v>516</v>
      </c>
    </row>
    <row r="813" spans="1:5" x14ac:dyDescent="0.35">
      <c r="A813" t="s">
        <v>1733</v>
      </c>
      <c r="B813">
        <v>0</v>
      </c>
      <c r="C813" t="s">
        <v>523</v>
      </c>
      <c r="D813" t="s">
        <v>512</v>
      </c>
      <c r="E813" t="s">
        <v>516</v>
      </c>
    </row>
    <row r="814" spans="1:5" x14ac:dyDescent="0.35">
      <c r="A814" t="s">
        <v>3280</v>
      </c>
      <c r="B814">
        <v>0</v>
      </c>
      <c r="C814" t="s">
        <v>524</v>
      </c>
      <c r="D814" t="s">
        <v>509</v>
      </c>
      <c r="E814" t="s">
        <v>515</v>
      </c>
    </row>
    <row r="815" spans="1:5" x14ac:dyDescent="0.35">
      <c r="A815" t="s">
        <v>3281</v>
      </c>
      <c r="B815">
        <v>0</v>
      </c>
      <c r="C815" t="s">
        <v>523</v>
      </c>
      <c r="D815" t="s">
        <v>510</v>
      </c>
      <c r="E815" t="s">
        <v>517</v>
      </c>
    </row>
    <row r="816" spans="1:5" x14ac:dyDescent="0.35">
      <c r="A816" t="s">
        <v>3282</v>
      </c>
      <c r="B816">
        <v>0</v>
      </c>
      <c r="C816" t="s">
        <v>523</v>
      </c>
      <c r="D816" t="s">
        <v>510</v>
      </c>
      <c r="E816" t="s">
        <v>517</v>
      </c>
    </row>
    <row r="817" spans="1:5" x14ac:dyDescent="0.35">
      <c r="A817" t="s">
        <v>3283</v>
      </c>
      <c r="B817">
        <v>0</v>
      </c>
      <c r="C817" t="s">
        <v>523</v>
      </c>
      <c r="D817" t="s">
        <v>510</v>
      </c>
      <c r="E817" t="s">
        <v>517</v>
      </c>
    </row>
    <row r="818" spans="1:5" x14ac:dyDescent="0.35">
      <c r="A818" t="s">
        <v>3284</v>
      </c>
      <c r="B818">
        <v>0</v>
      </c>
      <c r="C818" t="s">
        <v>523</v>
      </c>
      <c r="D818" t="s">
        <v>510</v>
      </c>
      <c r="E818" t="s">
        <v>517</v>
      </c>
    </row>
    <row r="819" spans="1:5" x14ac:dyDescent="0.35">
      <c r="A819" t="s">
        <v>3285</v>
      </c>
      <c r="B819">
        <v>0</v>
      </c>
      <c r="C819" t="s">
        <v>523</v>
      </c>
      <c r="D819" t="s">
        <v>510</v>
      </c>
      <c r="E819" t="s">
        <v>517</v>
      </c>
    </row>
    <row r="820" spans="1:5" x14ac:dyDescent="0.35">
      <c r="A820" t="s">
        <v>3286</v>
      </c>
      <c r="B820">
        <v>0</v>
      </c>
      <c r="C820" t="s">
        <v>523</v>
      </c>
      <c r="D820" t="s">
        <v>510</v>
      </c>
      <c r="E820" t="s">
        <v>517</v>
      </c>
    </row>
    <row r="821" spans="1:5" x14ac:dyDescent="0.35">
      <c r="A821" t="s">
        <v>3287</v>
      </c>
      <c r="B821">
        <v>0</v>
      </c>
      <c r="C821" t="s">
        <v>523</v>
      </c>
      <c r="D821" t="s">
        <v>510</v>
      </c>
      <c r="E821" t="s">
        <v>517</v>
      </c>
    </row>
    <row r="822" spans="1:5" x14ac:dyDescent="0.35">
      <c r="A822" t="s">
        <v>3288</v>
      </c>
      <c r="B822">
        <v>0</v>
      </c>
      <c r="C822" t="s">
        <v>523</v>
      </c>
      <c r="D822" t="s">
        <v>510</v>
      </c>
      <c r="E822" t="s">
        <v>515</v>
      </c>
    </row>
    <row r="823" spans="1:5" x14ac:dyDescent="0.35">
      <c r="A823" t="s">
        <v>3289</v>
      </c>
      <c r="B823">
        <v>0</v>
      </c>
      <c r="C823" t="s">
        <v>523</v>
      </c>
      <c r="D823" t="s">
        <v>510</v>
      </c>
      <c r="E823" t="s">
        <v>515</v>
      </c>
    </row>
    <row r="824" spans="1:5" x14ac:dyDescent="0.35">
      <c r="A824" t="s">
        <v>3290</v>
      </c>
      <c r="B824">
        <v>0</v>
      </c>
      <c r="C824" t="s">
        <v>523</v>
      </c>
      <c r="D824" t="s">
        <v>506</v>
      </c>
      <c r="E824" t="s">
        <v>515</v>
      </c>
    </row>
    <row r="825" spans="1:5" x14ac:dyDescent="0.35">
      <c r="A825" t="s">
        <v>3291</v>
      </c>
      <c r="B825">
        <v>0</v>
      </c>
      <c r="C825" t="s">
        <v>523</v>
      </c>
      <c r="D825" t="s">
        <v>509</v>
      </c>
      <c r="E825" t="s">
        <v>515</v>
      </c>
    </row>
    <row r="826" spans="1:5" x14ac:dyDescent="0.35">
      <c r="A826" t="s">
        <v>3609</v>
      </c>
      <c r="B826">
        <v>0</v>
      </c>
      <c r="C826" t="s">
        <v>523</v>
      </c>
      <c r="D826" t="s">
        <v>509</v>
      </c>
      <c r="E826" t="s">
        <v>515</v>
      </c>
    </row>
    <row r="827" spans="1:5" x14ac:dyDescent="0.35">
      <c r="A827" t="s">
        <v>3292</v>
      </c>
      <c r="B827">
        <v>0</v>
      </c>
      <c r="C827" t="s">
        <v>523</v>
      </c>
      <c r="D827" t="s">
        <v>513</v>
      </c>
      <c r="E827" t="s">
        <v>515</v>
      </c>
    </row>
    <row r="828" spans="1:5" x14ac:dyDescent="0.35">
      <c r="A828" t="s">
        <v>3293</v>
      </c>
      <c r="B828">
        <v>0</v>
      </c>
      <c r="C828" t="s">
        <v>523</v>
      </c>
      <c r="D828" t="s">
        <v>510</v>
      </c>
      <c r="E828" t="s">
        <v>515</v>
      </c>
    </row>
    <row r="829" spans="1:5" x14ac:dyDescent="0.35">
      <c r="A829" t="s">
        <v>3294</v>
      </c>
      <c r="B829">
        <v>0</v>
      </c>
      <c r="C829" t="s">
        <v>523</v>
      </c>
      <c r="D829" t="s">
        <v>510</v>
      </c>
      <c r="E829" t="s">
        <v>515</v>
      </c>
    </row>
    <row r="830" spans="1:5" x14ac:dyDescent="0.35">
      <c r="A830" t="s">
        <v>3295</v>
      </c>
      <c r="B830">
        <v>0</v>
      </c>
      <c r="C830" t="s">
        <v>523</v>
      </c>
      <c r="D830" t="s">
        <v>510</v>
      </c>
      <c r="E830" t="s">
        <v>515</v>
      </c>
    </row>
    <row r="831" spans="1:5" x14ac:dyDescent="0.35">
      <c r="A831" t="s">
        <v>3296</v>
      </c>
      <c r="B831">
        <v>0</v>
      </c>
      <c r="C831" t="s">
        <v>523</v>
      </c>
      <c r="D831" t="s">
        <v>510</v>
      </c>
      <c r="E831" t="s">
        <v>515</v>
      </c>
    </row>
    <row r="832" spans="1:5" x14ac:dyDescent="0.35">
      <c r="A832" t="s">
        <v>3297</v>
      </c>
      <c r="B832">
        <v>0</v>
      </c>
      <c r="C832" t="s">
        <v>523</v>
      </c>
      <c r="D832" t="s">
        <v>510</v>
      </c>
      <c r="E832" t="s">
        <v>517</v>
      </c>
    </row>
    <row r="833" spans="1:5" x14ac:dyDescent="0.35">
      <c r="A833" t="s">
        <v>3298</v>
      </c>
      <c r="B833">
        <v>0</v>
      </c>
      <c r="C833" t="s">
        <v>523</v>
      </c>
      <c r="D833" t="s">
        <v>510</v>
      </c>
      <c r="E833" t="s">
        <v>517</v>
      </c>
    </row>
    <row r="834" spans="1:5" x14ac:dyDescent="0.35">
      <c r="A834" t="s">
        <v>3299</v>
      </c>
      <c r="B834">
        <v>0</v>
      </c>
      <c r="C834" t="s">
        <v>523</v>
      </c>
      <c r="D834" t="s">
        <v>513</v>
      </c>
      <c r="E834" t="s">
        <v>517</v>
      </c>
    </row>
    <row r="835" spans="1:5" x14ac:dyDescent="0.35">
      <c r="A835" t="s">
        <v>3300</v>
      </c>
      <c r="B835">
        <v>0</v>
      </c>
      <c r="C835" t="s">
        <v>523</v>
      </c>
      <c r="D835" t="s">
        <v>513</v>
      </c>
      <c r="E835" t="s">
        <v>517</v>
      </c>
    </row>
    <row r="836" spans="1:5" x14ac:dyDescent="0.35">
      <c r="A836" t="s">
        <v>3301</v>
      </c>
      <c r="B836">
        <v>0</v>
      </c>
      <c r="C836" t="s">
        <v>523</v>
      </c>
      <c r="D836" t="s">
        <v>513</v>
      </c>
      <c r="E836" t="s">
        <v>515</v>
      </c>
    </row>
    <row r="837" spans="1:5" x14ac:dyDescent="0.35">
      <c r="A837" t="s">
        <v>3302</v>
      </c>
      <c r="B837">
        <v>0</v>
      </c>
      <c r="C837" t="s">
        <v>523</v>
      </c>
      <c r="D837" t="s">
        <v>513</v>
      </c>
      <c r="E837" t="s">
        <v>515</v>
      </c>
    </row>
    <row r="838" spans="1:5" x14ac:dyDescent="0.35">
      <c r="A838" t="s">
        <v>3303</v>
      </c>
      <c r="B838">
        <v>0</v>
      </c>
      <c r="C838" t="s">
        <v>523</v>
      </c>
      <c r="D838" t="s">
        <v>513</v>
      </c>
      <c r="E838" t="s">
        <v>515</v>
      </c>
    </row>
    <row r="839" spans="1:5" x14ac:dyDescent="0.35">
      <c r="A839" t="s">
        <v>3304</v>
      </c>
      <c r="B839">
        <v>0</v>
      </c>
      <c r="C839" t="s">
        <v>523</v>
      </c>
      <c r="D839" t="s">
        <v>513</v>
      </c>
      <c r="E839" t="s">
        <v>515</v>
      </c>
    </row>
    <row r="840" spans="1:5" x14ac:dyDescent="0.35">
      <c r="A840" t="s">
        <v>3305</v>
      </c>
      <c r="B840">
        <v>0</v>
      </c>
      <c r="C840" t="s">
        <v>523</v>
      </c>
      <c r="D840" t="s">
        <v>513</v>
      </c>
      <c r="E840" t="s">
        <v>517</v>
      </c>
    </row>
    <row r="841" spans="1:5" x14ac:dyDescent="0.35">
      <c r="A841" s="2" t="s">
        <v>3306</v>
      </c>
      <c r="B841">
        <v>0</v>
      </c>
      <c r="C841" t="s">
        <v>523</v>
      </c>
      <c r="D841" t="s">
        <v>513</v>
      </c>
      <c r="E841" t="s">
        <v>515</v>
      </c>
    </row>
    <row r="842" spans="1:5" x14ac:dyDescent="0.35">
      <c r="A842" s="2" t="s">
        <v>3307</v>
      </c>
      <c r="B842">
        <v>0</v>
      </c>
      <c r="C842" t="s">
        <v>523</v>
      </c>
      <c r="D842" t="s">
        <v>513</v>
      </c>
      <c r="E842" t="s">
        <v>515</v>
      </c>
    </row>
    <row r="843" spans="1:5" x14ac:dyDescent="0.35">
      <c r="A843" s="2" t="s">
        <v>3308</v>
      </c>
      <c r="B843">
        <v>0</v>
      </c>
      <c r="C843" t="s">
        <v>523</v>
      </c>
      <c r="D843" t="s">
        <v>513</v>
      </c>
      <c r="E843" t="s">
        <v>517</v>
      </c>
    </row>
    <row r="844" spans="1:5" x14ac:dyDescent="0.35">
      <c r="A844" s="2" t="s">
        <v>3309</v>
      </c>
      <c r="B844">
        <v>0</v>
      </c>
      <c r="C844" t="s">
        <v>523</v>
      </c>
      <c r="D844" t="s">
        <v>513</v>
      </c>
      <c r="E844" t="s">
        <v>515</v>
      </c>
    </row>
    <row r="845" spans="1:5" x14ac:dyDescent="0.35">
      <c r="A845" s="2" t="s">
        <v>3310</v>
      </c>
      <c r="B845">
        <v>0</v>
      </c>
      <c r="C845" t="s">
        <v>523</v>
      </c>
      <c r="D845" t="s">
        <v>506</v>
      </c>
      <c r="E845" t="s">
        <v>515</v>
      </c>
    </row>
    <row r="846" spans="1:5" x14ac:dyDescent="0.35">
      <c r="A846" s="2" t="s">
        <v>3311</v>
      </c>
      <c r="B846">
        <v>0</v>
      </c>
      <c r="C846" t="s">
        <v>523</v>
      </c>
      <c r="D846" t="s">
        <v>506</v>
      </c>
      <c r="E846" t="s">
        <v>515</v>
      </c>
    </row>
    <row r="847" spans="1:5" x14ac:dyDescent="0.35">
      <c r="A847" s="2" t="s">
        <v>3312</v>
      </c>
      <c r="B847">
        <v>0</v>
      </c>
      <c r="C847" t="s">
        <v>523</v>
      </c>
      <c r="D847" t="s">
        <v>506</v>
      </c>
      <c r="E847" t="s">
        <v>515</v>
      </c>
    </row>
    <row r="848" spans="1:5" x14ac:dyDescent="0.35">
      <c r="A848" s="2" t="s">
        <v>3313</v>
      </c>
      <c r="B848">
        <v>0</v>
      </c>
      <c r="C848" t="s">
        <v>523</v>
      </c>
      <c r="D848" t="s">
        <v>506</v>
      </c>
      <c r="E848" t="s">
        <v>515</v>
      </c>
    </row>
    <row r="849" spans="1:5" x14ac:dyDescent="0.35">
      <c r="A849" s="2" t="s">
        <v>3457</v>
      </c>
      <c r="B849">
        <v>0</v>
      </c>
      <c r="C849" t="s">
        <v>523</v>
      </c>
      <c r="D849" t="s">
        <v>506</v>
      </c>
      <c r="E849" t="s">
        <v>515</v>
      </c>
    </row>
    <row r="850" spans="1:5" x14ac:dyDescent="0.35">
      <c r="A850" s="2" t="s">
        <v>3314</v>
      </c>
      <c r="B850">
        <v>0</v>
      </c>
      <c r="C850" t="s">
        <v>523</v>
      </c>
      <c r="D850" t="s">
        <v>506</v>
      </c>
      <c r="E850" t="s">
        <v>515</v>
      </c>
    </row>
    <row r="851" spans="1:5" x14ac:dyDescent="0.35">
      <c r="A851" s="2" t="s">
        <v>3315</v>
      </c>
      <c r="B851">
        <v>0</v>
      </c>
      <c r="C851" t="s">
        <v>523</v>
      </c>
      <c r="D851" t="s">
        <v>506</v>
      </c>
      <c r="E851" t="s">
        <v>515</v>
      </c>
    </row>
    <row r="852" spans="1:5" x14ac:dyDescent="0.35">
      <c r="A852" s="2" t="s">
        <v>3316</v>
      </c>
      <c r="B852">
        <v>0</v>
      </c>
      <c r="C852" t="s">
        <v>523</v>
      </c>
      <c r="D852" t="s">
        <v>506</v>
      </c>
      <c r="E852" t="s">
        <v>515</v>
      </c>
    </row>
    <row r="853" spans="1:5" x14ac:dyDescent="0.35">
      <c r="A853" s="2" t="s">
        <v>3317</v>
      </c>
      <c r="B853">
        <v>0</v>
      </c>
      <c r="C853" t="s">
        <v>523</v>
      </c>
      <c r="D853" t="s">
        <v>506</v>
      </c>
      <c r="E853" t="s">
        <v>515</v>
      </c>
    </row>
    <row r="854" spans="1:5" x14ac:dyDescent="0.35">
      <c r="A854" s="2" t="s">
        <v>3318</v>
      </c>
      <c r="B854">
        <v>0</v>
      </c>
      <c r="C854" t="s">
        <v>523</v>
      </c>
      <c r="D854" t="s">
        <v>506</v>
      </c>
      <c r="E854" t="s">
        <v>515</v>
      </c>
    </row>
    <row r="855" spans="1:5" x14ac:dyDescent="0.35">
      <c r="A855" s="2" t="s">
        <v>3319</v>
      </c>
      <c r="B855">
        <v>0</v>
      </c>
      <c r="C855" t="s">
        <v>523</v>
      </c>
      <c r="D855" t="s">
        <v>506</v>
      </c>
      <c r="E855" t="s">
        <v>515</v>
      </c>
    </row>
    <row r="856" spans="1:5" x14ac:dyDescent="0.35">
      <c r="A856" s="2" t="s">
        <v>3320</v>
      </c>
      <c r="B856">
        <v>0</v>
      </c>
      <c r="C856" t="s">
        <v>523</v>
      </c>
      <c r="D856" t="s">
        <v>506</v>
      </c>
      <c r="E856" t="s">
        <v>515</v>
      </c>
    </row>
    <row r="857" spans="1:5" x14ac:dyDescent="0.35">
      <c r="A857" s="2" t="s">
        <v>3452</v>
      </c>
      <c r="B857">
        <v>0</v>
      </c>
      <c r="C857" t="s">
        <v>523</v>
      </c>
      <c r="D857" t="s">
        <v>506</v>
      </c>
      <c r="E857" t="s">
        <v>515</v>
      </c>
    </row>
    <row r="858" spans="1:5" x14ac:dyDescent="0.35">
      <c r="A858" s="2" t="s">
        <v>3453</v>
      </c>
      <c r="B858">
        <v>0</v>
      </c>
      <c r="C858" t="s">
        <v>523</v>
      </c>
      <c r="D858" t="s">
        <v>506</v>
      </c>
      <c r="E858" t="s">
        <v>515</v>
      </c>
    </row>
    <row r="859" spans="1:5" x14ac:dyDescent="0.35">
      <c r="A859" s="2" t="s">
        <v>3476</v>
      </c>
      <c r="B859">
        <v>0</v>
      </c>
      <c r="C859" t="s">
        <v>523</v>
      </c>
      <c r="D859" t="s">
        <v>506</v>
      </c>
      <c r="E859" t="s">
        <v>515</v>
      </c>
    </row>
    <row r="860" spans="1:5" x14ac:dyDescent="0.35">
      <c r="A860" s="2" t="s">
        <v>3458</v>
      </c>
      <c r="B860">
        <v>0</v>
      </c>
      <c r="C860" t="s">
        <v>523</v>
      </c>
      <c r="D860" t="s">
        <v>506</v>
      </c>
      <c r="E860" t="s">
        <v>515</v>
      </c>
    </row>
    <row r="861" spans="1:5" x14ac:dyDescent="0.35">
      <c r="A861" s="2" t="s">
        <v>3321</v>
      </c>
      <c r="B861">
        <v>0</v>
      </c>
      <c r="C861" t="s">
        <v>523</v>
      </c>
      <c r="D861" t="s">
        <v>506</v>
      </c>
      <c r="E861" t="s">
        <v>515</v>
      </c>
    </row>
    <row r="862" spans="1:5" x14ac:dyDescent="0.35">
      <c r="A862" s="2" t="s">
        <v>3459</v>
      </c>
      <c r="B862">
        <v>0</v>
      </c>
      <c r="C862" t="s">
        <v>523</v>
      </c>
      <c r="D862" t="s">
        <v>506</v>
      </c>
      <c r="E862" t="s">
        <v>515</v>
      </c>
    </row>
    <row r="863" spans="1:5" x14ac:dyDescent="0.35">
      <c r="A863" t="s">
        <v>3322</v>
      </c>
      <c r="B863">
        <v>0</v>
      </c>
      <c r="C863" t="s">
        <v>523</v>
      </c>
      <c r="D863" t="s">
        <v>506</v>
      </c>
      <c r="E863" t="s">
        <v>515</v>
      </c>
    </row>
    <row r="864" spans="1:5" x14ac:dyDescent="0.35">
      <c r="A864" t="s">
        <v>3323</v>
      </c>
      <c r="B864">
        <v>0</v>
      </c>
      <c r="C864" t="s">
        <v>523</v>
      </c>
      <c r="D864" t="s">
        <v>506</v>
      </c>
      <c r="E864" t="s">
        <v>515</v>
      </c>
    </row>
    <row r="865" spans="1:5" x14ac:dyDescent="0.35">
      <c r="A865" t="s">
        <v>3324</v>
      </c>
      <c r="B865">
        <v>0</v>
      </c>
      <c r="C865" t="s">
        <v>523</v>
      </c>
      <c r="D865" t="s">
        <v>506</v>
      </c>
      <c r="E865" t="s">
        <v>515</v>
      </c>
    </row>
    <row r="866" spans="1:5" x14ac:dyDescent="0.35">
      <c r="A866" s="2" t="s">
        <v>3325</v>
      </c>
      <c r="B866">
        <v>0</v>
      </c>
      <c r="C866" t="s">
        <v>523</v>
      </c>
      <c r="D866" t="s">
        <v>506</v>
      </c>
      <c r="E866" t="s">
        <v>515</v>
      </c>
    </row>
    <row r="867" spans="1:5" x14ac:dyDescent="0.35">
      <c r="A867" t="s">
        <v>3326</v>
      </c>
      <c r="B867">
        <v>0</v>
      </c>
      <c r="C867" t="s">
        <v>523</v>
      </c>
      <c r="D867" t="s">
        <v>506</v>
      </c>
      <c r="E867" t="s">
        <v>515</v>
      </c>
    </row>
    <row r="868" spans="1:5" x14ac:dyDescent="0.35">
      <c r="A868" s="2" t="s">
        <v>3327</v>
      </c>
      <c r="B868">
        <v>0</v>
      </c>
      <c r="C868" t="s">
        <v>523</v>
      </c>
      <c r="D868" t="s">
        <v>506</v>
      </c>
      <c r="E868" t="s">
        <v>515</v>
      </c>
    </row>
    <row r="869" spans="1:5" x14ac:dyDescent="0.35">
      <c r="A869" s="2" t="s">
        <v>3328</v>
      </c>
      <c r="B869">
        <v>0</v>
      </c>
      <c r="C869" t="s">
        <v>523</v>
      </c>
      <c r="D869" t="s">
        <v>506</v>
      </c>
      <c r="E869" t="s">
        <v>515</v>
      </c>
    </row>
    <row r="870" spans="1:5" x14ac:dyDescent="0.35">
      <c r="A870" s="2" t="s">
        <v>3329</v>
      </c>
      <c r="B870">
        <v>0</v>
      </c>
      <c r="C870" t="s">
        <v>524</v>
      </c>
      <c r="D870" t="s">
        <v>509</v>
      </c>
      <c r="E870" t="s">
        <v>515</v>
      </c>
    </row>
    <row r="871" spans="1:5" x14ac:dyDescent="0.35">
      <c r="A871" s="2" t="s">
        <v>3460</v>
      </c>
      <c r="B871">
        <v>0</v>
      </c>
      <c r="C871" t="s">
        <v>523</v>
      </c>
      <c r="D871" t="s">
        <v>506</v>
      </c>
      <c r="E871" t="s">
        <v>515</v>
      </c>
    </row>
    <row r="872" spans="1:5" x14ac:dyDescent="0.35">
      <c r="A872" s="2" t="s">
        <v>3330</v>
      </c>
      <c r="B872">
        <v>0</v>
      </c>
      <c r="C872" t="s">
        <v>523</v>
      </c>
      <c r="D872" t="s">
        <v>506</v>
      </c>
      <c r="E872" t="s">
        <v>515</v>
      </c>
    </row>
    <row r="873" spans="1:5" x14ac:dyDescent="0.35">
      <c r="A873" s="2" t="s">
        <v>3331</v>
      </c>
      <c r="B873">
        <v>0</v>
      </c>
      <c r="C873" t="s">
        <v>523</v>
      </c>
      <c r="D873" t="s">
        <v>506</v>
      </c>
      <c r="E873" t="s">
        <v>515</v>
      </c>
    </row>
    <row r="874" spans="1:5" x14ac:dyDescent="0.35">
      <c r="A874" s="2" t="s">
        <v>3332</v>
      </c>
      <c r="B874">
        <v>0</v>
      </c>
      <c r="C874" t="s">
        <v>523</v>
      </c>
      <c r="D874" t="s">
        <v>506</v>
      </c>
      <c r="E874" t="s">
        <v>515</v>
      </c>
    </row>
    <row r="875" spans="1:5" x14ac:dyDescent="0.35">
      <c r="A875" s="2" t="s">
        <v>3333</v>
      </c>
      <c r="B875">
        <v>0</v>
      </c>
      <c r="C875" t="s">
        <v>523</v>
      </c>
      <c r="D875" t="s">
        <v>506</v>
      </c>
      <c r="E875" t="s">
        <v>515</v>
      </c>
    </row>
    <row r="876" spans="1:5" x14ac:dyDescent="0.35">
      <c r="A876" s="2" t="s">
        <v>3334</v>
      </c>
      <c r="B876">
        <v>0</v>
      </c>
      <c r="C876" t="s">
        <v>523</v>
      </c>
      <c r="D876" t="s">
        <v>506</v>
      </c>
      <c r="E876" t="s">
        <v>515</v>
      </c>
    </row>
    <row r="877" spans="1:5" x14ac:dyDescent="0.35">
      <c r="A877" s="2" t="s">
        <v>3335</v>
      </c>
      <c r="B877">
        <v>0</v>
      </c>
      <c r="C877" t="s">
        <v>523</v>
      </c>
      <c r="D877" t="s">
        <v>506</v>
      </c>
      <c r="E877" t="s">
        <v>515</v>
      </c>
    </row>
    <row r="878" spans="1:5" x14ac:dyDescent="0.35">
      <c r="A878" s="2" t="s">
        <v>3336</v>
      </c>
      <c r="B878">
        <v>0</v>
      </c>
      <c r="C878" t="s">
        <v>523</v>
      </c>
      <c r="D878" t="s">
        <v>506</v>
      </c>
      <c r="E878" t="s">
        <v>515</v>
      </c>
    </row>
    <row r="879" spans="1:5" x14ac:dyDescent="0.35">
      <c r="A879" s="2" t="s">
        <v>3337</v>
      </c>
      <c r="B879">
        <v>0</v>
      </c>
      <c r="C879" t="s">
        <v>523</v>
      </c>
      <c r="D879" t="s">
        <v>506</v>
      </c>
      <c r="E879" t="s">
        <v>515</v>
      </c>
    </row>
    <row r="880" spans="1:5" x14ac:dyDescent="0.35">
      <c r="A880" s="2" t="s">
        <v>3338</v>
      </c>
      <c r="B880">
        <v>0</v>
      </c>
      <c r="C880" t="s">
        <v>523</v>
      </c>
      <c r="D880" t="s">
        <v>506</v>
      </c>
      <c r="E880" t="s">
        <v>515</v>
      </c>
    </row>
    <row r="881" spans="1:5" x14ac:dyDescent="0.35">
      <c r="A881" t="s">
        <v>3339</v>
      </c>
      <c r="B881">
        <v>0</v>
      </c>
      <c r="C881" t="s">
        <v>523</v>
      </c>
      <c r="D881" t="s">
        <v>513</v>
      </c>
      <c r="E881" t="s">
        <v>515</v>
      </c>
    </row>
    <row r="882" spans="1:5" x14ac:dyDescent="0.35">
      <c r="A882" s="2" t="s">
        <v>3340</v>
      </c>
      <c r="B882">
        <v>0</v>
      </c>
      <c r="C882" t="s">
        <v>523</v>
      </c>
      <c r="D882" t="s">
        <v>513</v>
      </c>
      <c r="E882" t="s">
        <v>515</v>
      </c>
    </row>
    <row r="883" spans="1:5" x14ac:dyDescent="0.35">
      <c r="A883" s="2" t="s">
        <v>3341</v>
      </c>
      <c r="B883">
        <v>0</v>
      </c>
      <c r="C883" t="s">
        <v>523</v>
      </c>
      <c r="D883" t="s">
        <v>513</v>
      </c>
      <c r="E883" t="s">
        <v>515</v>
      </c>
    </row>
    <row r="884" spans="1:5" x14ac:dyDescent="0.35">
      <c r="A884" t="s">
        <v>3342</v>
      </c>
      <c r="B884">
        <v>0</v>
      </c>
      <c r="C884" t="s">
        <v>523</v>
      </c>
      <c r="D884" t="s">
        <v>513</v>
      </c>
      <c r="E884" t="s">
        <v>515</v>
      </c>
    </row>
    <row r="885" spans="1:5" x14ac:dyDescent="0.35">
      <c r="A885" s="2" t="s">
        <v>3343</v>
      </c>
      <c r="B885">
        <v>0</v>
      </c>
      <c r="C885" t="s">
        <v>523</v>
      </c>
      <c r="D885" t="s">
        <v>513</v>
      </c>
      <c r="E885" t="s">
        <v>515</v>
      </c>
    </row>
    <row r="886" spans="1:5" x14ac:dyDescent="0.35">
      <c r="A886" s="2" t="s">
        <v>3344</v>
      </c>
      <c r="B886">
        <v>0</v>
      </c>
      <c r="C886" t="s">
        <v>523</v>
      </c>
      <c r="D886" t="s">
        <v>513</v>
      </c>
      <c r="E886" t="s">
        <v>515</v>
      </c>
    </row>
    <row r="887" spans="1:5" x14ac:dyDescent="0.35">
      <c r="A887" s="2" t="s">
        <v>3345</v>
      </c>
      <c r="B887">
        <v>0</v>
      </c>
      <c r="C887" t="s">
        <v>523</v>
      </c>
      <c r="D887" t="s">
        <v>513</v>
      </c>
      <c r="E887" t="s">
        <v>517</v>
      </c>
    </row>
    <row r="888" spans="1:5" x14ac:dyDescent="0.35">
      <c r="A888" t="s">
        <v>3346</v>
      </c>
      <c r="B888">
        <v>0</v>
      </c>
      <c r="C888" t="s">
        <v>523</v>
      </c>
      <c r="D888" t="s">
        <v>506</v>
      </c>
      <c r="E888" t="s">
        <v>515</v>
      </c>
    </row>
    <row r="889" spans="1:5" x14ac:dyDescent="0.35">
      <c r="A889" s="2" t="s">
        <v>3347</v>
      </c>
      <c r="B889">
        <v>0</v>
      </c>
      <c r="C889" t="s">
        <v>523</v>
      </c>
      <c r="D889" t="s">
        <v>506</v>
      </c>
      <c r="E889" t="s">
        <v>515</v>
      </c>
    </row>
    <row r="890" spans="1:5" x14ac:dyDescent="0.35">
      <c r="A890" s="2" t="s">
        <v>3348</v>
      </c>
      <c r="B890">
        <v>0</v>
      </c>
      <c r="C890" t="s">
        <v>523</v>
      </c>
      <c r="D890" t="s">
        <v>513</v>
      </c>
      <c r="E890" t="s">
        <v>515</v>
      </c>
    </row>
    <row r="891" spans="1:5" x14ac:dyDescent="0.35">
      <c r="A891" s="2" t="s">
        <v>3349</v>
      </c>
      <c r="B891">
        <v>0</v>
      </c>
      <c r="C891" t="s">
        <v>523</v>
      </c>
      <c r="D891" t="s">
        <v>506</v>
      </c>
      <c r="E891" t="s">
        <v>515</v>
      </c>
    </row>
    <row r="892" spans="1:5" x14ac:dyDescent="0.35">
      <c r="A892" t="s">
        <v>3691</v>
      </c>
      <c r="B892">
        <v>0</v>
      </c>
      <c r="C892" t="s">
        <v>523</v>
      </c>
      <c r="D892" t="s">
        <v>510</v>
      </c>
      <c r="E892" t="s">
        <v>515</v>
      </c>
    </row>
    <row r="893" spans="1:5" x14ac:dyDescent="0.35">
      <c r="A893" t="s">
        <v>3350</v>
      </c>
      <c r="B893">
        <v>0</v>
      </c>
      <c r="C893" t="s">
        <v>523</v>
      </c>
      <c r="D893" t="s">
        <v>513</v>
      </c>
      <c r="E893" t="s">
        <v>515</v>
      </c>
    </row>
    <row r="894" spans="1:5" x14ac:dyDescent="0.35">
      <c r="A894" t="s">
        <v>3690</v>
      </c>
      <c r="B894">
        <v>0</v>
      </c>
      <c r="C894" t="s">
        <v>523</v>
      </c>
      <c r="D894" t="s">
        <v>510</v>
      </c>
      <c r="E894" t="s">
        <v>515</v>
      </c>
    </row>
    <row r="895" spans="1:5" x14ac:dyDescent="0.35">
      <c r="A895" s="2" t="s">
        <v>3351</v>
      </c>
      <c r="B895">
        <v>0</v>
      </c>
      <c r="C895" t="s">
        <v>524</v>
      </c>
      <c r="D895" t="s">
        <v>510</v>
      </c>
      <c r="E895" t="s">
        <v>515</v>
      </c>
    </row>
    <row r="896" spans="1:5" x14ac:dyDescent="0.35">
      <c r="A896" t="s">
        <v>3352</v>
      </c>
      <c r="B896">
        <v>0</v>
      </c>
      <c r="C896" t="s">
        <v>524</v>
      </c>
      <c r="D896" t="s">
        <v>510</v>
      </c>
      <c r="E896" t="s">
        <v>515</v>
      </c>
    </row>
    <row r="897" spans="1:5" x14ac:dyDescent="0.35">
      <c r="A897" s="2" t="s">
        <v>3353</v>
      </c>
      <c r="B897">
        <v>0</v>
      </c>
      <c r="C897" t="s">
        <v>524</v>
      </c>
      <c r="D897" t="s">
        <v>510</v>
      </c>
      <c r="E897" t="s">
        <v>515</v>
      </c>
    </row>
    <row r="898" spans="1:5" x14ac:dyDescent="0.35">
      <c r="A898" s="2" t="s">
        <v>3354</v>
      </c>
      <c r="B898">
        <v>0</v>
      </c>
      <c r="C898" t="s">
        <v>524</v>
      </c>
      <c r="D898" t="s">
        <v>510</v>
      </c>
      <c r="E898" t="s">
        <v>515</v>
      </c>
    </row>
    <row r="899" spans="1:5" x14ac:dyDescent="0.35">
      <c r="A899" s="2" t="s">
        <v>3355</v>
      </c>
      <c r="B899">
        <v>0</v>
      </c>
      <c r="C899" t="s">
        <v>524</v>
      </c>
      <c r="D899" t="s">
        <v>510</v>
      </c>
      <c r="E899" t="s">
        <v>515</v>
      </c>
    </row>
    <row r="900" spans="1:5" x14ac:dyDescent="0.35">
      <c r="A900" t="s">
        <v>3356</v>
      </c>
      <c r="B900">
        <v>0</v>
      </c>
      <c r="C900" t="s">
        <v>524</v>
      </c>
      <c r="D900" t="s">
        <v>510</v>
      </c>
      <c r="E900" t="s">
        <v>515</v>
      </c>
    </row>
    <row r="901" spans="1:5" x14ac:dyDescent="0.35">
      <c r="A901" s="2" t="s">
        <v>3357</v>
      </c>
      <c r="B901">
        <v>0</v>
      </c>
      <c r="C901" t="s">
        <v>524</v>
      </c>
      <c r="D901" t="s">
        <v>510</v>
      </c>
      <c r="E901" t="s">
        <v>515</v>
      </c>
    </row>
    <row r="902" spans="1:5" x14ac:dyDescent="0.35">
      <c r="A902" s="2" t="s">
        <v>3358</v>
      </c>
      <c r="B902">
        <v>0</v>
      </c>
      <c r="C902" t="s">
        <v>524</v>
      </c>
      <c r="D902" t="s">
        <v>510</v>
      </c>
      <c r="E902" t="s">
        <v>515</v>
      </c>
    </row>
    <row r="903" spans="1:5" x14ac:dyDescent="0.35">
      <c r="A903" s="2" t="s">
        <v>3359</v>
      </c>
      <c r="B903">
        <v>0</v>
      </c>
      <c r="C903" t="s">
        <v>524</v>
      </c>
      <c r="D903" t="s">
        <v>510</v>
      </c>
      <c r="E903" t="s">
        <v>515</v>
      </c>
    </row>
    <row r="904" spans="1:5" x14ac:dyDescent="0.35">
      <c r="A904" s="2" t="s">
        <v>3360</v>
      </c>
      <c r="B904">
        <v>0</v>
      </c>
      <c r="C904" t="s">
        <v>524</v>
      </c>
      <c r="D904" t="s">
        <v>510</v>
      </c>
      <c r="E904" t="s">
        <v>515</v>
      </c>
    </row>
    <row r="905" spans="1:5" x14ac:dyDescent="0.35">
      <c r="A905" s="2" t="s">
        <v>3361</v>
      </c>
      <c r="B905">
        <v>0</v>
      </c>
      <c r="C905" t="s">
        <v>524</v>
      </c>
      <c r="D905" t="s">
        <v>510</v>
      </c>
      <c r="E905" t="s">
        <v>515</v>
      </c>
    </row>
    <row r="906" spans="1:5" x14ac:dyDescent="0.35">
      <c r="A906" s="2" t="s">
        <v>3362</v>
      </c>
      <c r="B906">
        <v>0</v>
      </c>
      <c r="C906" t="s">
        <v>524</v>
      </c>
      <c r="D906" t="s">
        <v>510</v>
      </c>
      <c r="E906" t="s">
        <v>515</v>
      </c>
    </row>
    <row r="907" spans="1:5" x14ac:dyDescent="0.35">
      <c r="A907" s="2" t="s">
        <v>3363</v>
      </c>
      <c r="B907">
        <v>0</v>
      </c>
      <c r="C907" t="s">
        <v>524</v>
      </c>
      <c r="D907" t="s">
        <v>510</v>
      </c>
      <c r="E907" t="s">
        <v>515</v>
      </c>
    </row>
    <row r="908" spans="1:5" x14ac:dyDescent="0.35">
      <c r="A908" s="2" t="s">
        <v>3364</v>
      </c>
      <c r="B908">
        <v>0</v>
      </c>
      <c r="C908" t="s">
        <v>524</v>
      </c>
      <c r="D908" t="s">
        <v>510</v>
      </c>
      <c r="E908" t="s">
        <v>515</v>
      </c>
    </row>
    <row r="909" spans="1:5" x14ac:dyDescent="0.35">
      <c r="A909" s="2" t="s">
        <v>3365</v>
      </c>
      <c r="B909">
        <v>0</v>
      </c>
      <c r="C909" t="s">
        <v>524</v>
      </c>
      <c r="D909" t="s">
        <v>510</v>
      </c>
      <c r="E909" t="s">
        <v>515</v>
      </c>
    </row>
    <row r="910" spans="1:5" x14ac:dyDescent="0.35">
      <c r="A910" s="2" t="s">
        <v>1832</v>
      </c>
      <c r="B910">
        <v>0</v>
      </c>
      <c r="C910" t="s">
        <v>523</v>
      </c>
      <c r="D910" t="s">
        <v>512</v>
      </c>
      <c r="E910" t="s">
        <v>1833</v>
      </c>
    </row>
    <row r="911" spans="1:5" x14ac:dyDescent="0.35">
      <c r="A911" s="2" t="s">
        <v>1834</v>
      </c>
      <c r="B911">
        <v>0</v>
      </c>
      <c r="C911" t="s">
        <v>523</v>
      </c>
      <c r="D911" t="s">
        <v>512</v>
      </c>
      <c r="E911" t="s">
        <v>1833</v>
      </c>
    </row>
    <row r="912" spans="1:5" x14ac:dyDescent="0.35">
      <c r="A912" s="2" t="s">
        <v>1835</v>
      </c>
      <c r="B912">
        <v>0</v>
      </c>
      <c r="C912" t="s">
        <v>523</v>
      </c>
      <c r="D912" t="s">
        <v>512</v>
      </c>
      <c r="E912" t="s">
        <v>1833</v>
      </c>
    </row>
    <row r="913" spans="1:5" x14ac:dyDescent="0.35">
      <c r="A913" s="2" t="s">
        <v>1836</v>
      </c>
      <c r="B913">
        <v>0</v>
      </c>
      <c r="C913" t="s">
        <v>523</v>
      </c>
      <c r="D913" t="s">
        <v>512</v>
      </c>
      <c r="E913" t="s">
        <v>1833</v>
      </c>
    </row>
    <row r="914" spans="1:5" x14ac:dyDescent="0.35">
      <c r="A914" s="2" t="s">
        <v>1839</v>
      </c>
      <c r="B914">
        <v>0</v>
      </c>
      <c r="C914" t="s">
        <v>523</v>
      </c>
      <c r="D914" t="s">
        <v>512</v>
      </c>
      <c r="E914" t="s">
        <v>1833</v>
      </c>
    </row>
    <row r="915" spans="1:5" x14ac:dyDescent="0.35">
      <c r="A915" s="2" t="s">
        <v>1840</v>
      </c>
      <c r="B915">
        <v>0</v>
      </c>
      <c r="C915" t="s">
        <v>523</v>
      </c>
      <c r="D915" t="s">
        <v>512</v>
      </c>
      <c r="E915" t="s">
        <v>1833</v>
      </c>
    </row>
    <row r="916" spans="1:5" x14ac:dyDescent="0.35">
      <c r="A916" s="2" t="s">
        <v>1843</v>
      </c>
      <c r="B916">
        <v>0</v>
      </c>
      <c r="C916" t="s">
        <v>523</v>
      </c>
      <c r="D916" t="s">
        <v>512</v>
      </c>
      <c r="E916" t="s">
        <v>515</v>
      </c>
    </row>
    <row r="917" spans="1:5" x14ac:dyDescent="0.35">
      <c r="A917" s="2" t="s">
        <v>1844</v>
      </c>
      <c r="B917">
        <v>0</v>
      </c>
      <c r="C917" t="s">
        <v>523</v>
      </c>
      <c r="D917" t="s">
        <v>512</v>
      </c>
      <c r="E917" t="s">
        <v>1833</v>
      </c>
    </row>
    <row r="918" spans="1:5" x14ac:dyDescent="0.35">
      <c r="A918" s="2" t="s">
        <v>1846</v>
      </c>
      <c r="B918">
        <v>0</v>
      </c>
      <c r="C918" t="s">
        <v>523</v>
      </c>
      <c r="D918" t="s">
        <v>512</v>
      </c>
      <c r="E918" t="s">
        <v>1833</v>
      </c>
    </row>
    <row r="919" spans="1:5" x14ac:dyDescent="0.35">
      <c r="A919" s="2" t="s">
        <v>1848</v>
      </c>
      <c r="B919">
        <v>0</v>
      </c>
      <c r="C919" t="s">
        <v>523</v>
      </c>
      <c r="D919" t="s">
        <v>512</v>
      </c>
      <c r="E919" t="s">
        <v>1833</v>
      </c>
    </row>
    <row r="920" spans="1:5" x14ac:dyDescent="0.35">
      <c r="A920" s="2" t="s">
        <v>1849</v>
      </c>
      <c r="B920">
        <v>0</v>
      </c>
      <c r="C920" t="s">
        <v>523</v>
      </c>
      <c r="D920" t="s">
        <v>512</v>
      </c>
      <c r="E920" t="s">
        <v>1833</v>
      </c>
    </row>
    <row r="921" spans="1:5" x14ac:dyDescent="0.35">
      <c r="A921" s="2" t="s">
        <v>1851</v>
      </c>
      <c r="B921">
        <v>0</v>
      </c>
      <c r="C921" t="s">
        <v>523</v>
      </c>
      <c r="D921" t="s">
        <v>512</v>
      </c>
      <c r="E921" t="s">
        <v>1833</v>
      </c>
    </row>
    <row r="922" spans="1:5" x14ac:dyDescent="0.35">
      <c r="A922" s="2" t="s">
        <v>1853</v>
      </c>
      <c r="B922">
        <v>0</v>
      </c>
      <c r="C922" t="s">
        <v>523</v>
      </c>
      <c r="D922" t="s">
        <v>512</v>
      </c>
      <c r="E922" t="s">
        <v>1833</v>
      </c>
    </row>
    <row r="923" spans="1:5" x14ac:dyDescent="0.35">
      <c r="A923" s="2" t="s">
        <v>1855</v>
      </c>
      <c r="B923">
        <v>0</v>
      </c>
      <c r="C923" t="s">
        <v>523</v>
      </c>
      <c r="D923" t="s">
        <v>512</v>
      </c>
      <c r="E923" t="s">
        <v>1833</v>
      </c>
    </row>
    <row r="924" spans="1:5" x14ac:dyDescent="0.35">
      <c r="A924" s="2" t="s">
        <v>1856</v>
      </c>
      <c r="B924">
        <v>0</v>
      </c>
      <c r="C924" t="s">
        <v>523</v>
      </c>
      <c r="D924" t="s">
        <v>512</v>
      </c>
      <c r="E924" t="s">
        <v>1833</v>
      </c>
    </row>
    <row r="925" spans="1:5" x14ac:dyDescent="0.35">
      <c r="A925" s="2" t="s">
        <v>1860</v>
      </c>
      <c r="B925">
        <v>0</v>
      </c>
      <c r="C925" t="s">
        <v>523</v>
      </c>
      <c r="D925" t="s">
        <v>512</v>
      </c>
      <c r="E925" t="s">
        <v>1833</v>
      </c>
    </row>
    <row r="926" spans="1:5" x14ac:dyDescent="0.35">
      <c r="A926" s="2" t="s">
        <v>1862</v>
      </c>
      <c r="B926">
        <v>0</v>
      </c>
      <c r="C926" t="s">
        <v>523</v>
      </c>
      <c r="D926" t="s">
        <v>512</v>
      </c>
      <c r="E926" t="s">
        <v>1833</v>
      </c>
    </row>
    <row r="927" spans="1:5" x14ac:dyDescent="0.35">
      <c r="A927" s="2" t="s">
        <v>1863</v>
      </c>
      <c r="B927">
        <v>0</v>
      </c>
      <c r="C927" t="s">
        <v>523</v>
      </c>
      <c r="D927" t="s">
        <v>512</v>
      </c>
      <c r="E927" t="s">
        <v>1833</v>
      </c>
    </row>
    <row r="928" spans="1:5" x14ac:dyDescent="0.35">
      <c r="A928" s="2" t="s">
        <v>1865</v>
      </c>
      <c r="B928">
        <v>0</v>
      </c>
      <c r="C928" t="s">
        <v>523</v>
      </c>
      <c r="D928" t="s">
        <v>512</v>
      </c>
      <c r="E928" t="s">
        <v>1833</v>
      </c>
    </row>
    <row r="929" spans="1:5" x14ac:dyDescent="0.35">
      <c r="A929" t="s">
        <v>1867</v>
      </c>
      <c r="B929">
        <v>0</v>
      </c>
      <c r="C929" t="s">
        <v>523</v>
      </c>
      <c r="D929" t="s">
        <v>512</v>
      </c>
      <c r="E929" t="s">
        <v>1833</v>
      </c>
    </row>
    <row r="930" spans="1:5" x14ac:dyDescent="0.35">
      <c r="A930" t="s">
        <v>1868</v>
      </c>
      <c r="B930">
        <v>0</v>
      </c>
      <c r="C930" t="s">
        <v>523</v>
      </c>
      <c r="D930" t="s">
        <v>512</v>
      </c>
      <c r="E930" t="s">
        <v>1833</v>
      </c>
    </row>
    <row r="931" spans="1:5" x14ac:dyDescent="0.35">
      <c r="A931" s="2" t="s">
        <v>1876</v>
      </c>
      <c r="B931">
        <v>0</v>
      </c>
      <c r="C931" t="s">
        <v>523</v>
      </c>
      <c r="D931" t="s">
        <v>512</v>
      </c>
      <c r="E931" t="s">
        <v>1833</v>
      </c>
    </row>
    <row r="932" spans="1:5" x14ac:dyDescent="0.35">
      <c r="A932" s="2" t="s">
        <v>1877</v>
      </c>
      <c r="B932">
        <v>0</v>
      </c>
      <c r="C932" t="s">
        <v>523</v>
      </c>
      <c r="D932" t="s">
        <v>512</v>
      </c>
      <c r="E932" t="s">
        <v>1833</v>
      </c>
    </row>
    <row r="933" spans="1:5" x14ac:dyDescent="0.35">
      <c r="A933" s="2" t="s">
        <v>1879</v>
      </c>
      <c r="B933">
        <v>0</v>
      </c>
      <c r="C933" t="s">
        <v>523</v>
      </c>
      <c r="D933" t="s">
        <v>512</v>
      </c>
      <c r="E933" t="s">
        <v>1833</v>
      </c>
    </row>
    <row r="934" spans="1:5" x14ac:dyDescent="0.35">
      <c r="A934" s="2" t="s">
        <v>3366</v>
      </c>
      <c r="B934">
        <v>0</v>
      </c>
      <c r="C934" t="s">
        <v>523</v>
      </c>
      <c r="D934" t="s">
        <v>506</v>
      </c>
      <c r="E934" t="s">
        <v>515</v>
      </c>
    </row>
    <row r="935" spans="1:5" x14ac:dyDescent="0.35">
      <c r="A935" s="2" t="s">
        <v>3240</v>
      </c>
      <c r="B935">
        <v>0</v>
      </c>
      <c r="C935" t="s">
        <v>523</v>
      </c>
      <c r="D935" t="s">
        <v>510</v>
      </c>
      <c r="E935" t="s">
        <v>515</v>
      </c>
    </row>
    <row r="936" spans="1:5" x14ac:dyDescent="0.35">
      <c r="A936" s="2" t="s">
        <v>3367</v>
      </c>
      <c r="B936">
        <v>0</v>
      </c>
      <c r="C936" t="s">
        <v>523</v>
      </c>
      <c r="D936" t="s">
        <v>510</v>
      </c>
      <c r="E936" t="s">
        <v>515</v>
      </c>
    </row>
    <row r="937" spans="1:5" x14ac:dyDescent="0.35">
      <c r="A937" s="2" t="s">
        <v>3368</v>
      </c>
      <c r="B937">
        <v>0</v>
      </c>
      <c r="C937" t="s">
        <v>523</v>
      </c>
      <c r="D937" t="s">
        <v>510</v>
      </c>
      <c r="E937" t="s">
        <v>515</v>
      </c>
    </row>
    <row r="938" spans="1:5" x14ac:dyDescent="0.35">
      <c r="A938" s="2" t="s">
        <v>3369</v>
      </c>
      <c r="B938">
        <v>0</v>
      </c>
      <c r="C938" t="s">
        <v>523</v>
      </c>
      <c r="D938" t="s">
        <v>510</v>
      </c>
      <c r="E938" t="s">
        <v>517</v>
      </c>
    </row>
    <row r="939" spans="1:5" x14ac:dyDescent="0.35">
      <c r="A939" s="2" t="s">
        <v>3370</v>
      </c>
      <c r="B939">
        <v>0</v>
      </c>
      <c r="C939" t="s">
        <v>523</v>
      </c>
      <c r="D939" t="s">
        <v>506</v>
      </c>
      <c r="E939" t="s">
        <v>515</v>
      </c>
    </row>
    <row r="940" spans="1:5" x14ac:dyDescent="0.35">
      <c r="A940" t="s">
        <v>3371</v>
      </c>
      <c r="B940">
        <v>0</v>
      </c>
      <c r="C940" t="s">
        <v>523</v>
      </c>
      <c r="D940" t="s">
        <v>510</v>
      </c>
      <c r="E940" t="s">
        <v>519</v>
      </c>
    </row>
    <row r="941" spans="1:5" x14ac:dyDescent="0.35">
      <c r="A941" t="s">
        <v>3372</v>
      </c>
      <c r="B941">
        <v>0</v>
      </c>
      <c r="C941" t="s">
        <v>524</v>
      </c>
      <c r="D941" t="s">
        <v>513</v>
      </c>
      <c r="E941" t="s">
        <v>519</v>
      </c>
    </row>
    <row r="942" spans="1:5" x14ac:dyDescent="0.35">
      <c r="A942" s="2" t="s">
        <v>3373</v>
      </c>
      <c r="B942">
        <v>0</v>
      </c>
      <c r="C942" t="s">
        <v>523</v>
      </c>
      <c r="D942" t="s">
        <v>506</v>
      </c>
      <c r="E942" t="s">
        <v>515</v>
      </c>
    </row>
    <row r="943" spans="1:5" x14ac:dyDescent="0.35">
      <c r="A943" s="2" t="s">
        <v>3374</v>
      </c>
      <c r="B943">
        <v>0</v>
      </c>
      <c r="C943" t="s">
        <v>523</v>
      </c>
      <c r="D943" t="s">
        <v>506</v>
      </c>
      <c r="E943" t="s">
        <v>515</v>
      </c>
    </row>
    <row r="944" spans="1:5" x14ac:dyDescent="0.35">
      <c r="A944" s="2" t="s">
        <v>3375</v>
      </c>
      <c r="B944">
        <v>0</v>
      </c>
      <c r="C944" t="s">
        <v>523</v>
      </c>
      <c r="D944" t="s">
        <v>506</v>
      </c>
      <c r="E944" t="s">
        <v>515</v>
      </c>
    </row>
    <row r="945" spans="1:5" x14ac:dyDescent="0.35">
      <c r="A945" s="2" t="s">
        <v>3376</v>
      </c>
      <c r="B945">
        <v>0</v>
      </c>
      <c r="C945" t="s">
        <v>523</v>
      </c>
      <c r="D945" t="s">
        <v>506</v>
      </c>
      <c r="E945" t="s">
        <v>515</v>
      </c>
    </row>
    <row r="946" spans="1:5" x14ac:dyDescent="0.35">
      <c r="A946" s="2" t="s">
        <v>3377</v>
      </c>
      <c r="B946">
        <v>0</v>
      </c>
      <c r="C946" t="s">
        <v>523</v>
      </c>
      <c r="D946" t="s">
        <v>506</v>
      </c>
      <c r="E946" t="s">
        <v>515</v>
      </c>
    </row>
    <row r="947" spans="1:5" x14ac:dyDescent="0.35">
      <c r="A947" s="2" t="s">
        <v>3378</v>
      </c>
      <c r="B947">
        <v>0</v>
      </c>
      <c r="C947" t="s">
        <v>523</v>
      </c>
      <c r="D947" t="s">
        <v>513</v>
      </c>
      <c r="E947" t="s">
        <v>520</v>
      </c>
    </row>
    <row r="948" spans="1:5" x14ac:dyDescent="0.35">
      <c r="A948" s="2" t="s">
        <v>3379</v>
      </c>
      <c r="B948">
        <v>0</v>
      </c>
      <c r="C948" t="s">
        <v>523</v>
      </c>
      <c r="D948" t="s">
        <v>513</v>
      </c>
      <c r="E948" t="s">
        <v>515</v>
      </c>
    </row>
    <row r="949" spans="1:5" x14ac:dyDescent="0.35">
      <c r="A949" s="2" t="s">
        <v>3380</v>
      </c>
      <c r="B949">
        <v>0</v>
      </c>
      <c r="C949" t="s">
        <v>523</v>
      </c>
      <c r="D949" t="s">
        <v>513</v>
      </c>
      <c r="E949" t="s">
        <v>515</v>
      </c>
    </row>
    <row r="950" spans="1:5" x14ac:dyDescent="0.35">
      <c r="A950" s="2" t="s">
        <v>3381</v>
      </c>
      <c r="B950">
        <v>0</v>
      </c>
      <c r="C950" t="s">
        <v>523</v>
      </c>
      <c r="D950" t="s">
        <v>506</v>
      </c>
      <c r="E950" t="s">
        <v>515</v>
      </c>
    </row>
    <row r="951" spans="1:5" x14ac:dyDescent="0.35">
      <c r="A951" s="2" t="s">
        <v>3382</v>
      </c>
      <c r="B951">
        <v>0</v>
      </c>
      <c r="C951" t="s">
        <v>523</v>
      </c>
      <c r="D951" t="s">
        <v>506</v>
      </c>
      <c r="E951" t="s">
        <v>515</v>
      </c>
    </row>
    <row r="952" spans="1:5" x14ac:dyDescent="0.35">
      <c r="A952" s="2" t="s">
        <v>3383</v>
      </c>
      <c r="B952">
        <v>0</v>
      </c>
      <c r="C952" t="s">
        <v>523</v>
      </c>
      <c r="D952" t="s">
        <v>506</v>
      </c>
      <c r="E952" t="s">
        <v>515</v>
      </c>
    </row>
    <row r="953" spans="1:5" x14ac:dyDescent="0.35">
      <c r="A953" s="2" t="s">
        <v>3384</v>
      </c>
      <c r="B953">
        <v>0</v>
      </c>
      <c r="C953" t="s">
        <v>523</v>
      </c>
      <c r="D953" t="s">
        <v>506</v>
      </c>
      <c r="E953" t="s">
        <v>515</v>
      </c>
    </row>
    <row r="954" spans="1:5" x14ac:dyDescent="0.35">
      <c r="A954" s="2" t="s">
        <v>3385</v>
      </c>
      <c r="B954">
        <v>0</v>
      </c>
      <c r="C954" t="s">
        <v>523</v>
      </c>
      <c r="D954" t="s">
        <v>506</v>
      </c>
      <c r="E954" t="s">
        <v>515</v>
      </c>
    </row>
    <row r="955" spans="1:5" x14ac:dyDescent="0.35">
      <c r="A955" s="2" t="s">
        <v>3386</v>
      </c>
      <c r="B955">
        <v>0</v>
      </c>
      <c r="C955" t="s">
        <v>523</v>
      </c>
      <c r="D955" t="s">
        <v>506</v>
      </c>
      <c r="E955" t="s">
        <v>515</v>
      </c>
    </row>
    <row r="956" spans="1:5" x14ac:dyDescent="0.35">
      <c r="A956" t="s">
        <v>3387</v>
      </c>
      <c r="B956">
        <v>0</v>
      </c>
      <c r="C956" t="s">
        <v>523</v>
      </c>
      <c r="D956" t="s">
        <v>506</v>
      </c>
      <c r="E956" t="s">
        <v>515</v>
      </c>
    </row>
    <row r="957" spans="1:5" x14ac:dyDescent="0.35">
      <c r="A957" s="2" t="s">
        <v>3477</v>
      </c>
      <c r="B957">
        <v>0</v>
      </c>
      <c r="C957" t="s">
        <v>523</v>
      </c>
      <c r="D957" t="s">
        <v>506</v>
      </c>
      <c r="E957" t="s">
        <v>515</v>
      </c>
    </row>
    <row r="958" spans="1:5" x14ac:dyDescent="0.35">
      <c r="A958" s="2" t="s">
        <v>3388</v>
      </c>
      <c r="B958">
        <v>0</v>
      </c>
      <c r="C958" t="s">
        <v>523</v>
      </c>
      <c r="D958" t="s">
        <v>513</v>
      </c>
      <c r="E958" t="s">
        <v>515</v>
      </c>
    </row>
    <row r="959" spans="1:5" x14ac:dyDescent="0.35">
      <c r="A959" s="2" t="s">
        <v>3389</v>
      </c>
      <c r="B959">
        <v>0</v>
      </c>
      <c r="C959" t="s">
        <v>523</v>
      </c>
      <c r="D959" t="s">
        <v>513</v>
      </c>
      <c r="E959" t="s">
        <v>515</v>
      </c>
    </row>
    <row r="960" spans="1:5" x14ac:dyDescent="0.35">
      <c r="A960" s="2" t="s">
        <v>3390</v>
      </c>
      <c r="B960">
        <v>0</v>
      </c>
      <c r="C960" t="s">
        <v>523</v>
      </c>
      <c r="D960" t="s">
        <v>513</v>
      </c>
      <c r="E960" t="s">
        <v>517</v>
      </c>
    </row>
    <row r="961" spans="1:5" x14ac:dyDescent="0.35">
      <c r="A961" s="2" t="s">
        <v>3391</v>
      </c>
      <c r="B961">
        <v>0</v>
      </c>
      <c r="C961" t="s">
        <v>523</v>
      </c>
      <c r="D961" t="s">
        <v>506</v>
      </c>
      <c r="E961" t="s">
        <v>515</v>
      </c>
    </row>
    <row r="962" spans="1:5" x14ac:dyDescent="0.35">
      <c r="A962" s="2" t="s">
        <v>3392</v>
      </c>
      <c r="B962">
        <v>0</v>
      </c>
      <c r="C962" t="s">
        <v>523</v>
      </c>
      <c r="D962" t="s">
        <v>510</v>
      </c>
      <c r="E962" t="s">
        <v>515</v>
      </c>
    </row>
    <row r="963" spans="1:5" x14ac:dyDescent="0.35">
      <c r="A963" s="2" t="s">
        <v>1915</v>
      </c>
      <c r="B963">
        <v>0</v>
      </c>
      <c r="C963" t="s">
        <v>523</v>
      </c>
      <c r="D963" t="s">
        <v>512</v>
      </c>
      <c r="E963" t="s">
        <v>1833</v>
      </c>
    </row>
    <row r="964" spans="1:5" x14ac:dyDescent="0.35">
      <c r="A964" s="2" t="s">
        <v>1916</v>
      </c>
      <c r="B964">
        <v>0</v>
      </c>
      <c r="C964" t="s">
        <v>523</v>
      </c>
      <c r="D964" t="s">
        <v>512</v>
      </c>
      <c r="E964" t="s">
        <v>1833</v>
      </c>
    </row>
    <row r="965" spans="1:5" x14ac:dyDescent="0.35">
      <c r="A965" s="2" t="s">
        <v>3393</v>
      </c>
      <c r="B965">
        <v>0</v>
      </c>
      <c r="C965" t="s">
        <v>523</v>
      </c>
      <c r="D965" t="s">
        <v>513</v>
      </c>
      <c r="E965" t="s">
        <v>515</v>
      </c>
    </row>
    <row r="966" spans="1:5" x14ac:dyDescent="0.35">
      <c r="A966" s="2" t="s">
        <v>3394</v>
      </c>
      <c r="B966">
        <v>0</v>
      </c>
      <c r="C966" t="s">
        <v>523</v>
      </c>
      <c r="D966" t="s">
        <v>513</v>
      </c>
      <c r="E966" t="s">
        <v>515</v>
      </c>
    </row>
    <row r="967" spans="1:5" x14ac:dyDescent="0.35">
      <c r="A967" s="2" t="s">
        <v>3395</v>
      </c>
      <c r="B967">
        <v>0</v>
      </c>
      <c r="C967" t="s">
        <v>523</v>
      </c>
      <c r="D967" t="s">
        <v>513</v>
      </c>
      <c r="E967" t="s">
        <v>515</v>
      </c>
    </row>
    <row r="968" spans="1:5" x14ac:dyDescent="0.35">
      <c r="A968" s="2" t="s">
        <v>3396</v>
      </c>
      <c r="B968">
        <v>0</v>
      </c>
      <c r="C968" t="s">
        <v>523</v>
      </c>
      <c r="D968" t="s">
        <v>506</v>
      </c>
      <c r="E968" t="s">
        <v>515</v>
      </c>
    </row>
    <row r="969" spans="1:5" x14ac:dyDescent="0.35">
      <c r="A969" s="2" t="s">
        <v>3397</v>
      </c>
      <c r="B969">
        <v>0</v>
      </c>
      <c r="C969" t="s">
        <v>523</v>
      </c>
      <c r="D969" t="s">
        <v>506</v>
      </c>
      <c r="E969" t="s">
        <v>515</v>
      </c>
    </row>
    <row r="970" spans="1:5" x14ac:dyDescent="0.35">
      <c r="A970" s="2" t="s">
        <v>3398</v>
      </c>
      <c r="B970">
        <v>0</v>
      </c>
      <c r="C970" t="s">
        <v>523</v>
      </c>
      <c r="D970" t="s">
        <v>513</v>
      </c>
      <c r="E970" t="s">
        <v>515</v>
      </c>
    </row>
    <row r="971" spans="1:5" x14ac:dyDescent="0.35">
      <c r="A971" t="s">
        <v>3399</v>
      </c>
      <c r="B971">
        <v>0</v>
      </c>
      <c r="C971" t="s">
        <v>523</v>
      </c>
      <c r="D971" t="s">
        <v>507</v>
      </c>
      <c r="E971" t="s">
        <v>517</v>
      </c>
    </row>
    <row r="972" spans="1:5" x14ac:dyDescent="0.35">
      <c r="A972" s="2" t="s">
        <v>3400</v>
      </c>
      <c r="B972">
        <v>0</v>
      </c>
      <c r="C972" t="s">
        <v>523</v>
      </c>
      <c r="D972" t="s">
        <v>513</v>
      </c>
      <c r="E972" t="s">
        <v>517</v>
      </c>
    </row>
    <row r="973" spans="1:5" x14ac:dyDescent="0.35">
      <c r="A973" s="2" t="s">
        <v>3401</v>
      </c>
      <c r="B973">
        <v>0</v>
      </c>
      <c r="C973" t="s">
        <v>523</v>
      </c>
      <c r="D973" t="s">
        <v>513</v>
      </c>
      <c r="E973" t="s">
        <v>517</v>
      </c>
    </row>
    <row r="974" spans="1:5" x14ac:dyDescent="0.35">
      <c r="A974" s="2" t="s">
        <v>3402</v>
      </c>
      <c r="B974">
        <v>0</v>
      </c>
      <c r="C974" t="s">
        <v>523</v>
      </c>
      <c r="D974" t="s">
        <v>510</v>
      </c>
      <c r="E974" t="s">
        <v>515</v>
      </c>
    </row>
    <row r="975" spans="1:5" x14ac:dyDescent="0.35">
      <c r="A975" s="2" t="s">
        <v>3403</v>
      </c>
      <c r="B975">
        <v>0</v>
      </c>
      <c r="C975" t="s">
        <v>523</v>
      </c>
      <c r="D975" t="s">
        <v>513</v>
      </c>
      <c r="E975" t="s">
        <v>520</v>
      </c>
    </row>
    <row r="976" spans="1:5" x14ac:dyDescent="0.35">
      <c r="A976" s="2" t="s">
        <v>3404</v>
      </c>
      <c r="B976">
        <v>0</v>
      </c>
      <c r="C976" t="s">
        <v>523</v>
      </c>
      <c r="D976" t="s">
        <v>513</v>
      </c>
      <c r="E976" t="s">
        <v>520</v>
      </c>
    </row>
    <row r="977" spans="1:5" x14ac:dyDescent="0.35">
      <c r="A977" s="2" t="s">
        <v>3405</v>
      </c>
      <c r="B977">
        <v>0</v>
      </c>
      <c r="C977" t="s">
        <v>523</v>
      </c>
      <c r="D977" t="s">
        <v>506</v>
      </c>
      <c r="E977" t="s">
        <v>515</v>
      </c>
    </row>
    <row r="978" spans="1:5" x14ac:dyDescent="0.35">
      <c r="A978" s="2" t="s">
        <v>3406</v>
      </c>
      <c r="B978">
        <v>0</v>
      </c>
      <c r="C978" t="s">
        <v>525</v>
      </c>
      <c r="D978" t="s">
        <v>510</v>
      </c>
      <c r="E978" t="s">
        <v>519</v>
      </c>
    </row>
    <row r="979" spans="1:5" x14ac:dyDescent="0.35">
      <c r="A979" s="2" t="s">
        <v>3407</v>
      </c>
      <c r="B979">
        <v>0</v>
      </c>
      <c r="C979" t="s">
        <v>523</v>
      </c>
      <c r="D979" t="s">
        <v>506</v>
      </c>
      <c r="E979" t="s">
        <v>515</v>
      </c>
    </row>
    <row r="980" spans="1:5" x14ac:dyDescent="0.35">
      <c r="A980" s="2" t="s">
        <v>3408</v>
      </c>
      <c r="B980">
        <v>0</v>
      </c>
      <c r="C980" t="s">
        <v>523</v>
      </c>
      <c r="D980" t="s">
        <v>510</v>
      </c>
      <c r="E980" t="s">
        <v>515</v>
      </c>
    </row>
    <row r="981" spans="1:5" x14ac:dyDescent="0.35">
      <c r="A981" s="2" t="s">
        <v>3409</v>
      </c>
      <c r="B981">
        <v>0</v>
      </c>
      <c r="C981" t="s">
        <v>523</v>
      </c>
      <c r="D981" t="s">
        <v>506</v>
      </c>
      <c r="E981" t="s">
        <v>515</v>
      </c>
    </row>
    <row r="982" spans="1:5" x14ac:dyDescent="0.35">
      <c r="A982" s="2" t="s">
        <v>3410</v>
      </c>
      <c r="B982">
        <v>0</v>
      </c>
      <c r="C982" t="s">
        <v>523</v>
      </c>
      <c r="D982" t="s">
        <v>506</v>
      </c>
      <c r="E982" t="s">
        <v>515</v>
      </c>
    </row>
    <row r="983" spans="1:5" x14ac:dyDescent="0.35">
      <c r="A983" s="2" t="s">
        <v>3411</v>
      </c>
      <c r="B983">
        <v>0</v>
      </c>
      <c r="C983" t="s">
        <v>523</v>
      </c>
      <c r="D983" t="s">
        <v>506</v>
      </c>
      <c r="E983" t="s">
        <v>515</v>
      </c>
    </row>
    <row r="984" spans="1:5" x14ac:dyDescent="0.35">
      <c r="A984" s="2" t="s">
        <v>3412</v>
      </c>
      <c r="B984">
        <v>0</v>
      </c>
      <c r="C984" t="s">
        <v>523</v>
      </c>
      <c r="D984" t="s">
        <v>506</v>
      </c>
      <c r="E984" t="s">
        <v>515</v>
      </c>
    </row>
    <row r="985" spans="1:5" x14ac:dyDescent="0.35">
      <c r="A985" s="2" t="s">
        <v>3413</v>
      </c>
      <c r="B985">
        <v>0</v>
      </c>
      <c r="C985" t="s">
        <v>523</v>
      </c>
      <c r="D985" t="s">
        <v>510</v>
      </c>
      <c r="E985" t="s">
        <v>519</v>
      </c>
    </row>
    <row r="986" spans="1:5" x14ac:dyDescent="0.35">
      <c r="A986" s="2" t="s">
        <v>3414</v>
      </c>
      <c r="B986">
        <v>0</v>
      </c>
      <c r="C986" t="s">
        <v>523</v>
      </c>
      <c r="D986" t="s">
        <v>506</v>
      </c>
      <c r="E986" t="s">
        <v>515</v>
      </c>
    </row>
    <row r="987" spans="1:5" x14ac:dyDescent="0.35">
      <c r="A987" s="2" t="s">
        <v>3415</v>
      </c>
      <c r="B987">
        <v>0</v>
      </c>
      <c r="C987" t="s">
        <v>523</v>
      </c>
      <c r="D987" t="s">
        <v>510</v>
      </c>
      <c r="E987" t="s">
        <v>519</v>
      </c>
    </row>
    <row r="988" spans="1:5" x14ac:dyDescent="0.35">
      <c r="A988" s="2" t="s">
        <v>3416</v>
      </c>
      <c r="B988">
        <v>0</v>
      </c>
      <c r="C988" t="s">
        <v>523</v>
      </c>
      <c r="D988" t="s">
        <v>506</v>
      </c>
      <c r="E988" t="s">
        <v>515</v>
      </c>
    </row>
    <row r="989" spans="1:5" x14ac:dyDescent="0.35">
      <c r="A989" s="2" t="s">
        <v>3417</v>
      </c>
      <c r="B989">
        <v>0</v>
      </c>
      <c r="C989" t="s">
        <v>523</v>
      </c>
      <c r="D989" t="s">
        <v>513</v>
      </c>
      <c r="E989" t="s">
        <v>519</v>
      </c>
    </row>
    <row r="990" spans="1:5" x14ac:dyDescent="0.35">
      <c r="A990" s="2" t="s">
        <v>3418</v>
      </c>
      <c r="B990">
        <v>0</v>
      </c>
      <c r="C990" t="s">
        <v>523</v>
      </c>
      <c r="D990" t="s">
        <v>510</v>
      </c>
      <c r="E990" t="s">
        <v>521</v>
      </c>
    </row>
    <row r="991" spans="1:5" x14ac:dyDescent="0.35">
      <c r="A991" s="2" t="s">
        <v>3419</v>
      </c>
      <c r="B991">
        <v>0</v>
      </c>
      <c r="C991" t="s">
        <v>523</v>
      </c>
      <c r="D991" t="s">
        <v>510</v>
      </c>
      <c r="E991" t="s">
        <v>521</v>
      </c>
    </row>
    <row r="992" spans="1:5" x14ac:dyDescent="0.35">
      <c r="A992" s="2" t="s">
        <v>3420</v>
      </c>
      <c r="B992">
        <v>0</v>
      </c>
      <c r="C992" t="s">
        <v>523</v>
      </c>
      <c r="D992" t="s">
        <v>505</v>
      </c>
      <c r="E992" t="s">
        <v>517</v>
      </c>
    </row>
    <row r="993" spans="1:5" x14ac:dyDescent="0.35">
      <c r="A993" s="2" t="s">
        <v>3421</v>
      </c>
      <c r="B993">
        <v>0</v>
      </c>
      <c r="C993" t="s">
        <v>523</v>
      </c>
      <c r="D993" t="s">
        <v>506</v>
      </c>
      <c r="E993" t="s">
        <v>515</v>
      </c>
    </row>
    <row r="994" spans="1:5" x14ac:dyDescent="0.35">
      <c r="A994" s="2" t="s">
        <v>3422</v>
      </c>
      <c r="B994">
        <v>0</v>
      </c>
      <c r="C994" t="s">
        <v>523</v>
      </c>
      <c r="D994" t="s">
        <v>510</v>
      </c>
      <c r="E994" t="s">
        <v>518</v>
      </c>
    </row>
    <row r="995" spans="1:5" x14ac:dyDescent="0.35">
      <c r="A995" t="s">
        <v>3423</v>
      </c>
      <c r="B995">
        <v>0</v>
      </c>
      <c r="C995" t="s">
        <v>523</v>
      </c>
      <c r="D995" t="s">
        <v>506</v>
      </c>
      <c r="E995" t="s">
        <v>515</v>
      </c>
    </row>
    <row r="996" spans="1:5" x14ac:dyDescent="0.35">
      <c r="A996" s="2" t="s">
        <v>3424</v>
      </c>
      <c r="B996">
        <v>0</v>
      </c>
      <c r="C996" t="s">
        <v>523</v>
      </c>
      <c r="D996" t="s">
        <v>506</v>
      </c>
      <c r="E996" t="s">
        <v>515</v>
      </c>
    </row>
    <row r="997" spans="1:5" x14ac:dyDescent="0.35">
      <c r="A997" s="2" t="s">
        <v>3425</v>
      </c>
      <c r="B997">
        <v>0</v>
      </c>
      <c r="C997" t="s">
        <v>523</v>
      </c>
      <c r="D997" t="s">
        <v>506</v>
      </c>
      <c r="E997" t="s">
        <v>515</v>
      </c>
    </row>
    <row r="998" spans="1:5" x14ac:dyDescent="0.35">
      <c r="A998" s="2" t="s">
        <v>3426</v>
      </c>
      <c r="B998">
        <v>0</v>
      </c>
      <c r="C998" t="s">
        <v>523</v>
      </c>
      <c r="D998" t="s">
        <v>506</v>
      </c>
      <c r="E998" t="s">
        <v>515</v>
      </c>
    </row>
    <row r="999" spans="1:5" x14ac:dyDescent="0.35">
      <c r="A999" s="2" t="s">
        <v>3427</v>
      </c>
      <c r="B999">
        <v>0</v>
      </c>
      <c r="C999" t="s">
        <v>523</v>
      </c>
      <c r="D999" t="s">
        <v>506</v>
      </c>
      <c r="E999" t="s">
        <v>515</v>
      </c>
    </row>
    <row r="1000" spans="1:5" x14ac:dyDescent="0.35">
      <c r="A1000" s="2" t="s">
        <v>3428</v>
      </c>
      <c r="B1000">
        <v>0</v>
      </c>
      <c r="C1000" t="s">
        <v>523</v>
      </c>
      <c r="D1000" t="s">
        <v>506</v>
      </c>
      <c r="E1000" t="s">
        <v>515</v>
      </c>
    </row>
    <row r="1001" spans="1:5" x14ac:dyDescent="0.35">
      <c r="A1001" s="2" t="s">
        <v>3429</v>
      </c>
      <c r="B1001">
        <v>0</v>
      </c>
      <c r="C1001" t="s">
        <v>523</v>
      </c>
      <c r="D1001" t="s">
        <v>510</v>
      </c>
      <c r="E1001" t="s">
        <v>518</v>
      </c>
    </row>
    <row r="1002" spans="1:5" x14ac:dyDescent="0.35">
      <c r="A1002" s="2" t="s">
        <v>3430</v>
      </c>
      <c r="B1002">
        <v>0</v>
      </c>
      <c r="C1002" t="s">
        <v>524</v>
      </c>
      <c r="D1002" t="s">
        <v>505</v>
      </c>
      <c r="E1002" t="s">
        <v>516</v>
      </c>
    </row>
    <row r="1003" spans="1:5" x14ac:dyDescent="0.35">
      <c r="A1003" s="2" t="s">
        <v>3431</v>
      </c>
      <c r="B1003">
        <v>0</v>
      </c>
      <c r="C1003" t="s">
        <v>523</v>
      </c>
      <c r="D1003" t="s">
        <v>506</v>
      </c>
      <c r="E1003" t="s">
        <v>515</v>
      </c>
    </row>
    <row r="1004" spans="1:5" x14ac:dyDescent="0.35">
      <c r="A1004" s="2" t="s">
        <v>3432</v>
      </c>
      <c r="B1004">
        <v>0</v>
      </c>
      <c r="C1004" t="s">
        <v>523</v>
      </c>
      <c r="D1004" t="s">
        <v>506</v>
      </c>
      <c r="E1004" t="s">
        <v>515</v>
      </c>
    </row>
    <row r="1005" spans="1:5" x14ac:dyDescent="0.35">
      <c r="A1005" s="2" t="s">
        <v>3433</v>
      </c>
      <c r="B1005">
        <v>0</v>
      </c>
      <c r="C1005" t="s">
        <v>523</v>
      </c>
      <c r="D1005" t="s">
        <v>506</v>
      </c>
      <c r="E1005" t="s">
        <v>515</v>
      </c>
    </row>
    <row r="1006" spans="1:5" x14ac:dyDescent="0.35">
      <c r="A1006" s="2" t="s">
        <v>3434</v>
      </c>
      <c r="B1006">
        <v>0</v>
      </c>
      <c r="C1006" t="s">
        <v>523</v>
      </c>
      <c r="D1006" t="s">
        <v>506</v>
      </c>
      <c r="E1006" t="s">
        <v>515</v>
      </c>
    </row>
    <row r="1007" spans="1:5" x14ac:dyDescent="0.35">
      <c r="A1007" s="2" t="s">
        <v>3435</v>
      </c>
      <c r="B1007">
        <v>0</v>
      </c>
      <c r="C1007" t="s">
        <v>523</v>
      </c>
      <c r="D1007" t="s">
        <v>506</v>
      </c>
      <c r="E1007" t="s">
        <v>515</v>
      </c>
    </row>
    <row r="1008" spans="1:5" x14ac:dyDescent="0.35">
      <c r="A1008" s="2" t="s">
        <v>3436</v>
      </c>
      <c r="B1008">
        <v>0</v>
      </c>
      <c r="C1008" t="s">
        <v>523</v>
      </c>
      <c r="D1008" t="s">
        <v>506</v>
      </c>
      <c r="E1008" t="s">
        <v>515</v>
      </c>
    </row>
    <row r="1009" spans="1:5" x14ac:dyDescent="0.35">
      <c r="A1009" s="2" t="s">
        <v>3437</v>
      </c>
      <c r="B1009">
        <v>0</v>
      </c>
      <c r="C1009" t="s">
        <v>523</v>
      </c>
      <c r="D1009" t="s">
        <v>506</v>
      </c>
      <c r="E1009" t="s">
        <v>515</v>
      </c>
    </row>
    <row r="1010" spans="1:5" x14ac:dyDescent="0.35">
      <c r="A1010" s="2" t="s">
        <v>3438</v>
      </c>
      <c r="B1010">
        <v>0</v>
      </c>
      <c r="C1010" t="s">
        <v>523</v>
      </c>
      <c r="D1010" t="s">
        <v>506</v>
      </c>
      <c r="E1010" t="s">
        <v>515</v>
      </c>
    </row>
    <row r="1011" spans="1:5" x14ac:dyDescent="0.35">
      <c r="A1011" t="s">
        <v>3487</v>
      </c>
      <c r="B1011">
        <v>0</v>
      </c>
      <c r="C1011" t="s">
        <v>523</v>
      </c>
      <c r="D1011" t="s">
        <v>506</v>
      </c>
      <c r="E1011" t="s">
        <v>515</v>
      </c>
    </row>
    <row r="1012" spans="1:5" x14ac:dyDescent="0.35">
      <c r="A1012" s="2" t="s">
        <v>3479</v>
      </c>
      <c r="B1012">
        <v>0</v>
      </c>
      <c r="C1012" t="s">
        <v>523</v>
      </c>
      <c r="D1012" t="s">
        <v>506</v>
      </c>
      <c r="E1012" t="s">
        <v>515</v>
      </c>
    </row>
    <row r="1013" spans="1:5" x14ac:dyDescent="0.35">
      <c r="A1013" s="2" t="s">
        <v>3491</v>
      </c>
      <c r="B1013">
        <v>0</v>
      </c>
      <c r="C1013" t="s">
        <v>523</v>
      </c>
      <c r="D1013" t="s">
        <v>506</v>
      </c>
      <c r="E1013" t="s">
        <v>515</v>
      </c>
    </row>
    <row r="1014" spans="1:5" x14ac:dyDescent="0.35">
      <c r="A1014" s="2" t="s">
        <v>3494</v>
      </c>
      <c r="B1014">
        <v>0</v>
      </c>
      <c r="C1014" t="s">
        <v>523</v>
      </c>
      <c r="D1014" t="s">
        <v>506</v>
      </c>
      <c r="E1014" t="s">
        <v>515</v>
      </c>
    </row>
    <row r="1015" spans="1:5" x14ac:dyDescent="0.35">
      <c r="A1015" t="s">
        <v>3499</v>
      </c>
      <c r="B1015">
        <v>0</v>
      </c>
      <c r="C1015" t="s">
        <v>523</v>
      </c>
      <c r="D1015" t="s">
        <v>506</v>
      </c>
      <c r="E1015" t="s">
        <v>515</v>
      </c>
    </row>
    <row r="1016" spans="1:5" x14ac:dyDescent="0.35">
      <c r="A1016" s="2" t="s">
        <v>3492</v>
      </c>
      <c r="B1016">
        <v>0</v>
      </c>
      <c r="C1016" t="s">
        <v>523</v>
      </c>
      <c r="D1016" t="s">
        <v>506</v>
      </c>
      <c r="E1016" t="s">
        <v>515</v>
      </c>
    </row>
    <row r="1017" spans="1:5" x14ac:dyDescent="0.35">
      <c r="A1017" s="2" t="s">
        <v>3502</v>
      </c>
      <c r="B1017">
        <v>0</v>
      </c>
      <c r="C1017" t="s">
        <v>523</v>
      </c>
      <c r="D1017" t="s">
        <v>506</v>
      </c>
      <c r="E1017" t="s">
        <v>515</v>
      </c>
    </row>
    <row r="1018" spans="1:5" x14ac:dyDescent="0.35">
      <c r="A1018" s="2" t="s">
        <v>3703</v>
      </c>
      <c r="B1018">
        <v>0</v>
      </c>
      <c r="C1018" t="s">
        <v>523</v>
      </c>
      <c r="D1018" t="s">
        <v>513</v>
      </c>
      <c r="E1018" t="s">
        <v>518</v>
      </c>
    </row>
    <row r="1019" spans="1:5" x14ac:dyDescent="0.35">
      <c r="A1019" s="2" t="s">
        <v>3558</v>
      </c>
      <c r="B1019">
        <v>0</v>
      </c>
      <c r="C1019" t="s">
        <v>523</v>
      </c>
      <c r="D1019" t="s">
        <v>510</v>
      </c>
      <c r="E1019" t="s">
        <v>517</v>
      </c>
    </row>
    <row r="1020" spans="1:5" x14ac:dyDescent="0.35">
      <c r="A1020" s="2" t="s">
        <v>3561</v>
      </c>
      <c r="B1020">
        <v>0</v>
      </c>
      <c r="C1020" t="s">
        <v>523</v>
      </c>
      <c r="D1020" t="s">
        <v>513</v>
      </c>
      <c r="E1020" t="s">
        <v>517</v>
      </c>
    </row>
    <row r="1021" spans="1:5" x14ac:dyDescent="0.35">
      <c r="A1021" s="2" t="s">
        <v>3570</v>
      </c>
      <c r="B1021">
        <v>0</v>
      </c>
      <c r="C1021" t="s">
        <v>523</v>
      </c>
      <c r="D1021" t="s">
        <v>512</v>
      </c>
      <c r="E1021" t="s">
        <v>515</v>
      </c>
    </row>
    <row r="1022" spans="1:5" x14ac:dyDescent="0.35">
      <c r="A1022" s="2" t="s">
        <v>3575</v>
      </c>
      <c r="B1022">
        <v>0</v>
      </c>
      <c r="C1022" t="s">
        <v>523</v>
      </c>
      <c r="D1022" t="s">
        <v>512</v>
      </c>
      <c r="E1022" t="s">
        <v>515</v>
      </c>
    </row>
    <row r="1023" spans="1:5" x14ac:dyDescent="0.35">
      <c r="A1023" s="2" t="s">
        <v>3574</v>
      </c>
      <c r="B1023">
        <v>0</v>
      </c>
      <c r="C1023" t="s">
        <v>523</v>
      </c>
      <c r="D1023" t="s">
        <v>512</v>
      </c>
      <c r="E1023" t="s">
        <v>515</v>
      </c>
    </row>
    <row r="1024" spans="1:5" x14ac:dyDescent="0.35">
      <c r="A1024" s="2" t="s">
        <v>3581</v>
      </c>
      <c r="B1024">
        <v>0</v>
      </c>
      <c r="C1024" t="s">
        <v>523</v>
      </c>
      <c r="D1024" t="s">
        <v>512</v>
      </c>
      <c r="E1024" t="s">
        <v>515</v>
      </c>
    </row>
    <row r="1025" spans="1:5" x14ac:dyDescent="0.35">
      <c r="A1025" s="2" t="s">
        <v>3583</v>
      </c>
      <c r="B1025">
        <v>0</v>
      </c>
      <c r="C1025" t="s">
        <v>523</v>
      </c>
      <c r="D1025" t="s">
        <v>506</v>
      </c>
      <c r="E1025" t="s">
        <v>515</v>
      </c>
    </row>
    <row r="1026" spans="1:5" x14ac:dyDescent="0.35">
      <c r="A1026" s="2" t="s">
        <v>3586</v>
      </c>
      <c r="B1026">
        <v>0</v>
      </c>
      <c r="C1026" t="s">
        <v>523</v>
      </c>
      <c r="D1026" t="s">
        <v>507</v>
      </c>
      <c r="E1026" t="s">
        <v>518</v>
      </c>
    </row>
    <row r="1027" spans="1:5" x14ac:dyDescent="0.35">
      <c r="A1027" s="2" t="s">
        <v>3591</v>
      </c>
      <c r="B1027">
        <v>0</v>
      </c>
      <c r="C1027" t="s">
        <v>523</v>
      </c>
      <c r="D1027" t="s">
        <v>510</v>
      </c>
      <c r="E1027" t="s">
        <v>515</v>
      </c>
    </row>
    <row r="1028" spans="1:5" x14ac:dyDescent="0.35">
      <c r="A1028" s="2" t="s">
        <v>3592</v>
      </c>
      <c r="B1028">
        <v>0</v>
      </c>
      <c r="C1028" t="s">
        <v>523</v>
      </c>
      <c r="D1028" t="s">
        <v>510</v>
      </c>
      <c r="E1028" t="s">
        <v>515</v>
      </c>
    </row>
    <row r="1029" spans="1:5" x14ac:dyDescent="0.35">
      <c r="A1029" s="2" t="s">
        <v>3596</v>
      </c>
      <c r="B1029">
        <v>0</v>
      </c>
      <c r="C1029" t="s">
        <v>523</v>
      </c>
      <c r="D1029" t="s">
        <v>506</v>
      </c>
      <c r="E1029" t="s">
        <v>515</v>
      </c>
    </row>
    <row r="1030" spans="1:5" x14ac:dyDescent="0.35">
      <c r="A1030" s="2" t="s">
        <v>3598</v>
      </c>
      <c r="B1030">
        <v>0</v>
      </c>
      <c r="C1030" t="s">
        <v>523</v>
      </c>
      <c r="D1030" t="s">
        <v>512</v>
      </c>
      <c r="E1030" t="s">
        <v>3566</v>
      </c>
    </row>
    <row r="1031" spans="1:5" x14ac:dyDescent="0.35">
      <c r="A1031" s="2" t="s">
        <v>3603</v>
      </c>
      <c r="B1031">
        <v>0</v>
      </c>
      <c r="C1031" t="s">
        <v>523</v>
      </c>
      <c r="D1031" t="s">
        <v>510</v>
      </c>
      <c r="E1031" t="s">
        <v>515</v>
      </c>
    </row>
    <row r="1032" spans="1:5" x14ac:dyDescent="0.35">
      <c r="A1032" s="2" t="s">
        <v>3604</v>
      </c>
      <c r="B1032">
        <v>0</v>
      </c>
      <c r="C1032" t="s">
        <v>523</v>
      </c>
      <c r="D1032" t="s">
        <v>510</v>
      </c>
      <c r="E1032" t="s">
        <v>515</v>
      </c>
    </row>
    <row r="1033" spans="1:5" x14ac:dyDescent="0.35">
      <c r="A1033" s="2" t="s">
        <v>3606</v>
      </c>
      <c r="B1033">
        <v>0</v>
      </c>
      <c r="C1033" t="s">
        <v>523</v>
      </c>
      <c r="D1033" t="s">
        <v>512</v>
      </c>
      <c r="E1033" t="s">
        <v>515</v>
      </c>
    </row>
    <row r="1034" spans="1:5" x14ac:dyDescent="0.35">
      <c r="A1034" s="2" t="s">
        <v>3605</v>
      </c>
      <c r="B1034">
        <v>0</v>
      </c>
      <c r="C1034" t="s">
        <v>523</v>
      </c>
      <c r="D1034" t="s">
        <v>512</v>
      </c>
      <c r="E1034" t="s">
        <v>515</v>
      </c>
    </row>
    <row r="1035" spans="1:5" x14ac:dyDescent="0.35">
      <c r="A1035" s="2" t="s">
        <v>3612</v>
      </c>
      <c r="B1035">
        <v>0</v>
      </c>
      <c r="C1035" t="s">
        <v>523</v>
      </c>
      <c r="D1035" t="s">
        <v>512</v>
      </c>
      <c r="E1035" t="s">
        <v>515</v>
      </c>
    </row>
    <row r="1036" spans="1:5" x14ac:dyDescent="0.35">
      <c r="A1036" s="2" t="s">
        <v>3614</v>
      </c>
      <c r="B1036">
        <v>0</v>
      </c>
      <c r="C1036" t="s">
        <v>523</v>
      </c>
      <c r="D1036" t="s">
        <v>513</v>
      </c>
      <c r="E1036" t="s">
        <v>520</v>
      </c>
    </row>
    <row r="1037" spans="1:5" x14ac:dyDescent="0.35">
      <c r="A1037" s="2" t="s">
        <v>3615</v>
      </c>
      <c r="B1037">
        <v>0</v>
      </c>
      <c r="C1037" t="s">
        <v>523</v>
      </c>
      <c r="D1037" t="s">
        <v>508</v>
      </c>
      <c r="E1037" t="s">
        <v>519</v>
      </c>
    </row>
    <row r="1038" spans="1:5" x14ac:dyDescent="0.35">
      <c r="A1038" s="2" t="s">
        <v>3616</v>
      </c>
      <c r="B1038">
        <v>0</v>
      </c>
      <c r="C1038" t="s">
        <v>523</v>
      </c>
      <c r="D1038" t="s">
        <v>513</v>
      </c>
      <c r="E1038" t="s">
        <v>520</v>
      </c>
    </row>
    <row r="1039" spans="1:5" x14ac:dyDescent="0.35">
      <c r="A1039" t="s">
        <v>3656</v>
      </c>
      <c r="B1039">
        <v>0</v>
      </c>
      <c r="C1039" t="s">
        <v>523</v>
      </c>
      <c r="D1039" t="s">
        <v>506</v>
      </c>
      <c r="E1039" t="s">
        <v>515</v>
      </c>
    </row>
    <row r="1040" spans="1:5" x14ac:dyDescent="0.35">
      <c r="A1040" s="2" t="s">
        <v>3619</v>
      </c>
      <c r="B1040">
        <v>0</v>
      </c>
      <c r="C1040" t="s">
        <v>523</v>
      </c>
      <c r="D1040" t="s">
        <v>512</v>
      </c>
      <c r="E1040" t="s">
        <v>1833</v>
      </c>
    </row>
    <row r="1041" spans="1:5" x14ac:dyDescent="0.35">
      <c r="A1041" s="2" t="s">
        <v>3621</v>
      </c>
      <c r="B1041">
        <v>0</v>
      </c>
      <c r="C1041" t="s">
        <v>523</v>
      </c>
      <c r="D1041" t="s">
        <v>506</v>
      </c>
      <c r="E1041" t="s">
        <v>515</v>
      </c>
    </row>
    <row r="1042" spans="1:5" x14ac:dyDescent="0.35">
      <c r="A1042" s="2" t="s">
        <v>3625</v>
      </c>
      <c r="B1042">
        <v>0</v>
      </c>
      <c r="C1042" t="s">
        <v>523</v>
      </c>
      <c r="D1042" t="s">
        <v>512</v>
      </c>
      <c r="E1042" t="s">
        <v>1833</v>
      </c>
    </row>
    <row r="1043" spans="1:5" x14ac:dyDescent="0.35">
      <c r="A1043" s="2" t="s">
        <v>3627</v>
      </c>
      <c r="B1043">
        <v>0</v>
      </c>
      <c r="C1043" t="s">
        <v>523</v>
      </c>
      <c r="D1043" t="s">
        <v>506</v>
      </c>
      <c r="E1043" t="s">
        <v>515</v>
      </c>
    </row>
    <row r="1044" spans="1:5" x14ac:dyDescent="0.35">
      <c r="A1044" t="s">
        <v>3632</v>
      </c>
      <c r="B1044">
        <v>0</v>
      </c>
      <c r="C1044" t="s">
        <v>523</v>
      </c>
      <c r="D1044" t="s">
        <v>506</v>
      </c>
      <c r="E1044" t="s">
        <v>515</v>
      </c>
    </row>
    <row r="1045" spans="1:5" x14ac:dyDescent="0.35">
      <c r="A1045" t="s">
        <v>3630</v>
      </c>
      <c r="B1045">
        <v>0</v>
      </c>
      <c r="C1045" t="s">
        <v>523</v>
      </c>
      <c r="D1045" t="s">
        <v>506</v>
      </c>
      <c r="E1045" t="s">
        <v>515</v>
      </c>
    </row>
    <row r="1046" spans="1:5" x14ac:dyDescent="0.35">
      <c r="A1046" s="2" t="s">
        <v>3676</v>
      </c>
      <c r="B1046">
        <v>0</v>
      </c>
      <c r="C1046" t="s">
        <v>523</v>
      </c>
      <c r="D1046" t="s">
        <v>506</v>
      </c>
      <c r="E1046" t="s">
        <v>515</v>
      </c>
    </row>
    <row r="1047" spans="1:5" x14ac:dyDescent="0.35">
      <c r="A1047" s="2" t="s">
        <v>3641</v>
      </c>
      <c r="B1047">
        <v>0</v>
      </c>
      <c r="C1047" t="s">
        <v>523</v>
      </c>
      <c r="D1047" t="s">
        <v>506</v>
      </c>
      <c r="E1047" t="s">
        <v>515</v>
      </c>
    </row>
    <row r="1048" spans="1:5" x14ac:dyDescent="0.35">
      <c r="A1048" s="2" t="s">
        <v>3638</v>
      </c>
      <c r="B1048">
        <v>0</v>
      </c>
      <c r="C1048" t="s">
        <v>523</v>
      </c>
      <c r="D1048" t="s">
        <v>506</v>
      </c>
      <c r="E1048" t="s">
        <v>515</v>
      </c>
    </row>
    <row r="1049" spans="1:5" x14ac:dyDescent="0.35">
      <c r="A1049" s="2" t="s">
        <v>3659</v>
      </c>
      <c r="B1049">
        <v>0</v>
      </c>
      <c r="C1049" t="s">
        <v>523</v>
      </c>
      <c r="D1049" t="s">
        <v>513</v>
      </c>
      <c r="E1049" t="s">
        <v>521</v>
      </c>
    </row>
    <row r="1050" spans="1:5" x14ac:dyDescent="0.35">
      <c r="A1050" s="2" t="s">
        <v>3674</v>
      </c>
      <c r="B1050">
        <v>0</v>
      </c>
      <c r="C1050" t="s">
        <v>523</v>
      </c>
      <c r="D1050" t="s">
        <v>513</v>
      </c>
      <c r="E1050" t="s">
        <v>520</v>
      </c>
    </row>
    <row r="1051" spans="1:5" x14ac:dyDescent="0.35">
      <c r="A1051" s="2" t="s">
        <v>3700</v>
      </c>
      <c r="B1051">
        <v>0</v>
      </c>
      <c r="C1051" t="s">
        <v>523</v>
      </c>
      <c r="D1051" t="s">
        <v>506</v>
      </c>
      <c r="E1051" t="s">
        <v>3704</v>
      </c>
    </row>
    <row r="1052" spans="1:5" x14ac:dyDescent="0.35">
      <c r="A1052" s="2"/>
      <c r="B1052">
        <v>0</v>
      </c>
      <c r="C1052" t="s">
        <v>523</v>
      </c>
      <c r="D1052" t="s">
        <v>506</v>
      </c>
      <c r="E1052" t="s">
        <v>515</v>
      </c>
    </row>
    <row r="1053" spans="1:5" x14ac:dyDescent="0.35">
      <c r="A1053" s="2"/>
      <c r="B1053">
        <v>0</v>
      </c>
      <c r="C1053" t="s">
        <v>523</v>
      </c>
      <c r="D1053" t="s">
        <v>506</v>
      </c>
      <c r="E1053" t="s">
        <v>515</v>
      </c>
    </row>
    <row r="1054" spans="1:5" x14ac:dyDescent="0.35">
      <c r="A1054" s="2"/>
      <c r="B1054">
        <v>0</v>
      </c>
      <c r="C1054" t="s">
        <v>523</v>
      </c>
      <c r="D1054" t="s">
        <v>506</v>
      </c>
      <c r="E1054" t="s">
        <v>515</v>
      </c>
    </row>
    <row r="1055" spans="1:5" x14ac:dyDescent="0.35">
      <c r="A1055" s="2"/>
      <c r="B1055">
        <v>0</v>
      </c>
      <c r="C1055" t="s">
        <v>523</v>
      </c>
      <c r="D1055" t="s">
        <v>506</v>
      </c>
      <c r="E1055" t="s">
        <v>515</v>
      </c>
    </row>
    <row r="1056" spans="1:5" x14ac:dyDescent="0.35">
      <c r="A1056" s="2"/>
      <c r="B1056">
        <v>0</v>
      </c>
      <c r="C1056" t="s">
        <v>523</v>
      </c>
      <c r="D1056" t="s">
        <v>506</v>
      </c>
      <c r="E1056" t="s">
        <v>515</v>
      </c>
    </row>
    <row r="1057" spans="1:5" x14ac:dyDescent="0.35">
      <c r="A1057" s="2"/>
      <c r="B1057">
        <v>0</v>
      </c>
      <c r="C1057" t="s">
        <v>523</v>
      </c>
      <c r="D1057" t="s">
        <v>506</v>
      </c>
      <c r="E1057" t="s">
        <v>515</v>
      </c>
    </row>
    <row r="1058" spans="1:5" x14ac:dyDescent="0.35">
      <c r="A1058" s="2"/>
      <c r="B1058">
        <v>0</v>
      </c>
      <c r="C1058" t="s">
        <v>523</v>
      </c>
      <c r="D1058" t="s">
        <v>506</v>
      </c>
      <c r="E1058" t="s">
        <v>515</v>
      </c>
    </row>
    <row r="1059" spans="1:5" x14ac:dyDescent="0.35">
      <c r="B1059">
        <v>0</v>
      </c>
      <c r="C1059" t="s">
        <v>523</v>
      </c>
      <c r="D1059" t="s">
        <v>506</v>
      </c>
      <c r="E1059" t="s">
        <v>515</v>
      </c>
    </row>
    <row r="1060" spans="1:5" x14ac:dyDescent="0.35">
      <c r="B1060">
        <v>0</v>
      </c>
      <c r="C1060" t="s">
        <v>523</v>
      </c>
      <c r="D1060" t="s">
        <v>506</v>
      </c>
      <c r="E1060" t="s">
        <v>515</v>
      </c>
    </row>
    <row r="1061" spans="1:5" x14ac:dyDescent="0.35">
      <c r="B1061">
        <v>0</v>
      </c>
      <c r="C1061" t="s">
        <v>523</v>
      </c>
      <c r="D1061" t="s">
        <v>506</v>
      </c>
      <c r="E1061" t="s">
        <v>515</v>
      </c>
    </row>
    <row r="1062" spans="1:5" x14ac:dyDescent="0.35">
      <c r="B1062">
        <v>0</v>
      </c>
      <c r="C1062" t="s">
        <v>523</v>
      </c>
      <c r="D1062" t="s">
        <v>506</v>
      </c>
      <c r="E1062" t="s">
        <v>515</v>
      </c>
    </row>
    <row r="1063" spans="1:5" x14ac:dyDescent="0.35">
      <c r="B1063">
        <v>0</v>
      </c>
      <c r="C1063" t="s">
        <v>523</v>
      </c>
      <c r="D1063" t="s">
        <v>506</v>
      </c>
      <c r="E1063" t="s">
        <v>515</v>
      </c>
    </row>
    <row r="1064" spans="1:5" x14ac:dyDescent="0.35">
      <c r="B1064">
        <v>0</v>
      </c>
      <c r="C1064" t="s">
        <v>523</v>
      </c>
      <c r="D1064" t="s">
        <v>506</v>
      </c>
      <c r="E1064" t="s">
        <v>515</v>
      </c>
    </row>
    <row r="1065" spans="1:5" x14ac:dyDescent="0.35">
      <c r="B1065">
        <v>0</v>
      </c>
      <c r="C1065" t="s">
        <v>523</v>
      </c>
      <c r="D1065" t="s">
        <v>506</v>
      </c>
      <c r="E1065" t="s">
        <v>515</v>
      </c>
    </row>
    <row r="1066" spans="1:5" x14ac:dyDescent="0.35">
      <c r="B1066">
        <v>0</v>
      </c>
      <c r="C1066" t="s">
        <v>523</v>
      </c>
      <c r="D1066" t="s">
        <v>506</v>
      </c>
      <c r="E1066" t="s">
        <v>515</v>
      </c>
    </row>
    <row r="1067" spans="1:5" x14ac:dyDescent="0.35">
      <c r="B1067">
        <v>0</v>
      </c>
      <c r="C1067" t="s">
        <v>523</v>
      </c>
      <c r="D1067" t="s">
        <v>506</v>
      </c>
      <c r="E1067" t="s">
        <v>515</v>
      </c>
    </row>
    <row r="1068" spans="1:5" x14ac:dyDescent="0.35">
      <c r="B1068">
        <v>0</v>
      </c>
      <c r="C1068" t="s">
        <v>523</v>
      </c>
      <c r="D1068" t="s">
        <v>506</v>
      </c>
      <c r="E1068" t="s">
        <v>515</v>
      </c>
    </row>
    <row r="1069" spans="1:5" x14ac:dyDescent="0.35">
      <c r="B1069">
        <v>0</v>
      </c>
      <c r="C1069" t="s">
        <v>523</v>
      </c>
      <c r="D1069" t="s">
        <v>506</v>
      </c>
      <c r="E1069" t="s">
        <v>515</v>
      </c>
    </row>
    <row r="1070" spans="1:5" x14ac:dyDescent="0.35">
      <c r="B1070">
        <v>0</v>
      </c>
      <c r="C1070" t="s">
        <v>523</v>
      </c>
      <c r="D1070" t="s">
        <v>506</v>
      </c>
      <c r="E1070" t="s">
        <v>515</v>
      </c>
    </row>
    <row r="1071" spans="1:5" x14ac:dyDescent="0.35">
      <c r="B1071">
        <v>0</v>
      </c>
      <c r="C1071" t="s">
        <v>523</v>
      </c>
      <c r="D1071" t="s">
        <v>506</v>
      </c>
      <c r="E1071" t="s">
        <v>515</v>
      </c>
    </row>
    <row r="1072" spans="1:5" x14ac:dyDescent="0.35">
      <c r="B1072">
        <v>0</v>
      </c>
      <c r="C1072" t="s">
        <v>523</v>
      </c>
      <c r="D1072" t="s">
        <v>506</v>
      </c>
      <c r="E1072" t="s">
        <v>515</v>
      </c>
    </row>
    <row r="1073" spans="2:5" x14ac:dyDescent="0.35">
      <c r="B1073">
        <v>0</v>
      </c>
      <c r="C1073" t="s">
        <v>523</v>
      </c>
      <c r="D1073" t="s">
        <v>506</v>
      </c>
      <c r="E1073" t="s">
        <v>515</v>
      </c>
    </row>
    <row r="1074" spans="2:5" x14ac:dyDescent="0.35">
      <c r="B1074">
        <v>0</v>
      </c>
      <c r="C1074" t="s">
        <v>523</v>
      </c>
      <c r="D1074" t="s">
        <v>506</v>
      </c>
      <c r="E1074" t="s">
        <v>515</v>
      </c>
    </row>
    <row r="1075" spans="2:5" x14ac:dyDescent="0.35">
      <c r="B1075">
        <v>0</v>
      </c>
      <c r="C1075" t="s">
        <v>523</v>
      </c>
      <c r="D1075" t="s">
        <v>506</v>
      </c>
      <c r="E1075" t="s">
        <v>515</v>
      </c>
    </row>
    <row r="1076" spans="2:5" x14ac:dyDescent="0.35">
      <c r="B1076">
        <v>0</v>
      </c>
      <c r="C1076" t="s">
        <v>523</v>
      </c>
      <c r="D1076" t="s">
        <v>506</v>
      </c>
      <c r="E1076" t="s">
        <v>515</v>
      </c>
    </row>
    <row r="1077" spans="2:5" x14ac:dyDescent="0.35">
      <c r="B1077">
        <v>0</v>
      </c>
      <c r="C1077" t="s">
        <v>523</v>
      </c>
      <c r="D1077" t="s">
        <v>506</v>
      </c>
      <c r="E1077" t="s">
        <v>515</v>
      </c>
    </row>
    <row r="1078" spans="2:5" x14ac:dyDescent="0.35">
      <c r="B1078">
        <v>0</v>
      </c>
      <c r="C1078" t="s">
        <v>523</v>
      </c>
      <c r="D1078" t="s">
        <v>506</v>
      </c>
      <c r="E1078" t="s">
        <v>515</v>
      </c>
    </row>
    <row r="1079" spans="2:5" x14ac:dyDescent="0.35">
      <c r="B1079">
        <v>0</v>
      </c>
      <c r="C1079" t="s">
        <v>523</v>
      </c>
      <c r="D1079" t="s">
        <v>506</v>
      </c>
      <c r="E1079" t="s">
        <v>515</v>
      </c>
    </row>
    <row r="1080" spans="2:5" x14ac:dyDescent="0.35">
      <c r="B1080">
        <v>0</v>
      </c>
      <c r="C1080" t="s">
        <v>523</v>
      </c>
      <c r="D1080" t="s">
        <v>506</v>
      </c>
      <c r="E1080" t="s">
        <v>515</v>
      </c>
    </row>
    <row r="1081" spans="2:5" x14ac:dyDescent="0.35">
      <c r="B1081">
        <v>0</v>
      </c>
      <c r="C1081" t="s">
        <v>523</v>
      </c>
      <c r="D1081" t="s">
        <v>506</v>
      </c>
      <c r="E1081" t="s">
        <v>515</v>
      </c>
    </row>
    <row r="1082" spans="2:5" x14ac:dyDescent="0.35">
      <c r="B1082">
        <v>0</v>
      </c>
      <c r="C1082" t="s">
        <v>523</v>
      </c>
      <c r="D1082" t="s">
        <v>506</v>
      </c>
      <c r="E1082" t="s">
        <v>515</v>
      </c>
    </row>
    <row r="1083" spans="2:5" x14ac:dyDescent="0.35">
      <c r="B1083">
        <v>0</v>
      </c>
      <c r="C1083" t="s">
        <v>523</v>
      </c>
      <c r="D1083" t="s">
        <v>506</v>
      </c>
      <c r="E1083" t="s">
        <v>515</v>
      </c>
    </row>
    <row r="1084" spans="2:5" x14ac:dyDescent="0.35">
      <c r="B1084">
        <v>0</v>
      </c>
      <c r="C1084" t="s">
        <v>523</v>
      </c>
      <c r="D1084" t="s">
        <v>506</v>
      </c>
      <c r="E1084" t="s">
        <v>515</v>
      </c>
    </row>
    <row r="1085" spans="2:5" x14ac:dyDescent="0.35">
      <c r="B1085">
        <v>0</v>
      </c>
      <c r="C1085" t="s">
        <v>523</v>
      </c>
      <c r="D1085" t="s">
        <v>506</v>
      </c>
      <c r="E1085" t="s">
        <v>515</v>
      </c>
    </row>
    <row r="1086" spans="2:5" x14ac:dyDescent="0.35">
      <c r="B1086">
        <v>0</v>
      </c>
      <c r="C1086" t="s">
        <v>523</v>
      </c>
      <c r="D1086" t="s">
        <v>506</v>
      </c>
      <c r="E1086" t="s">
        <v>515</v>
      </c>
    </row>
    <row r="1087" spans="2:5" x14ac:dyDescent="0.35">
      <c r="B1087">
        <v>0</v>
      </c>
      <c r="C1087" t="s">
        <v>523</v>
      </c>
      <c r="D1087" t="s">
        <v>506</v>
      </c>
      <c r="E1087" t="s">
        <v>515</v>
      </c>
    </row>
    <row r="1088" spans="2:5" x14ac:dyDescent="0.35">
      <c r="B1088">
        <v>0</v>
      </c>
      <c r="C1088" t="s">
        <v>523</v>
      </c>
      <c r="D1088" t="s">
        <v>506</v>
      </c>
      <c r="E1088" t="s">
        <v>515</v>
      </c>
    </row>
    <row r="1089" spans="2:5" x14ac:dyDescent="0.35">
      <c r="B1089">
        <v>0</v>
      </c>
      <c r="C1089" t="s">
        <v>523</v>
      </c>
      <c r="D1089" t="s">
        <v>506</v>
      </c>
      <c r="E1089" t="s">
        <v>515</v>
      </c>
    </row>
    <row r="1090" spans="2:5" x14ac:dyDescent="0.35">
      <c r="B1090">
        <v>0</v>
      </c>
      <c r="C1090" t="s">
        <v>523</v>
      </c>
      <c r="D1090" t="s">
        <v>506</v>
      </c>
      <c r="E1090" t="s">
        <v>515</v>
      </c>
    </row>
    <row r="1091" spans="2:5" x14ac:dyDescent="0.35">
      <c r="B1091">
        <v>0</v>
      </c>
      <c r="C1091" t="s">
        <v>523</v>
      </c>
      <c r="D1091" t="s">
        <v>506</v>
      </c>
      <c r="E1091" t="s">
        <v>515</v>
      </c>
    </row>
    <row r="1092" spans="2:5" x14ac:dyDescent="0.35">
      <c r="B1092">
        <v>0</v>
      </c>
      <c r="C1092" t="s">
        <v>523</v>
      </c>
      <c r="D1092" t="s">
        <v>506</v>
      </c>
      <c r="E1092" t="s">
        <v>515</v>
      </c>
    </row>
    <row r="1093" spans="2:5" x14ac:dyDescent="0.35">
      <c r="B1093">
        <v>0</v>
      </c>
      <c r="C1093" t="s">
        <v>523</v>
      </c>
      <c r="D1093" t="s">
        <v>506</v>
      </c>
      <c r="E1093" t="s">
        <v>515</v>
      </c>
    </row>
    <row r="1094" spans="2:5" x14ac:dyDescent="0.35">
      <c r="B1094">
        <v>0</v>
      </c>
      <c r="C1094" t="s">
        <v>523</v>
      </c>
      <c r="D1094" t="s">
        <v>506</v>
      </c>
      <c r="E1094" t="s">
        <v>515</v>
      </c>
    </row>
    <row r="1095" spans="2:5" x14ac:dyDescent="0.35">
      <c r="B1095">
        <v>0</v>
      </c>
      <c r="C1095" t="s">
        <v>523</v>
      </c>
      <c r="D1095" t="s">
        <v>506</v>
      </c>
      <c r="E1095" t="s">
        <v>515</v>
      </c>
    </row>
    <row r="1096" spans="2:5" x14ac:dyDescent="0.35">
      <c r="B1096">
        <v>0</v>
      </c>
      <c r="C1096" t="s">
        <v>523</v>
      </c>
      <c r="D1096" t="s">
        <v>506</v>
      </c>
      <c r="E1096" t="s">
        <v>515</v>
      </c>
    </row>
    <row r="1097" spans="2:5" x14ac:dyDescent="0.35">
      <c r="B1097">
        <v>0</v>
      </c>
      <c r="C1097" t="s">
        <v>523</v>
      </c>
      <c r="D1097" t="s">
        <v>506</v>
      </c>
      <c r="E1097" t="s">
        <v>515</v>
      </c>
    </row>
    <row r="1098" spans="2:5" x14ac:dyDescent="0.35">
      <c r="B1098">
        <v>0</v>
      </c>
      <c r="C1098" t="s">
        <v>523</v>
      </c>
      <c r="D1098" t="s">
        <v>506</v>
      </c>
      <c r="E1098" t="s">
        <v>515</v>
      </c>
    </row>
    <row r="1099" spans="2:5" x14ac:dyDescent="0.35">
      <c r="B1099">
        <v>0</v>
      </c>
      <c r="C1099" t="s">
        <v>523</v>
      </c>
      <c r="D1099" t="s">
        <v>506</v>
      </c>
      <c r="E1099" t="s">
        <v>515</v>
      </c>
    </row>
    <row r="1100" spans="2:5" x14ac:dyDescent="0.35">
      <c r="B1100">
        <v>0</v>
      </c>
      <c r="C1100" t="s">
        <v>523</v>
      </c>
      <c r="D1100" t="s">
        <v>506</v>
      </c>
      <c r="E1100" t="s">
        <v>515</v>
      </c>
    </row>
    <row r="1101" spans="2:5" x14ac:dyDescent="0.35">
      <c r="B1101">
        <v>0</v>
      </c>
      <c r="C1101" t="s">
        <v>523</v>
      </c>
      <c r="D1101" t="s">
        <v>506</v>
      </c>
      <c r="E1101" t="s">
        <v>515</v>
      </c>
    </row>
    <row r="1102" spans="2:5" x14ac:dyDescent="0.35">
      <c r="B1102">
        <v>0</v>
      </c>
      <c r="C1102" t="s">
        <v>523</v>
      </c>
      <c r="D1102" t="s">
        <v>506</v>
      </c>
      <c r="E1102" t="s">
        <v>515</v>
      </c>
    </row>
    <row r="1103" spans="2:5" x14ac:dyDescent="0.35">
      <c r="B1103">
        <v>0</v>
      </c>
      <c r="C1103" t="s">
        <v>523</v>
      </c>
      <c r="D1103" t="s">
        <v>506</v>
      </c>
      <c r="E1103" t="s">
        <v>515</v>
      </c>
    </row>
    <row r="1104" spans="2:5" x14ac:dyDescent="0.35">
      <c r="B1104">
        <v>0</v>
      </c>
      <c r="C1104" t="s">
        <v>523</v>
      </c>
      <c r="D1104" t="s">
        <v>506</v>
      </c>
      <c r="E1104" t="s">
        <v>515</v>
      </c>
    </row>
    <row r="1105" spans="2:5" x14ac:dyDescent="0.35">
      <c r="B1105">
        <v>0</v>
      </c>
      <c r="C1105" t="s">
        <v>523</v>
      </c>
      <c r="D1105" t="s">
        <v>506</v>
      </c>
      <c r="E1105" t="s">
        <v>515</v>
      </c>
    </row>
    <row r="1106" spans="2:5" x14ac:dyDescent="0.35">
      <c r="B1106">
        <v>0</v>
      </c>
      <c r="C1106" t="s">
        <v>523</v>
      </c>
      <c r="D1106" t="s">
        <v>506</v>
      </c>
      <c r="E1106" t="s">
        <v>515</v>
      </c>
    </row>
    <row r="1107" spans="2:5" x14ac:dyDescent="0.35">
      <c r="B1107">
        <v>0</v>
      </c>
      <c r="C1107" t="s">
        <v>523</v>
      </c>
      <c r="D1107" t="s">
        <v>506</v>
      </c>
      <c r="E1107" t="s">
        <v>515</v>
      </c>
    </row>
    <row r="1108" spans="2:5" x14ac:dyDescent="0.35">
      <c r="B1108">
        <v>0</v>
      </c>
      <c r="C1108" t="s">
        <v>523</v>
      </c>
      <c r="D1108" t="s">
        <v>506</v>
      </c>
      <c r="E1108" t="s">
        <v>515</v>
      </c>
    </row>
    <row r="1109" spans="2:5" x14ac:dyDescent="0.35">
      <c r="B1109">
        <v>0</v>
      </c>
      <c r="C1109" t="s">
        <v>523</v>
      </c>
      <c r="D1109" t="s">
        <v>506</v>
      </c>
      <c r="E1109" t="s">
        <v>515</v>
      </c>
    </row>
    <row r="1110" spans="2:5" x14ac:dyDescent="0.35">
      <c r="B1110">
        <v>0</v>
      </c>
      <c r="C1110" t="s">
        <v>523</v>
      </c>
      <c r="D1110" t="s">
        <v>506</v>
      </c>
      <c r="E1110" t="s">
        <v>515</v>
      </c>
    </row>
    <row r="1111" spans="2:5" x14ac:dyDescent="0.35">
      <c r="B1111">
        <v>0</v>
      </c>
      <c r="C1111" t="s">
        <v>523</v>
      </c>
      <c r="D1111" t="s">
        <v>506</v>
      </c>
      <c r="E1111" t="s">
        <v>515</v>
      </c>
    </row>
    <row r="1112" spans="2:5" x14ac:dyDescent="0.35">
      <c r="B1112">
        <v>0</v>
      </c>
      <c r="C1112" t="s">
        <v>523</v>
      </c>
      <c r="D1112" t="s">
        <v>506</v>
      </c>
      <c r="E1112" t="s">
        <v>515</v>
      </c>
    </row>
    <row r="1113" spans="2:5" x14ac:dyDescent="0.35">
      <c r="B1113">
        <v>0</v>
      </c>
      <c r="C1113" t="s">
        <v>523</v>
      </c>
      <c r="D1113" t="s">
        <v>506</v>
      </c>
      <c r="E1113" t="s">
        <v>515</v>
      </c>
    </row>
    <row r="1114" spans="2:5" x14ac:dyDescent="0.35">
      <c r="B1114">
        <v>0</v>
      </c>
      <c r="C1114" t="s">
        <v>523</v>
      </c>
      <c r="D1114" t="s">
        <v>506</v>
      </c>
      <c r="E1114" t="s">
        <v>515</v>
      </c>
    </row>
    <row r="1115" spans="2:5" x14ac:dyDescent="0.35">
      <c r="B1115">
        <v>0</v>
      </c>
      <c r="C1115" t="s">
        <v>523</v>
      </c>
      <c r="D1115" t="s">
        <v>506</v>
      </c>
      <c r="E1115" t="s">
        <v>515</v>
      </c>
    </row>
    <row r="1116" spans="2:5" x14ac:dyDescent="0.35">
      <c r="B1116">
        <v>0</v>
      </c>
      <c r="C1116" t="s">
        <v>523</v>
      </c>
      <c r="D1116" t="s">
        <v>506</v>
      </c>
      <c r="E1116" t="s">
        <v>515</v>
      </c>
    </row>
    <row r="1117" spans="2:5" x14ac:dyDescent="0.35">
      <c r="B1117">
        <v>0</v>
      </c>
      <c r="C1117" t="s">
        <v>523</v>
      </c>
      <c r="D1117" t="s">
        <v>506</v>
      </c>
      <c r="E1117" t="s">
        <v>515</v>
      </c>
    </row>
    <row r="1118" spans="2:5" x14ac:dyDescent="0.35">
      <c r="B1118">
        <v>0</v>
      </c>
      <c r="C1118" t="s">
        <v>523</v>
      </c>
      <c r="D1118" t="s">
        <v>506</v>
      </c>
      <c r="E1118" t="s">
        <v>515</v>
      </c>
    </row>
    <row r="1119" spans="2:5" x14ac:dyDescent="0.35">
      <c r="B1119">
        <v>0</v>
      </c>
      <c r="C1119" t="s">
        <v>523</v>
      </c>
      <c r="D1119" t="s">
        <v>506</v>
      </c>
      <c r="E1119" t="s">
        <v>515</v>
      </c>
    </row>
    <row r="1120" spans="2:5" x14ac:dyDescent="0.35">
      <c r="B1120">
        <v>0</v>
      </c>
      <c r="C1120" t="s">
        <v>523</v>
      </c>
      <c r="D1120" t="s">
        <v>506</v>
      </c>
      <c r="E1120" t="s">
        <v>515</v>
      </c>
    </row>
    <row r="1121" spans="2:5" x14ac:dyDescent="0.35">
      <c r="B1121">
        <v>0</v>
      </c>
      <c r="C1121" t="s">
        <v>523</v>
      </c>
      <c r="D1121" t="s">
        <v>506</v>
      </c>
      <c r="E1121" t="s">
        <v>515</v>
      </c>
    </row>
    <row r="1122" spans="2:5" x14ac:dyDescent="0.35">
      <c r="B1122">
        <v>0</v>
      </c>
      <c r="C1122" t="s">
        <v>523</v>
      </c>
      <c r="D1122" t="s">
        <v>506</v>
      </c>
      <c r="E1122" t="s">
        <v>515</v>
      </c>
    </row>
    <row r="1123" spans="2:5" x14ac:dyDescent="0.35">
      <c r="B1123">
        <v>0</v>
      </c>
      <c r="C1123" t="s">
        <v>523</v>
      </c>
      <c r="D1123" t="s">
        <v>506</v>
      </c>
      <c r="E1123" t="s">
        <v>515</v>
      </c>
    </row>
    <row r="1124" spans="2:5" x14ac:dyDescent="0.35">
      <c r="B1124">
        <v>0</v>
      </c>
      <c r="C1124" t="s">
        <v>523</v>
      </c>
      <c r="D1124" t="s">
        <v>506</v>
      </c>
      <c r="E1124" t="s">
        <v>515</v>
      </c>
    </row>
    <row r="1125" spans="2:5" x14ac:dyDescent="0.35">
      <c r="B1125">
        <v>0</v>
      </c>
      <c r="C1125" t="s">
        <v>523</v>
      </c>
      <c r="D1125" t="s">
        <v>506</v>
      </c>
      <c r="E1125" t="s">
        <v>515</v>
      </c>
    </row>
    <row r="1126" spans="2:5" x14ac:dyDescent="0.35">
      <c r="B1126">
        <v>0</v>
      </c>
      <c r="C1126" t="s">
        <v>523</v>
      </c>
      <c r="D1126" t="s">
        <v>506</v>
      </c>
      <c r="E1126" t="s">
        <v>515</v>
      </c>
    </row>
    <row r="1127" spans="2:5" x14ac:dyDescent="0.35">
      <c r="B1127">
        <v>0</v>
      </c>
      <c r="C1127" t="s">
        <v>523</v>
      </c>
      <c r="D1127" t="s">
        <v>506</v>
      </c>
      <c r="E1127" t="s">
        <v>515</v>
      </c>
    </row>
    <row r="1128" spans="2:5" x14ac:dyDescent="0.35">
      <c r="B1128">
        <v>0</v>
      </c>
      <c r="C1128" t="s">
        <v>523</v>
      </c>
      <c r="D1128" t="s">
        <v>506</v>
      </c>
      <c r="E1128" t="s">
        <v>515</v>
      </c>
    </row>
    <row r="1129" spans="2:5" x14ac:dyDescent="0.35">
      <c r="B1129">
        <v>0</v>
      </c>
      <c r="C1129" t="s">
        <v>523</v>
      </c>
      <c r="D1129" t="s">
        <v>506</v>
      </c>
      <c r="E1129" t="s">
        <v>515</v>
      </c>
    </row>
    <row r="1130" spans="2:5" x14ac:dyDescent="0.35">
      <c r="B1130">
        <v>0</v>
      </c>
      <c r="C1130" t="s">
        <v>523</v>
      </c>
      <c r="D1130" t="s">
        <v>506</v>
      </c>
      <c r="E1130" t="s">
        <v>515</v>
      </c>
    </row>
    <row r="1131" spans="2:5" x14ac:dyDescent="0.35">
      <c r="B1131">
        <v>0</v>
      </c>
      <c r="C1131" t="s">
        <v>523</v>
      </c>
      <c r="D1131" t="s">
        <v>506</v>
      </c>
      <c r="E1131" t="s">
        <v>515</v>
      </c>
    </row>
    <row r="1132" spans="2:5" x14ac:dyDescent="0.35">
      <c r="B1132">
        <v>0</v>
      </c>
      <c r="C1132" t="s">
        <v>523</v>
      </c>
      <c r="D1132" t="s">
        <v>506</v>
      </c>
      <c r="E1132" t="s">
        <v>515</v>
      </c>
    </row>
    <row r="1133" spans="2:5" x14ac:dyDescent="0.35">
      <c r="B1133">
        <v>0</v>
      </c>
      <c r="C1133" t="s">
        <v>523</v>
      </c>
      <c r="D1133" t="s">
        <v>506</v>
      </c>
      <c r="E1133" t="s">
        <v>515</v>
      </c>
    </row>
    <row r="1134" spans="2:5" x14ac:dyDescent="0.35">
      <c r="B1134">
        <v>0</v>
      </c>
      <c r="C1134" t="s">
        <v>523</v>
      </c>
      <c r="D1134" t="s">
        <v>506</v>
      </c>
      <c r="E1134" t="s">
        <v>515</v>
      </c>
    </row>
    <row r="1135" spans="2:5" x14ac:dyDescent="0.35">
      <c r="B1135">
        <v>0</v>
      </c>
      <c r="C1135" t="s">
        <v>523</v>
      </c>
      <c r="D1135" t="s">
        <v>506</v>
      </c>
      <c r="E1135" t="s">
        <v>515</v>
      </c>
    </row>
    <row r="1136" spans="2:5" x14ac:dyDescent="0.35">
      <c r="B1136">
        <v>0</v>
      </c>
      <c r="C1136" t="s">
        <v>523</v>
      </c>
      <c r="D1136" t="s">
        <v>506</v>
      </c>
      <c r="E1136" t="s">
        <v>515</v>
      </c>
    </row>
    <row r="1137" spans="2:5" x14ac:dyDescent="0.35">
      <c r="B1137">
        <v>0</v>
      </c>
      <c r="C1137" t="s">
        <v>523</v>
      </c>
      <c r="D1137" t="s">
        <v>506</v>
      </c>
      <c r="E1137" t="s">
        <v>515</v>
      </c>
    </row>
    <row r="1138" spans="2:5" x14ac:dyDescent="0.35">
      <c r="B1138">
        <v>0</v>
      </c>
      <c r="C1138" t="s">
        <v>523</v>
      </c>
      <c r="D1138" t="s">
        <v>506</v>
      </c>
      <c r="E1138" t="s">
        <v>515</v>
      </c>
    </row>
    <row r="1139" spans="2:5" x14ac:dyDescent="0.35">
      <c r="B1139">
        <v>0</v>
      </c>
      <c r="C1139" t="s">
        <v>523</v>
      </c>
      <c r="D1139" t="s">
        <v>506</v>
      </c>
      <c r="E1139" t="s">
        <v>515</v>
      </c>
    </row>
    <row r="1140" spans="2:5" x14ac:dyDescent="0.35">
      <c r="B1140">
        <v>0</v>
      </c>
      <c r="C1140" t="s">
        <v>523</v>
      </c>
      <c r="D1140" t="s">
        <v>506</v>
      </c>
      <c r="E1140" t="s">
        <v>515</v>
      </c>
    </row>
    <row r="1141" spans="2:5" x14ac:dyDescent="0.35">
      <c r="B1141">
        <v>0</v>
      </c>
      <c r="C1141" t="s">
        <v>523</v>
      </c>
      <c r="D1141" t="s">
        <v>506</v>
      </c>
      <c r="E1141" t="s">
        <v>515</v>
      </c>
    </row>
    <row r="1142" spans="2:5" x14ac:dyDescent="0.35">
      <c r="B1142">
        <v>0</v>
      </c>
      <c r="C1142" t="s">
        <v>523</v>
      </c>
      <c r="D1142" t="s">
        <v>506</v>
      </c>
      <c r="E1142" t="s">
        <v>515</v>
      </c>
    </row>
    <row r="1143" spans="2:5" x14ac:dyDescent="0.35">
      <c r="B1143">
        <v>0</v>
      </c>
      <c r="C1143" t="s">
        <v>523</v>
      </c>
      <c r="D1143" t="s">
        <v>506</v>
      </c>
      <c r="E1143" t="s">
        <v>515</v>
      </c>
    </row>
    <row r="1144" spans="2:5" x14ac:dyDescent="0.35">
      <c r="B1144">
        <v>0</v>
      </c>
      <c r="C1144" t="s">
        <v>523</v>
      </c>
      <c r="D1144" t="s">
        <v>506</v>
      </c>
      <c r="E1144" t="s">
        <v>515</v>
      </c>
    </row>
    <row r="1145" spans="2:5" x14ac:dyDescent="0.35">
      <c r="B1145">
        <v>0</v>
      </c>
      <c r="C1145" t="s">
        <v>523</v>
      </c>
      <c r="D1145" t="s">
        <v>506</v>
      </c>
      <c r="E1145" t="s">
        <v>515</v>
      </c>
    </row>
    <row r="1146" spans="2:5" x14ac:dyDescent="0.35">
      <c r="B1146">
        <v>0</v>
      </c>
      <c r="C1146" t="s">
        <v>523</v>
      </c>
      <c r="D1146" t="s">
        <v>506</v>
      </c>
      <c r="E1146" t="s">
        <v>515</v>
      </c>
    </row>
    <row r="1147" spans="2:5" x14ac:dyDescent="0.35">
      <c r="B1147">
        <v>0</v>
      </c>
      <c r="C1147" t="s">
        <v>523</v>
      </c>
      <c r="D1147" t="s">
        <v>506</v>
      </c>
      <c r="E1147" t="s">
        <v>515</v>
      </c>
    </row>
    <row r="1148" spans="2:5" x14ac:dyDescent="0.35">
      <c r="B1148">
        <v>0</v>
      </c>
      <c r="C1148" t="s">
        <v>523</v>
      </c>
      <c r="D1148" t="s">
        <v>506</v>
      </c>
      <c r="E1148" t="s">
        <v>515</v>
      </c>
    </row>
    <row r="1149" spans="2:5" x14ac:dyDescent="0.35">
      <c r="B1149">
        <v>0</v>
      </c>
      <c r="C1149" t="s">
        <v>523</v>
      </c>
      <c r="D1149" t="s">
        <v>506</v>
      </c>
      <c r="E1149" t="s">
        <v>515</v>
      </c>
    </row>
    <row r="1150" spans="2:5" x14ac:dyDescent="0.35">
      <c r="B1150">
        <v>0</v>
      </c>
      <c r="C1150" t="s">
        <v>523</v>
      </c>
      <c r="D1150" t="s">
        <v>506</v>
      </c>
      <c r="E1150" t="s">
        <v>515</v>
      </c>
    </row>
    <row r="1151" spans="2:5" x14ac:dyDescent="0.35">
      <c r="B1151">
        <v>0</v>
      </c>
      <c r="C1151" t="s">
        <v>523</v>
      </c>
      <c r="D1151" t="s">
        <v>506</v>
      </c>
      <c r="E1151" t="s">
        <v>515</v>
      </c>
    </row>
    <row r="1152" spans="2:5" x14ac:dyDescent="0.35">
      <c r="B1152">
        <v>0</v>
      </c>
      <c r="C1152" t="s">
        <v>523</v>
      </c>
      <c r="D1152" t="s">
        <v>506</v>
      </c>
      <c r="E1152" t="s">
        <v>515</v>
      </c>
    </row>
    <row r="1153" spans="2:5" x14ac:dyDescent="0.35">
      <c r="B1153">
        <v>0</v>
      </c>
      <c r="C1153" t="s">
        <v>523</v>
      </c>
      <c r="D1153" t="s">
        <v>506</v>
      </c>
      <c r="E1153" t="s">
        <v>515</v>
      </c>
    </row>
    <row r="1154" spans="2:5" x14ac:dyDescent="0.35">
      <c r="B1154">
        <v>0</v>
      </c>
      <c r="C1154" t="s">
        <v>523</v>
      </c>
      <c r="D1154" t="s">
        <v>506</v>
      </c>
      <c r="E1154" t="s">
        <v>515</v>
      </c>
    </row>
    <row r="1155" spans="2:5" x14ac:dyDescent="0.35">
      <c r="B1155">
        <v>0</v>
      </c>
      <c r="C1155" t="s">
        <v>523</v>
      </c>
      <c r="D1155" t="s">
        <v>506</v>
      </c>
      <c r="E1155" t="s">
        <v>515</v>
      </c>
    </row>
    <row r="1156" spans="2:5" x14ac:dyDescent="0.35">
      <c r="B1156">
        <v>0</v>
      </c>
      <c r="C1156" t="s">
        <v>523</v>
      </c>
      <c r="D1156" t="s">
        <v>506</v>
      </c>
      <c r="E1156" t="s">
        <v>515</v>
      </c>
    </row>
    <row r="1157" spans="2:5" x14ac:dyDescent="0.35">
      <c r="B1157">
        <v>0</v>
      </c>
      <c r="C1157" t="s">
        <v>523</v>
      </c>
      <c r="D1157" t="s">
        <v>506</v>
      </c>
      <c r="E1157" t="s">
        <v>515</v>
      </c>
    </row>
    <row r="1158" spans="2:5" x14ac:dyDescent="0.35">
      <c r="B1158">
        <v>0</v>
      </c>
      <c r="C1158" t="s">
        <v>523</v>
      </c>
      <c r="D1158" t="s">
        <v>506</v>
      </c>
      <c r="E1158" t="s">
        <v>515</v>
      </c>
    </row>
    <row r="1159" spans="2:5" x14ac:dyDescent="0.35">
      <c r="B1159">
        <v>0</v>
      </c>
      <c r="C1159" t="s">
        <v>523</v>
      </c>
      <c r="D1159" t="s">
        <v>506</v>
      </c>
      <c r="E1159" t="s">
        <v>515</v>
      </c>
    </row>
    <row r="1160" spans="2:5" x14ac:dyDescent="0.35">
      <c r="B1160">
        <v>0</v>
      </c>
      <c r="C1160" t="s">
        <v>523</v>
      </c>
      <c r="D1160" t="s">
        <v>506</v>
      </c>
      <c r="E1160" t="s">
        <v>515</v>
      </c>
    </row>
    <row r="1161" spans="2:5" x14ac:dyDescent="0.35">
      <c r="B1161">
        <v>0</v>
      </c>
      <c r="C1161" t="s">
        <v>523</v>
      </c>
      <c r="D1161" t="s">
        <v>506</v>
      </c>
      <c r="E1161" t="s">
        <v>515</v>
      </c>
    </row>
    <row r="1162" spans="2:5" x14ac:dyDescent="0.35">
      <c r="B1162">
        <v>0</v>
      </c>
      <c r="C1162" t="s">
        <v>523</v>
      </c>
      <c r="D1162" t="s">
        <v>506</v>
      </c>
      <c r="E1162" t="s">
        <v>515</v>
      </c>
    </row>
    <row r="1163" spans="2:5" x14ac:dyDescent="0.35">
      <c r="B1163">
        <v>0</v>
      </c>
      <c r="C1163" t="s">
        <v>523</v>
      </c>
      <c r="D1163" t="s">
        <v>506</v>
      </c>
      <c r="E1163" t="s">
        <v>515</v>
      </c>
    </row>
    <row r="1164" spans="2:5" x14ac:dyDescent="0.35">
      <c r="B1164">
        <v>0</v>
      </c>
      <c r="C1164" t="s">
        <v>523</v>
      </c>
      <c r="D1164" t="s">
        <v>506</v>
      </c>
      <c r="E1164" t="s">
        <v>515</v>
      </c>
    </row>
    <row r="1165" spans="2:5" x14ac:dyDescent="0.35">
      <c r="B1165">
        <v>0</v>
      </c>
      <c r="C1165" t="s">
        <v>523</v>
      </c>
      <c r="D1165" t="s">
        <v>506</v>
      </c>
      <c r="E1165" t="s">
        <v>515</v>
      </c>
    </row>
    <row r="1166" spans="2:5" x14ac:dyDescent="0.35">
      <c r="B1166">
        <v>0</v>
      </c>
      <c r="C1166" t="s">
        <v>523</v>
      </c>
      <c r="D1166" t="s">
        <v>506</v>
      </c>
      <c r="E1166" t="s">
        <v>515</v>
      </c>
    </row>
    <row r="1167" spans="2:5" x14ac:dyDescent="0.35">
      <c r="B1167">
        <v>0</v>
      </c>
      <c r="C1167" t="s">
        <v>523</v>
      </c>
      <c r="D1167" t="s">
        <v>506</v>
      </c>
      <c r="E1167" t="s">
        <v>515</v>
      </c>
    </row>
    <row r="1168" spans="2:5" x14ac:dyDescent="0.35">
      <c r="B1168">
        <v>0</v>
      </c>
      <c r="C1168" t="s">
        <v>523</v>
      </c>
      <c r="D1168" t="s">
        <v>506</v>
      </c>
      <c r="E1168" t="s">
        <v>515</v>
      </c>
    </row>
    <row r="1169" spans="2:5" x14ac:dyDescent="0.35">
      <c r="B1169">
        <v>0</v>
      </c>
      <c r="C1169" t="s">
        <v>523</v>
      </c>
      <c r="D1169" t="s">
        <v>506</v>
      </c>
      <c r="E1169" t="s">
        <v>515</v>
      </c>
    </row>
    <row r="1170" spans="2:5" x14ac:dyDescent="0.35">
      <c r="B1170">
        <v>0</v>
      </c>
      <c r="C1170" t="s">
        <v>523</v>
      </c>
      <c r="D1170" t="s">
        <v>506</v>
      </c>
      <c r="E1170" t="s">
        <v>515</v>
      </c>
    </row>
    <row r="1171" spans="2:5" x14ac:dyDescent="0.35">
      <c r="B1171">
        <v>0</v>
      </c>
      <c r="C1171" t="s">
        <v>523</v>
      </c>
      <c r="D1171" t="s">
        <v>506</v>
      </c>
      <c r="E1171" t="s">
        <v>515</v>
      </c>
    </row>
    <row r="1172" spans="2:5" x14ac:dyDescent="0.35">
      <c r="B1172">
        <v>0</v>
      </c>
      <c r="C1172" t="s">
        <v>523</v>
      </c>
      <c r="D1172" t="s">
        <v>506</v>
      </c>
      <c r="E1172" t="s">
        <v>515</v>
      </c>
    </row>
    <row r="1173" spans="2:5" x14ac:dyDescent="0.35">
      <c r="B1173">
        <v>0</v>
      </c>
      <c r="C1173" t="s">
        <v>523</v>
      </c>
      <c r="D1173" t="s">
        <v>506</v>
      </c>
      <c r="E1173" t="s">
        <v>515</v>
      </c>
    </row>
    <row r="1174" spans="2:5" x14ac:dyDescent="0.35">
      <c r="B1174">
        <v>0</v>
      </c>
      <c r="C1174" t="s">
        <v>523</v>
      </c>
      <c r="D1174" t="s">
        <v>506</v>
      </c>
      <c r="E1174" t="s">
        <v>515</v>
      </c>
    </row>
    <row r="1175" spans="2:5" x14ac:dyDescent="0.35">
      <c r="B1175">
        <v>0</v>
      </c>
      <c r="C1175" t="s">
        <v>523</v>
      </c>
      <c r="D1175" t="s">
        <v>506</v>
      </c>
      <c r="E1175" t="s">
        <v>515</v>
      </c>
    </row>
    <row r="1176" spans="2:5" x14ac:dyDescent="0.35">
      <c r="B1176">
        <v>0</v>
      </c>
      <c r="C1176" t="s">
        <v>523</v>
      </c>
      <c r="D1176" t="s">
        <v>506</v>
      </c>
      <c r="E1176" t="s">
        <v>515</v>
      </c>
    </row>
    <row r="1177" spans="2:5" x14ac:dyDescent="0.35">
      <c r="B1177">
        <v>0</v>
      </c>
      <c r="C1177" t="s">
        <v>523</v>
      </c>
      <c r="D1177" t="s">
        <v>506</v>
      </c>
      <c r="E1177" t="s">
        <v>515</v>
      </c>
    </row>
    <row r="1178" spans="2:5" x14ac:dyDescent="0.35">
      <c r="B1178">
        <v>0</v>
      </c>
      <c r="C1178" t="s">
        <v>523</v>
      </c>
      <c r="D1178" t="s">
        <v>506</v>
      </c>
      <c r="E1178" t="s">
        <v>515</v>
      </c>
    </row>
    <row r="1179" spans="2:5" x14ac:dyDescent="0.35">
      <c r="B1179">
        <v>0</v>
      </c>
      <c r="C1179" t="s">
        <v>523</v>
      </c>
      <c r="D1179" t="s">
        <v>506</v>
      </c>
      <c r="E1179" t="s">
        <v>515</v>
      </c>
    </row>
    <row r="1180" spans="2:5" x14ac:dyDescent="0.35">
      <c r="B1180">
        <v>0</v>
      </c>
      <c r="C1180" t="s">
        <v>523</v>
      </c>
      <c r="D1180" t="s">
        <v>506</v>
      </c>
      <c r="E1180" t="s">
        <v>515</v>
      </c>
    </row>
    <row r="1181" spans="2:5" x14ac:dyDescent="0.35">
      <c r="B1181">
        <v>0</v>
      </c>
      <c r="C1181" t="s">
        <v>523</v>
      </c>
      <c r="D1181" t="s">
        <v>506</v>
      </c>
      <c r="E1181" t="s">
        <v>515</v>
      </c>
    </row>
    <row r="1182" spans="2:5" x14ac:dyDescent="0.35">
      <c r="B1182">
        <v>0</v>
      </c>
      <c r="C1182" t="s">
        <v>523</v>
      </c>
      <c r="D1182" t="s">
        <v>506</v>
      </c>
      <c r="E1182" t="s">
        <v>515</v>
      </c>
    </row>
    <row r="1183" spans="2:5" x14ac:dyDescent="0.35">
      <c r="B1183">
        <v>0</v>
      </c>
      <c r="C1183" t="s">
        <v>523</v>
      </c>
      <c r="D1183" t="s">
        <v>506</v>
      </c>
      <c r="E1183" t="s">
        <v>515</v>
      </c>
    </row>
    <row r="1184" spans="2:5" x14ac:dyDescent="0.35">
      <c r="B1184">
        <v>0</v>
      </c>
      <c r="C1184" t="s">
        <v>523</v>
      </c>
      <c r="D1184" t="s">
        <v>506</v>
      </c>
      <c r="E1184" t="s">
        <v>515</v>
      </c>
    </row>
    <row r="1185" spans="2:5" x14ac:dyDescent="0.35">
      <c r="B1185">
        <v>0</v>
      </c>
      <c r="C1185" t="s">
        <v>523</v>
      </c>
      <c r="D1185" t="s">
        <v>506</v>
      </c>
      <c r="E1185" t="s">
        <v>515</v>
      </c>
    </row>
    <row r="1186" spans="2:5" x14ac:dyDescent="0.35">
      <c r="B1186">
        <v>0</v>
      </c>
      <c r="C1186" t="s">
        <v>523</v>
      </c>
      <c r="D1186" t="s">
        <v>506</v>
      </c>
      <c r="E1186" t="s">
        <v>515</v>
      </c>
    </row>
    <row r="1187" spans="2:5" x14ac:dyDescent="0.35">
      <c r="B1187">
        <v>0</v>
      </c>
      <c r="C1187" t="s">
        <v>523</v>
      </c>
      <c r="D1187" t="s">
        <v>506</v>
      </c>
      <c r="E1187" t="s">
        <v>515</v>
      </c>
    </row>
    <row r="1188" spans="2:5" x14ac:dyDescent="0.35">
      <c r="B1188">
        <v>0</v>
      </c>
      <c r="C1188" t="s">
        <v>523</v>
      </c>
      <c r="D1188" t="s">
        <v>506</v>
      </c>
      <c r="E1188" t="s">
        <v>515</v>
      </c>
    </row>
    <row r="1189" spans="2:5" x14ac:dyDescent="0.35">
      <c r="B1189">
        <v>0</v>
      </c>
      <c r="C1189" t="s">
        <v>523</v>
      </c>
      <c r="D1189" t="s">
        <v>506</v>
      </c>
      <c r="E1189" t="s">
        <v>515</v>
      </c>
    </row>
    <row r="1190" spans="2:5" x14ac:dyDescent="0.35">
      <c r="B1190">
        <v>0</v>
      </c>
      <c r="C1190" t="s">
        <v>523</v>
      </c>
      <c r="D1190" t="s">
        <v>506</v>
      </c>
      <c r="E1190" t="s">
        <v>515</v>
      </c>
    </row>
    <row r="1191" spans="2:5" x14ac:dyDescent="0.35">
      <c r="B1191">
        <v>0</v>
      </c>
      <c r="C1191" t="s">
        <v>523</v>
      </c>
      <c r="D1191" t="s">
        <v>506</v>
      </c>
      <c r="E1191" t="s">
        <v>515</v>
      </c>
    </row>
    <row r="1192" spans="2:5" x14ac:dyDescent="0.35">
      <c r="B1192">
        <v>0</v>
      </c>
      <c r="C1192" t="s">
        <v>523</v>
      </c>
      <c r="D1192" t="s">
        <v>506</v>
      </c>
      <c r="E1192" t="s">
        <v>515</v>
      </c>
    </row>
    <row r="1193" spans="2:5" x14ac:dyDescent="0.35">
      <c r="B1193">
        <v>0</v>
      </c>
      <c r="C1193" t="s">
        <v>523</v>
      </c>
      <c r="D1193" t="s">
        <v>506</v>
      </c>
      <c r="E1193" t="s">
        <v>515</v>
      </c>
    </row>
    <row r="1194" spans="2:5" x14ac:dyDescent="0.35">
      <c r="B1194">
        <v>0</v>
      </c>
      <c r="C1194" t="s">
        <v>523</v>
      </c>
      <c r="D1194" t="s">
        <v>506</v>
      </c>
      <c r="E1194" t="s">
        <v>515</v>
      </c>
    </row>
    <row r="1195" spans="2:5" x14ac:dyDescent="0.35">
      <c r="B1195">
        <v>0</v>
      </c>
      <c r="C1195" t="s">
        <v>523</v>
      </c>
      <c r="D1195" t="s">
        <v>506</v>
      </c>
      <c r="E1195" t="s">
        <v>515</v>
      </c>
    </row>
    <row r="1196" spans="2:5" x14ac:dyDescent="0.35">
      <c r="B1196">
        <v>0</v>
      </c>
      <c r="C1196" t="s">
        <v>523</v>
      </c>
      <c r="D1196" t="s">
        <v>506</v>
      </c>
      <c r="E1196" t="s">
        <v>515</v>
      </c>
    </row>
    <row r="1197" spans="2:5" x14ac:dyDescent="0.35">
      <c r="B1197">
        <v>0</v>
      </c>
      <c r="C1197" t="s">
        <v>523</v>
      </c>
      <c r="D1197" t="s">
        <v>506</v>
      </c>
      <c r="E1197" t="s">
        <v>515</v>
      </c>
    </row>
    <row r="1198" spans="2:5" x14ac:dyDescent="0.35">
      <c r="B1198">
        <v>0</v>
      </c>
      <c r="C1198" t="s">
        <v>523</v>
      </c>
      <c r="D1198" t="s">
        <v>506</v>
      </c>
      <c r="E1198" t="s">
        <v>515</v>
      </c>
    </row>
    <row r="1199" spans="2:5" x14ac:dyDescent="0.35">
      <c r="B1199">
        <v>0</v>
      </c>
      <c r="C1199" t="s">
        <v>523</v>
      </c>
      <c r="D1199" t="s">
        <v>506</v>
      </c>
      <c r="E1199" t="s">
        <v>515</v>
      </c>
    </row>
    <row r="1200" spans="2:5" x14ac:dyDescent="0.35">
      <c r="B1200">
        <v>0</v>
      </c>
      <c r="C1200" t="s">
        <v>523</v>
      </c>
      <c r="D1200" t="s">
        <v>506</v>
      </c>
      <c r="E1200" t="s">
        <v>515</v>
      </c>
    </row>
    <row r="1201" spans="2:5" x14ac:dyDescent="0.35">
      <c r="B1201">
        <v>0</v>
      </c>
      <c r="C1201" t="s">
        <v>523</v>
      </c>
      <c r="D1201" t="s">
        <v>506</v>
      </c>
      <c r="E1201" t="s">
        <v>515</v>
      </c>
    </row>
    <row r="1202" spans="2:5" x14ac:dyDescent="0.35">
      <c r="B1202">
        <v>0</v>
      </c>
      <c r="C1202" t="s">
        <v>523</v>
      </c>
      <c r="D1202" t="s">
        <v>506</v>
      </c>
      <c r="E1202" t="s">
        <v>515</v>
      </c>
    </row>
    <row r="1203" spans="2:5" x14ac:dyDescent="0.35">
      <c r="B1203">
        <v>0</v>
      </c>
      <c r="C1203" t="s">
        <v>523</v>
      </c>
      <c r="D1203" t="s">
        <v>506</v>
      </c>
      <c r="E1203" t="s">
        <v>515</v>
      </c>
    </row>
    <row r="1204" spans="2:5" x14ac:dyDescent="0.35">
      <c r="B1204">
        <v>0</v>
      </c>
      <c r="C1204" t="s">
        <v>523</v>
      </c>
      <c r="D1204" t="s">
        <v>506</v>
      </c>
      <c r="E1204" t="s">
        <v>515</v>
      </c>
    </row>
    <row r="1205" spans="2:5" x14ac:dyDescent="0.35">
      <c r="B1205">
        <v>0</v>
      </c>
      <c r="C1205" t="s">
        <v>523</v>
      </c>
      <c r="D1205" t="s">
        <v>506</v>
      </c>
      <c r="E1205" t="s">
        <v>515</v>
      </c>
    </row>
    <row r="1206" spans="2:5" x14ac:dyDescent="0.35">
      <c r="B1206">
        <v>0</v>
      </c>
      <c r="C1206" t="s">
        <v>523</v>
      </c>
      <c r="D1206" t="s">
        <v>506</v>
      </c>
      <c r="E1206" t="s">
        <v>515</v>
      </c>
    </row>
    <row r="1207" spans="2:5" x14ac:dyDescent="0.35">
      <c r="B1207">
        <v>0</v>
      </c>
      <c r="C1207" t="s">
        <v>523</v>
      </c>
      <c r="D1207" t="s">
        <v>506</v>
      </c>
      <c r="E1207" t="s">
        <v>515</v>
      </c>
    </row>
    <row r="1208" spans="2:5" x14ac:dyDescent="0.35">
      <c r="B1208">
        <v>0</v>
      </c>
      <c r="C1208" t="s">
        <v>523</v>
      </c>
      <c r="D1208" t="s">
        <v>506</v>
      </c>
      <c r="E1208" t="s">
        <v>515</v>
      </c>
    </row>
    <row r="1209" spans="2:5" x14ac:dyDescent="0.35">
      <c r="B1209">
        <v>0</v>
      </c>
      <c r="C1209" t="s">
        <v>523</v>
      </c>
      <c r="D1209" t="s">
        <v>506</v>
      </c>
      <c r="E1209" t="s">
        <v>515</v>
      </c>
    </row>
    <row r="1210" spans="2:5" x14ac:dyDescent="0.35">
      <c r="B1210">
        <v>0</v>
      </c>
      <c r="C1210" t="s">
        <v>523</v>
      </c>
      <c r="D1210" t="s">
        <v>506</v>
      </c>
      <c r="E1210" t="s">
        <v>515</v>
      </c>
    </row>
    <row r="1211" spans="2:5" x14ac:dyDescent="0.35">
      <c r="B1211">
        <v>0</v>
      </c>
      <c r="C1211" t="s">
        <v>523</v>
      </c>
      <c r="D1211" t="s">
        <v>506</v>
      </c>
      <c r="E1211" t="s">
        <v>515</v>
      </c>
    </row>
    <row r="1212" spans="2:5" x14ac:dyDescent="0.35">
      <c r="B1212">
        <v>0</v>
      </c>
      <c r="C1212" t="s">
        <v>523</v>
      </c>
      <c r="D1212" t="s">
        <v>506</v>
      </c>
      <c r="E1212" t="s">
        <v>515</v>
      </c>
    </row>
    <row r="1213" spans="2:5" x14ac:dyDescent="0.35">
      <c r="B1213">
        <v>0</v>
      </c>
      <c r="C1213" t="s">
        <v>523</v>
      </c>
      <c r="D1213" t="s">
        <v>506</v>
      </c>
      <c r="E1213" t="s">
        <v>515</v>
      </c>
    </row>
    <row r="1214" spans="2:5" x14ac:dyDescent="0.35">
      <c r="B1214">
        <v>0</v>
      </c>
      <c r="C1214" t="s">
        <v>523</v>
      </c>
      <c r="D1214" t="s">
        <v>506</v>
      </c>
      <c r="E1214" t="s">
        <v>515</v>
      </c>
    </row>
    <row r="1215" spans="2:5" x14ac:dyDescent="0.35">
      <c r="B1215">
        <v>0</v>
      </c>
      <c r="C1215" t="s">
        <v>523</v>
      </c>
      <c r="D1215" t="s">
        <v>506</v>
      </c>
      <c r="E1215" t="s">
        <v>515</v>
      </c>
    </row>
    <row r="1216" spans="2:5" x14ac:dyDescent="0.35">
      <c r="B1216">
        <v>0</v>
      </c>
      <c r="C1216" t="s">
        <v>523</v>
      </c>
      <c r="D1216" t="s">
        <v>506</v>
      </c>
      <c r="E1216" t="s">
        <v>515</v>
      </c>
    </row>
    <row r="1217" spans="2:5" x14ac:dyDescent="0.35">
      <c r="B1217">
        <v>0</v>
      </c>
      <c r="C1217" t="s">
        <v>523</v>
      </c>
      <c r="D1217" t="s">
        <v>506</v>
      </c>
      <c r="E1217" t="s">
        <v>515</v>
      </c>
    </row>
    <row r="1218" spans="2:5" x14ac:dyDescent="0.35">
      <c r="B1218">
        <v>0</v>
      </c>
      <c r="C1218" t="s">
        <v>523</v>
      </c>
      <c r="D1218" t="s">
        <v>506</v>
      </c>
      <c r="E1218" t="s">
        <v>515</v>
      </c>
    </row>
    <row r="1219" spans="2:5" x14ac:dyDescent="0.35">
      <c r="B1219">
        <v>0</v>
      </c>
      <c r="C1219" t="s">
        <v>523</v>
      </c>
      <c r="D1219" t="s">
        <v>506</v>
      </c>
      <c r="E1219" t="s">
        <v>515</v>
      </c>
    </row>
    <row r="1220" spans="2:5" x14ac:dyDescent="0.35">
      <c r="B1220">
        <v>0</v>
      </c>
      <c r="C1220" t="s">
        <v>523</v>
      </c>
      <c r="D1220" t="s">
        <v>506</v>
      </c>
      <c r="E1220" t="s">
        <v>515</v>
      </c>
    </row>
    <row r="1221" spans="2:5" x14ac:dyDescent="0.35">
      <c r="B1221">
        <v>0</v>
      </c>
      <c r="C1221" t="s">
        <v>523</v>
      </c>
      <c r="D1221" t="s">
        <v>506</v>
      </c>
      <c r="E1221" t="s">
        <v>515</v>
      </c>
    </row>
    <row r="1222" spans="2:5" x14ac:dyDescent="0.35">
      <c r="B1222">
        <v>0</v>
      </c>
      <c r="C1222" t="s">
        <v>523</v>
      </c>
      <c r="D1222" t="s">
        <v>506</v>
      </c>
      <c r="E1222" t="s">
        <v>515</v>
      </c>
    </row>
    <row r="1223" spans="2:5" x14ac:dyDescent="0.35">
      <c r="B1223">
        <v>0</v>
      </c>
      <c r="C1223" t="s">
        <v>523</v>
      </c>
      <c r="D1223" t="s">
        <v>506</v>
      </c>
      <c r="E1223" t="s">
        <v>515</v>
      </c>
    </row>
    <row r="1224" spans="2:5" x14ac:dyDescent="0.35">
      <c r="B1224">
        <v>0</v>
      </c>
      <c r="C1224" t="s">
        <v>523</v>
      </c>
      <c r="D1224" t="s">
        <v>506</v>
      </c>
      <c r="E1224" t="s">
        <v>515</v>
      </c>
    </row>
    <row r="1225" spans="2:5" x14ac:dyDescent="0.35">
      <c r="B1225">
        <v>0</v>
      </c>
      <c r="C1225" t="s">
        <v>523</v>
      </c>
      <c r="D1225" t="s">
        <v>506</v>
      </c>
      <c r="E1225" t="s">
        <v>515</v>
      </c>
    </row>
    <row r="1226" spans="2:5" x14ac:dyDescent="0.35">
      <c r="B1226">
        <v>0</v>
      </c>
      <c r="C1226" t="s">
        <v>523</v>
      </c>
      <c r="D1226" t="s">
        <v>506</v>
      </c>
      <c r="E1226" t="s">
        <v>515</v>
      </c>
    </row>
    <row r="1227" spans="2:5" x14ac:dyDescent="0.35">
      <c r="B1227">
        <v>0</v>
      </c>
      <c r="C1227" t="s">
        <v>523</v>
      </c>
      <c r="D1227" t="s">
        <v>506</v>
      </c>
      <c r="E1227" t="s">
        <v>515</v>
      </c>
    </row>
    <row r="1228" spans="2:5" x14ac:dyDescent="0.35">
      <c r="B1228">
        <v>0</v>
      </c>
      <c r="C1228" t="s">
        <v>523</v>
      </c>
      <c r="D1228" t="s">
        <v>506</v>
      </c>
      <c r="E1228" t="s">
        <v>515</v>
      </c>
    </row>
    <row r="1229" spans="2:5" x14ac:dyDescent="0.35">
      <c r="B1229">
        <v>0</v>
      </c>
      <c r="C1229" t="s">
        <v>523</v>
      </c>
      <c r="D1229" t="s">
        <v>506</v>
      </c>
      <c r="E1229" t="s">
        <v>515</v>
      </c>
    </row>
    <row r="1230" spans="2:5" x14ac:dyDescent="0.35">
      <c r="B1230">
        <v>0</v>
      </c>
      <c r="C1230" t="s">
        <v>523</v>
      </c>
      <c r="D1230" t="s">
        <v>506</v>
      </c>
      <c r="E1230" t="s">
        <v>515</v>
      </c>
    </row>
    <row r="1231" spans="2:5" x14ac:dyDescent="0.35">
      <c r="B1231">
        <v>0</v>
      </c>
      <c r="C1231" t="s">
        <v>523</v>
      </c>
      <c r="D1231" t="s">
        <v>506</v>
      </c>
      <c r="E1231" t="s">
        <v>515</v>
      </c>
    </row>
    <row r="1232" spans="2:5" x14ac:dyDescent="0.35">
      <c r="B1232">
        <v>0</v>
      </c>
      <c r="C1232" t="s">
        <v>523</v>
      </c>
      <c r="D1232" t="s">
        <v>506</v>
      </c>
      <c r="E1232" t="s">
        <v>515</v>
      </c>
    </row>
    <row r="1233" spans="2:5" x14ac:dyDescent="0.35">
      <c r="B1233">
        <v>0</v>
      </c>
      <c r="C1233" t="s">
        <v>523</v>
      </c>
      <c r="D1233" t="s">
        <v>506</v>
      </c>
      <c r="E1233" t="s">
        <v>515</v>
      </c>
    </row>
    <row r="1234" spans="2:5" x14ac:dyDescent="0.35">
      <c r="B1234">
        <v>0</v>
      </c>
      <c r="C1234" t="s">
        <v>523</v>
      </c>
      <c r="D1234" t="s">
        <v>506</v>
      </c>
      <c r="E1234" t="s">
        <v>515</v>
      </c>
    </row>
    <row r="1235" spans="2:5" x14ac:dyDescent="0.35">
      <c r="B1235">
        <v>0</v>
      </c>
      <c r="C1235" t="s">
        <v>523</v>
      </c>
      <c r="D1235" t="s">
        <v>506</v>
      </c>
      <c r="E1235" t="s">
        <v>515</v>
      </c>
    </row>
    <row r="1236" spans="2:5" x14ac:dyDescent="0.35">
      <c r="B1236">
        <v>0</v>
      </c>
      <c r="C1236" t="s">
        <v>523</v>
      </c>
      <c r="D1236" t="s">
        <v>506</v>
      </c>
      <c r="E1236" t="s">
        <v>515</v>
      </c>
    </row>
    <row r="1237" spans="2:5" x14ac:dyDescent="0.35">
      <c r="B1237">
        <v>0</v>
      </c>
      <c r="C1237" t="s">
        <v>523</v>
      </c>
      <c r="D1237" t="s">
        <v>506</v>
      </c>
      <c r="E1237" t="s">
        <v>515</v>
      </c>
    </row>
    <row r="1238" spans="2:5" x14ac:dyDescent="0.35">
      <c r="B1238">
        <v>0</v>
      </c>
      <c r="C1238" t="s">
        <v>523</v>
      </c>
      <c r="D1238" t="s">
        <v>506</v>
      </c>
      <c r="E1238" t="s">
        <v>515</v>
      </c>
    </row>
    <row r="1239" spans="2:5" x14ac:dyDescent="0.35">
      <c r="B1239">
        <v>0</v>
      </c>
      <c r="C1239" t="s">
        <v>523</v>
      </c>
      <c r="D1239" t="s">
        <v>506</v>
      </c>
      <c r="E1239" t="s">
        <v>515</v>
      </c>
    </row>
    <row r="1240" spans="2:5" x14ac:dyDescent="0.35">
      <c r="B1240">
        <v>0</v>
      </c>
      <c r="C1240" t="s">
        <v>523</v>
      </c>
      <c r="D1240" t="s">
        <v>506</v>
      </c>
      <c r="E1240" t="s">
        <v>515</v>
      </c>
    </row>
    <row r="1241" spans="2:5" x14ac:dyDescent="0.35">
      <c r="B1241">
        <v>0</v>
      </c>
      <c r="C1241" t="s">
        <v>523</v>
      </c>
      <c r="D1241" t="s">
        <v>506</v>
      </c>
      <c r="E1241" t="s">
        <v>515</v>
      </c>
    </row>
    <row r="1242" spans="2:5" x14ac:dyDescent="0.35">
      <c r="B1242">
        <v>0</v>
      </c>
      <c r="C1242" t="s">
        <v>523</v>
      </c>
      <c r="D1242" t="s">
        <v>506</v>
      </c>
      <c r="E1242" t="s">
        <v>515</v>
      </c>
    </row>
    <row r="1243" spans="2:5" x14ac:dyDescent="0.35">
      <c r="B1243">
        <v>0</v>
      </c>
      <c r="C1243" t="s">
        <v>523</v>
      </c>
      <c r="D1243" t="s">
        <v>506</v>
      </c>
      <c r="E1243" t="s">
        <v>515</v>
      </c>
    </row>
    <row r="1244" spans="2:5" x14ac:dyDescent="0.35">
      <c r="B1244">
        <v>0</v>
      </c>
      <c r="C1244" t="s">
        <v>523</v>
      </c>
      <c r="D1244" t="s">
        <v>506</v>
      </c>
      <c r="E1244" t="s">
        <v>515</v>
      </c>
    </row>
  </sheetData>
  <conditionalFormatting sqref="A892:A894">
    <cfRule type="expression" dxfId="24" priority="9">
      <formula>$Q892=TRUE</formula>
    </cfRule>
    <cfRule type="containsText" dxfId="23" priority="10" operator="containsText" text=" ">
      <formula>NOT(ISERROR(SEARCH(" ",A892)))</formula>
    </cfRule>
  </conditionalFormatting>
  <conditionalFormatting sqref="A1039">
    <cfRule type="containsText" dxfId="22" priority="31" operator="containsText" text=" ">
      <formula>NOT(ISERROR(SEARCH(" ",A1039)))</formula>
    </cfRule>
  </conditionalFormatting>
  <conditionalFormatting sqref="A1049:A1058">
    <cfRule type="containsText" dxfId="21" priority="2" operator="containsText" text=" ">
      <formula>NOT(ISERROR(SEARCH(" ",A1049)))</formula>
    </cfRule>
  </conditionalFormatting>
  <conditionalFormatting sqref="A1050">
    <cfRule type="expression" dxfId="20" priority="29">
      <formula>$AT1050=TRUE</formula>
    </cfRule>
  </conditionalFormatting>
  <conditionalFormatting sqref="A1050:A1058">
    <cfRule type="expression" dxfId="19" priority="1">
      <formula>$Q1050=TRUE</formula>
    </cfRule>
  </conditionalFormatting>
  <conditionalFormatting sqref="A1052:A1053">
    <cfRule type="expression" dxfId="18" priority="21">
      <formula>$AU1052=TRUE</formula>
    </cfRule>
  </conditionalFormatting>
  <conditionalFormatting sqref="A942:B943">
    <cfRule type="containsText" dxfId="17" priority="113" operator="containsText" text=" ">
      <formula>NOT(ISERROR(SEARCH(" ",A942)))</formula>
    </cfRule>
  </conditionalFormatting>
  <conditionalFormatting sqref="A946:B950">
    <cfRule type="containsText" dxfId="16" priority="110" operator="containsText" text=" ">
      <formula>NOT(ISERROR(SEARCH(" ",A946)))</formula>
    </cfRule>
  </conditionalFormatting>
  <conditionalFormatting sqref="A952:B953">
    <cfRule type="containsText" dxfId="15" priority="108" operator="containsText" text=" ">
      <formula>NOT(ISERROR(SEARCH(" ",A952)))</formula>
    </cfRule>
  </conditionalFormatting>
  <conditionalFormatting sqref="A956:B971">
    <cfRule type="containsText" dxfId="14" priority="91" operator="containsText" text=" ">
      <formula>NOT(ISERROR(SEARCH(" ",A956)))</formula>
    </cfRule>
  </conditionalFormatting>
  <conditionalFormatting sqref="A974:B977">
    <cfRule type="containsText" dxfId="13" priority="87" operator="containsText" text=" ">
      <formula>NOT(ISERROR(SEARCH(" ",A974)))</formula>
    </cfRule>
  </conditionalFormatting>
  <conditionalFormatting sqref="A979:B982">
    <cfRule type="containsText" dxfId="12" priority="83" operator="containsText" text=" ">
      <formula>NOT(ISERROR(SEARCH(" ",A979)))</formula>
    </cfRule>
  </conditionalFormatting>
  <conditionalFormatting sqref="A985:B986">
    <cfRule type="containsText" dxfId="11" priority="81" operator="containsText" text=" ">
      <formula>NOT(ISERROR(SEARCH(" ",A985)))</formula>
    </cfRule>
  </conditionalFormatting>
  <conditionalFormatting sqref="A988:B991">
    <cfRule type="containsText" dxfId="10" priority="77" operator="containsText" text=" ">
      <formula>NOT(ISERROR(SEARCH(" ",A988)))</formula>
    </cfRule>
  </conditionalFormatting>
  <conditionalFormatting sqref="A994:B1029">
    <cfRule type="containsText" dxfId="9" priority="42" operator="containsText" text=" ">
      <formula>NOT(ISERROR(SEARCH(" ",A994)))</formula>
    </cfRule>
  </conditionalFormatting>
  <conditionalFormatting sqref="A1031:B1038 B1039 A1040:B1048">
    <cfRule type="containsText" dxfId="8" priority="32" operator="containsText" text=" ">
      <formula>NOT(ISERROR(SEARCH(" ",A1031)))</formula>
    </cfRule>
  </conditionalFormatting>
  <conditionalFormatting sqref="B893:B894 A895:B940">
    <cfRule type="containsText" dxfId="7" priority="115" operator="containsText" text=" ">
      <formula>NOT(ISERROR(SEARCH(" ",A893)))</formula>
    </cfRule>
  </conditionalFormatting>
  <conditionalFormatting sqref="C1:D1048576">
    <cfRule type="containsText" dxfId="6" priority="164" operator="containsText" text="FALSE">
      <formula>NOT(ISERROR(SEARCH("FALSE",C1)))</formula>
    </cfRule>
  </conditionalFormatting>
  <dataValidations disablePrompts="1" count="1">
    <dataValidation type="list" allowBlank="1" showInputMessage="1" showErrorMessage="1" sqref="I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activeCell="A821" sqref="A821"/>
      <selection pane="topRight" activeCell="A821" sqref="A821"/>
      <selection pane="bottomLeft" activeCell="A821" sqref="A821"/>
      <selection pane="bottomRight" activeCell="A821" sqref="A821"/>
    </sheetView>
  </sheetViews>
  <sheetFormatPr defaultRowHeight="14.5" x14ac:dyDescent="0.35"/>
  <cols>
    <col min="1" max="1" width="54.6328125" bestFit="1" customWidth="1"/>
    <col min="2" max="2" width="10.81640625" bestFit="1" customWidth="1"/>
    <col min="3" max="3" width="22.54296875" bestFit="1" customWidth="1"/>
    <col min="4" max="4" width="13.08984375" bestFit="1" customWidth="1"/>
    <col min="5" max="5" width="24.1796875" bestFit="1" customWidth="1"/>
    <col min="6" max="6" width="61.7265625" style="25" hidden="1" customWidth="1"/>
    <col min="7" max="7" width="9.08984375" bestFit="1" customWidth="1"/>
    <col min="8" max="8" width="6.7265625" bestFit="1" customWidth="1"/>
    <col min="9" max="9" width="20.08984375" bestFit="1" customWidth="1"/>
    <col min="10" max="10" width="18.1796875" bestFit="1" customWidth="1"/>
    <col min="11" max="11" width="18.7265625" bestFit="1" customWidth="1"/>
    <col min="12" max="12" width="20.1796875" bestFit="1" customWidth="1"/>
    <col min="13" max="13" width="17.36328125" bestFit="1" customWidth="1"/>
    <col min="14" max="14" width="17.26953125" bestFit="1" customWidth="1"/>
    <col min="15" max="15" width="10.6328125" bestFit="1" customWidth="1"/>
  </cols>
  <sheetData>
    <row r="1" spans="1:15" x14ac:dyDescent="0.35">
      <c r="A1" t="s">
        <v>0</v>
      </c>
      <c r="B1" t="s">
        <v>1885</v>
      </c>
      <c r="C1" t="s">
        <v>246</v>
      </c>
      <c r="D1" t="s">
        <v>1648</v>
      </c>
      <c r="E1" t="s">
        <v>1036</v>
      </c>
      <c r="F1" s="25" t="s">
        <v>1649</v>
      </c>
      <c r="G1" t="s">
        <v>233</v>
      </c>
      <c r="H1" t="s">
        <v>238</v>
      </c>
      <c r="I1" t="s">
        <v>231</v>
      </c>
      <c r="J1" t="s">
        <v>236</v>
      </c>
      <c r="K1" t="s">
        <v>230</v>
      </c>
      <c r="L1" t="s">
        <v>234</v>
      </c>
      <c r="M1" t="s">
        <v>235</v>
      </c>
      <c r="N1" t="s">
        <v>237</v>
      </c>
      <c r="O1" t="s">
        <v>232</v>
      </c>
    </row>
    <row r="2" spans="1:15" x14ac:dyDescent="0.35">
      <c r="A2" t="str" cm="1">
        <f t="array" ref="A2:A1051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e">
        <f>_xlfn.XLOOKUP($A2,PROPERTIES[VEHIDCODE],#REF!)</f>
        <v>#REF!</v>
      </c>
      <c r="F2" s="25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 x14ac:dyDescent="0.3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e">
        <f>_xlfn.XLOOKUP($A3,PROPERTIES[VEHIDCODE],#REF!)</f>
        <v>#REF!</v>
      </c>
      <c r="F3" s="25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 x14ac:dyDescent="0.3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e">
        <f>_xlfn.XLOOKUP($A4,PROPERTIES[VEHIDCODE],#REF!)</f>
        <v>#REF!</v>
      </c>
      <c r="F4" s="25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 x14ac:dyDescent="0.3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e">
        <f>_xlfn.XLOOKUP($A5,PROPERTIES[VEHIDCODE],#REF!)</f>
        <v>#REF!</v>
      </c>
      <c r="F5" s="25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 x14ac:dyDescent="0.3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e">
        <f>_xlfn.XLOOKUP($A6,PROPERTIES[VEHIDCODE],#REF!)</f>
        <v>#REF!</v>
      </c>
      <c r="F6" s="25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 x14ac:dyDescent="0.3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e">
        <f>_xlfn.XLOOKUP($A7,PROPERTIES[VEHIDCODE],#REF!)</f>
        <v>#REF!</v>
      </c>
      <c r="F7" s="25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 x14ac:dyDescent="0.3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e">
        <f>_xlfn.XLOOKUP($A8,PROPERTIES[VEHIDCODE],#REF!)</f>
        <v>#REF!</v>
      </c>
      <c r="F8" s="25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 x14ac:dyDescent="0.3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e">
        <f>_xlfn.XLOOKUP($A9,PROPERTIES[VEHIDCODE],#REF!)</f>
        <v>#REF!</v>
      </c>
      <c r="F9" s="25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 x14ac:dyDescent="0.3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e">
        <f>_xlfn.XLOOKUP($A10,PROPERTIES[VEHIDCODE],#REF!)</f>
        <v>#REF!</v>
      </c>
      <c r="F10" s="25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 x14ac:dyDescent="0.3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e">
        <f>_xlfn.XLOOKUP($A11,PROPERTIES[VEHIDCODE],#REF!)</f>
        <v>#REF!</v>
      </c>
      <c r="F11" s="25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 x14ac:dyDescent="0.3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e">
        <f>_xlfn.XLOOKUP($A12,PROPERTIES[VEHIDCODE],#REF!)</f>
        <v>#REF!</v>
      </c>
      <c r="F12" s="25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 x14ac:dyDescent="0.3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e">
        <f>_xlfn.XLOOKUP($A13,PROPERTIES[VEHIDCODE],#REF!)</f>
        <v>#REF!</v>
      </c>
      <c r="F13" s="25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 x14ac:dyDescent="0.3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e">
        <f>_xlfn.XLOOKUP($A14,PROPERTIES[VEHIDCODE],#REF!)</f>
        <v>#REF!</v>
      </c>
      <c r="F14" s="25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 x14ac:dyDescent="0.3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e">
        <f>_xlfn.XLOOKUP($A15,PROPERTIES[VEHIDCODE],#REF!)</f>
        <v>#REF!</v>
      </c>
      <c r="F15" s="25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 x14ac:dyDescent="0.3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e">
        <f>_xlfn.XLOOKUP($A16,PROPERTIES[VEHIDCODE],#REF!)</f>
        <v>#REF!</v>
      </c>
      <c r="F16" s="25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 x14ac:dyDescent="0.3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e">
        <f>_xlfn.XLOOKUP($A17,PROPERTIES[VEHIDCODE],#REF!)</f>
        <v>#REF!</v>
      </c>
      <c r="F17" s="25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 x14ac:dyDescent="0.3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e">
        <f>_xlfn.XLOOKUP($A18,PROPERTIES[VEHIDCODE],#REF!)</f>
        <v>#REF!</v>
      </c>
      <c r="F18" s="25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 x14ac:dyDescent="0.3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e">
        <f>_xlfn.XLOOKUP($A19,PROPERTIES[VEHIDCODE],#REF!)</f>
        <v>#REF!</v>
      </c>
      <c r="F19" s="25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 x14ac:dyDescent="0.3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e">
        <f>_xlfn.XLOOKUP($A20,PROPERTIES[VEHIDCODE],#REF!)</f>
        <v>#REF!</v>
      </c>
      <c r="F20" s="25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 x14ac:dyDescent="0.3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e">
        <f>_xlfn.XLOOKUP($A21,PROPERTIES[VEHIDCODE],#REF!)</f>
        <v>#REF!</v>
      </c>
      <c r="F21" s="25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 x14ac:dyDescent="0.3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e">
        <f>_xlfn.XLOOKUP($A22,PROPERTIES[VEHIDCODE],#REF!)</f>
        <v>#REF!</v>
      </c>
      <c r="F22" s="25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 x14ac:dyDescent="0.3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e">
        <f>_xlfn.XLOOKUP($A23,PROPERTIES[VEHIDCODE],#REF!)</f>
        <v>#REF!</v>
      </c>
      <c r="F23" s="25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 x14ac:dyDescent="0.3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e">
        <f>_xlfn.XLOOKUP($A24,PROPERTIES[VEHIDCODE],#REF!)</f>
        <v>#REF!</v>
      </c>
      <c r="F24" s="25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 x14ac:dyDescent="0.3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e">
        <f>_xlfn.XLOOKUP($A25,PROPERTIES[VEHIDCODE],#REF!)</f>
        <v>#REF!</v>
      </c>
      <c r="F25" s="25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 x14ac:dyDescent="0.3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e">
        <f>_xlfn.XLOOKUP($A26,PROPERTIES[VEHIDCODE],#REF!)</f>
        <v>#REF!</v>
      </c>
      <c r="F26" s="25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 x14ac:dyDescent="0.3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e">
        <f>_xlfn.XLOOKUP($A27,PROPERTIES[VEHIDCODE],#REF!)</f>
        <v>#REF!</v>
      </c>
      <c r="F27" s="25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 x14ac:dyDescent="0.3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e">
        <f>_xlfn.XLOOKUP($A28,PROPERTIES[VEHIDCODE],#REF!)</f>
        <v>#REF!</v>
      </c>
      <c r="F28" s="25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 x14ac:dyDescent="0.3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e">
        <f>_xlfn.XLOOKUP($A29,PROPERTIES[VEHIDCODE],#REF!)</f>
        <v>#REF!</v>
      </c>
      <c r="F29" s="25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 x14ac:dyDescent="0.3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e">
        <f>_xlfn.XLOOKUP($A30,PROPERTIES[VEHIDCODE],#REF!)</f>
        <v>#REF!</v>
      </c>
      <c r="F30" s="25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 x14ac:dyDescent="0.3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e">
        <f>_xlfn.XLOOKUP($A31,PROPERTIES[VEHIDCODE],#REF!)</f>
        <v>#REF!</v>
      </c>
      <c r="F31" s="25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 x14ac:dyDescent="0.3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e">
        <f>_xlfn.XLOOKUP($A32,PROPERTIES[VEHIDCODE],#REF!)</f>
        <v>#REF!</v>
      </c>
      <c r="F32" s="25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 x14ac:dyDescent="0.3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e">
        <f>_xlfn.XLOOKUP($A33,PROPERTIES[VEHIDCODE],#REF!)</f>
        <v>#REF!</v>
      </c>
      <c r="F33" s="25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 x14ac:dyDescent="0.3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e">
        <f>_xlfn.XLOOKUP($A34,PROPERTIES[VEHIDCODE],#REF!)</f>
        <v>#REF!</v>
      </c>
      <c r="F34" s="25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 x14ac:dyDescent="0.3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e">
        <f>_xlfn.XLOOKUP($A35,PROPERTIES[VEHIDCODE],#REF!)</f>
        <v>#REF!</v>
      </c>
      <c r="F35" s="25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 x14ac:dyDescent="0.3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e">
        <f>_xlfn.XLOOKUP($A36,PROPERTIES[VEHIDCODE],#REF!)</f>
        <v>#REF!</v>
      </c>
      <c r="F36" s="25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 x14ac:dyDescent="0.3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e">
        <f>_xlfn.XLOOKUP($A37,PROPERTIES[VEHIDCODE],#REF!)</f>
        <v>#REF!</v>
      </c>
      <c r="F37" s="25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 x14ac:dyDescent="0.3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e">
        <f>_xlfn.XLOOKUP($A38,PROPERTIES[VEHIDCODE],#REF!)</f>
        <v>#REF!</v>
      </c>
      <c r="F38" s="25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 x14ac:dyDescent="0.3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e">
        <f>_xlfn.XLOOKUP($A39,PROPERTIES[VEHIDCODE],#REF!)</f>
        <v>#REF!</v>
      </c>
      <c r="F39" s="25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 x14ac:dyDescent="0.3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e">
        <f>_xlfn.XLOOKUP($A40,PROPERTIES[VEHIDCODE],#REF!)</f>
        <v>#REF!</v>
      </c>
      <c r="F40" s="25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 x14ac:dyDescent="0.3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e">
        <f>_xlfn.XLOOKUP($A41,PROPERTIES[VEHIDCODE],#REF!)</f>
        <v>#REF!</v>
      </c>
      <c r="F41" s="25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 x14ac:dyDescent="0.3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e">
        <f>_xlfn.XLOOKUP($A42,PROPERTIES[VEHIDCODE],#REF!)</f>
        <v>#REF!</v>
      </c>
      <c r="F42" s="25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 x14ac:dyDescent="0.3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e">
        <f>_xlfn.XLOOKUP($A43,PROPERTIES[VEHIDCODE],#REF!)</f>
        <v>#REF!</v>
      </c>
      <c r="F43" s="25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 x14ac:dyDescent="0.3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e">
        <f>_xlfn.XLOOKUP($A44,PROPERTIES[VEHIDCODE],#REF!)</f>
        <v>#REF!</v>
      </c>
      <c r="F44" s="25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 x14ac:dyDescent="0.3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e">
        <f>_xlfn.XLOOKUP($A45,PROPERTIES[VEHIDCODE],#REF!)</f>
        <v>#REF!</v>
      </c>
      <c r="F45" s="25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 x14ac:dyDescent="0.3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e">
        <f>_xlfn.XLOOKUP($A46,PROPERTIES[VEHIDCODE],#REF!)</f>
        <v>#REF!</v>
      </c>
      <c r="F46" s="25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 x14ac:dyDescent="0.3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e">
        <f>_xlfn.XLOOKUP($A47,PROPERTIES[VEHIDCODE],#REF!)</f>
        <v>#REF!</v>
      </c>
      <c r="F47" s="25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 x14ac:dyDescent="0.3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e">
        <f>_xlfn.XLOOKUP($A48,PROPERTIES[VEHIDCODE],#REF!)</f>
        <v>#REF!</v>
      </c>
      <c r="F48" s="25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 x14ac:dyDescent="0.3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e">
        <f>_xlfn.XLOOKUP($A49,PROPERTIES[VEHIDCODE],#REF!)</f>
        <v>#REF!</v>
      </c>
      <c r="F49" s="25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 x14ac:dyDescent="0.3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e">
        <f>_xlfn.XLOOKUP($A50,PROPERTIES[VEHIDCODE],#REF!)</f>
        <v>#REF!</v>
      </c>
      <c r="F50" s="25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 x14ac:dyDescent="0.3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e">
        <f>_xlfn.XLOOKUP($A51,PROPERTIES[VEHIDCODE],#REF!)</f>
        <v>#REF!</v>
      </c>
      <c r="F51" s="25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 x14ac:dyDescent="0.3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e">
        <f>_xlfn.XLOOKUP($A52,PROPERTIES[VEHIDCODE],#REF!)</f>
        <v>#REF!</v>
      </c>
      <c r="F52" s="25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 x14ac:dyDescent="0.3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e">
        <f>_xlfn.XLOOKUP($A53,PROPERTIES[VEHIDCODE],#REF!)</f>
        <v>#REF!</v>
      </c>
      <c r="F53" s="25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 x14ac:dyDescent="0.3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e">
        <f>_xlfn.XLOOKUP($A54,PROPERTIES[VEHIDCODE],#REF!)</f>
        <v>#REF!</v>
      </c>
      <c r="F54" s="25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 x14ac:dyDescent="0.3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e">
        <f>_xlfn.XLOOKUP($A55,PROPERTIES[VEHIDCODE],#REF!)</f>
        <v>#REF!</v>
      </c>
      <c r="F55" s="25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 x14ac:dyDescent="0.3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e">
        <f>_xlfn.XLOOKUP($A56,PROPERTIES[VEHIDCODE],#REF!)</f>
        <v>#REF!</v>
      </c>
      <c r="F56" s="25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 x14ac:dyDescent="0.3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e">
        <f>_xlfn.XLOOKUP($A57,PROPERTIES[VEHIDCODE],#REF!)</f>
        <v>#REF!</v>
      </c>
      <c r="F57" s="25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 x14ac:dyDescent="0.3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e">
        <f>_xlfn.XLOOKUP($A58,PROPERTIES[VEHIDCODE],#REF!)</f>
        <v>#REF!</v>
      </c>
      <c r="F58" s="25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 x14ac:dyDescent="0.3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e">
        <f>_xlfn.XLOOKUP($A59,PROPERTIES[VEHIDCODE],#REF!)</f>
        <v>#REF!</v>
      </c>
      <c r="F59" s="25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 x14ac:dyDescent="0.3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e">
        <f>_xlfn.XLOOKUP($A60,PROPERTIES[VEHIDCODE],#REF!)</f>
        <v>#REF!</v>
      </c>
      <c r="F60" s="25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 x14ac:dyDescent="0.3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e">
        <f>_xlfn.XLOOKUP($A61,PROPERTIES[VEHIDCODE],#REF!)</f>
        <v>#REF!</v>
      </c>
      <c r="F61" s="25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 x14ac:dyDescent="0.3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e">
        <f>_xlfn.XLOOKUP($A62,PROPERTIES[VEHIDCODE],#REF!)</f>
        <v>#REF!</v>
      </c>
      <c r="F62" s="25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 x14ac:dyDescent="0.3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e">
        <f>_xlfn.XLOOKUP($A63,PROPERTIES[VEHIDCODE],#REF!)</f>
        <v>#REF!</v>
      </c>
      <c r="F63" s="25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 x14ac:dyDescent="0.3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e">
        <f>_xlfn.XLOOKUP($A64,PROPERTIES[VEHIDCODE],#REF!)</f>
        <v>#REF!</v>
      </c>
      <c r="F64" s="25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 x14ac:dyDescent="0.3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e">
        <f>_xlfn.XLOOKUP($A65,PROPERTIES[VEHIDCODE],#REF!)</f>
        <v>#REF!</v>
      </c>
      <c r="F65" s="25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 x14ac:dyDescent="0.3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e">
        <f>_xlfn.XLOOKUP($A66,PROPERTIES[VEHIDCODE],#REF!)</f>
        <v>#REF!</v>
      </c>
      <c r="F66" s="25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 x14ac:dyDescent="0.3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e">
        <f>_xlfn.XLOOKUP($A67,PROPERTIES[VEHIDCODE],#REF!)</f>
        <v>#REF!</v>
      </c>
      <c r="F67" s="25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 x14ac:dyDescent="0.3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e">
        <f>_xlfn.XLOOKUP($A68,PROPERTIES[VEHIDCODE],#REF!)</f>
        <v>#REF!</v>
      </c>
      <c r="F68" s="25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 x14ac:dyDescent="0.3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e">
        <f>_xlfn.XLOOKUP($A69,PROPERTIES[VEHIDCODE],#REF!)</f>
        <v>#REF!</v>
      </c>
      <c r="F69" s="25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 x14ac:dyDescent="0.3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e">
        <f>_xlfn.XLOOKUP($A70,PROPERTIES[VEHIDCODE],#REF!)</f>
        <v>#REF!</v>
      </c>
      <c r="F70" s="25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 x14ac:dyDescent="0.3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e">
        <f>_xlfn.XLOOKUP($A71,PROPERTIES[VEHIDCODE],#REF!)</f>
        <v>#REF!</v>
      </c>
      <c r="F71" s="25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 x14ac:dyDescent="0.3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e">
        <f>_xlfn.XLOOKUP($A72,PROPERTIES[VEHIDCODE],#REF!)</f>
        <v>#REF!</v>
      </c>
      <c r="F72" s="25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 x14ac:dyDescent="0.3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e">
        <f>_xlfn.XLOOKUP($A73,PROPERTIES[VEHIDCODE],#REF!)</f>
        <v>#REF!</v>
      </c>
      <c r="F73" s="25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 x14ac:dyDescent="0.3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e">
        <f>_xlfn.XLOOKUP($A74,PROPERTIES[VEHIDCODE],#REF!)</f>
        <v>#REF!</v>
      </c>
      <c r="F74" s="25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 x14ac:dyDescent="0.3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e">
        <f>_xlfn.XLOOKUP($A75,PROPERTIES[VEHIDCODE],#REF!)</f>
        <v>#REF!</v>
      </c>
      <c r="F75" s="25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 x14ac:dyDescent="0.3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e">
        <f>_xlfn.XLOOKUP($A76,PROPERTIES[VEHIDCODE],#REF!)</f>
        <v>#REF!</v>
      </c>
      <c r="F76" s="25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 x14ac:dyDescent="0.3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e">
        <f>_xlfn.XLOOKUP($A77,PROPERTIES[VEHIDCODE],#REF!)</f>
        <v>#REF!</v>
      </c>
      <c r="F77" s="25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 x14ac:dyDescent="0.3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e">
        <f>_xlfn.XLOOKUP($A78,PROPERTIES[VEHIDCODE],#REF!)</f>
        <v>#REF!</v>
      </c>
      <c r="F78" s="25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 x14ac:dyDescent="0.3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e">
        <f>_xlfn.XLOOKUP($A79,PROPERTIES[VEHIDCODE],#REF!)</f>
        <v>#REF!</v>
      </c>
      <c r="F79" s="25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 x14ac:dyDescent="0.3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e">
        <f>_xlfn.XLOOKUP($A80,PROPERTIES[VEHIDCODE],#REF!)</f>
        <v>#REF!</v>
      </c>
      <c r="F80" s="25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 x14ac:dyDescent="0.3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e">
        <f>_xlfn.XLOOKUP($A81,PROPERTIES[VEHIDCODE],#REF!)</f>
        <v>#REF!</v>
      </c>
      <c r="F81" s="25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 x14ac:dyDescent="0.3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e">
        <f>_xlfn.XLOOKUP($A82,PROPERTIES[VEHIDCODE],#REF!)</f>
        <v>#REF!</v>
      </c>
      <c r="F82" s="25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 x14ac:dyDescent="0.3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e">
        <f>_xlfn.XLOOKUP($A83,PROPERTIES[VEHIDCODE],#REF!)</f>
        <v>#REF!</v>
      </c>
      <c r="F83" s="25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 x14ac:dyDescent="0.3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e">
        <f>_xlfn.XLOOKUP($A84,PROPERTIES[VEHIDCODE],#REF!)</f>
        <v>#REF!</v>
      </c>
      <c r="F84" s="25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 x14ac:dyDescent="0.3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e">
        <f>_xlfn.XLOOKUP($A85,PROPERTIES[VEHIDCODE],#REF!)</f>
        <v>#REF!</v>
      </c>
      <c r="F85" s="25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 x14ac:dyDescent="0.3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e">
        <f>_xlfn.XLOOKUP($A86,PROPERTIES[VEHIDCODE],#REF!)</f>
        <v>#REF!</v>
      </c>
      <c r="F86" s="25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 x14ac:dyDescent="0.3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e">
        <f>_xlfn.XLOOKUP($A87,PROPERTIES[VEHIDCODE],#REF!)</f>
        <v>#REF!</v>
      </c>
      <c r="F87" s="25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 x14ac:dyDescent="0.3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e">
        <f>_xlfn.XLOOKUP($A88,PROPERTIES[VEHIDCODE],#REF!)</f>
        <v>#REF!</v>
      </c>
      <c r="F88" s="25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 x14ac:dyDescent="0.3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e">
        <f>_xlfn.XLOOKUP($A89,PROPERTIES[VEHIDCODE],#REF!)</f>
        <v>#REF!</v>
      </c>
      <c r="F89" s="25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 x14ac:dyDescent="0.3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e">
        <f>_xlfn.XLOOKUP($A90,PROPERTIES[VEHIDCODE],#REF!)</f>
        <v>#REF!</v>
      </c>
      <c r="F90" s="25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 x14ac:dyDescent="0.3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e">
        <f>_xlfn.XLOOKUP($A91,PROPERTIES[VEHIDCODE],#REF!)</f>
        <v>#REF!</v>
      </c>
      <c r="F91" s="25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 x14ac:dyDescent="0.3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e">
        <f>_xlfn.XLOOKUP($A92,PROPERTIES[VEHIDCODE],#REF!)</f>
        <v>#REF!</v>
      </c>
      <c r="F92" s="25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 x14ac:dyDescent="0.3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e">
        <f>_xlfn.XLOOKUP($A93,PROPERTIES[VEHIDCODE],#REF!)</f>
        <v>#REF!</v>
      </c>
      <c r="F93" s="25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 x14ac:dyDescent="0.3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e">
        <f>_xlfn.XLOOKUP($A94,PROPERTIES[VEHIDCODE],#REF!)</f>
        <v>#REF!</v>
      </c>
      <c r="F94" s="25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 x14ac:dyDescent="0.3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e">
        <f>_xlfn.XLOOKUP($A95,PROPERTIES[VEHIDCODE],#REF!)</f>
        <v>#REF!</v>
      </c>
      <c r="F95" s="25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 x14ac:dyDescent="0.3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e">
        <f>_xlfn.XLOOKUP($A96,PROPERTIES[VEHIDCODE],#REF!)</f>
        <v>#REF!</v>
      </c>
      <c r="F96" s="25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 x14ac:dyDescent="0.3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e">
        <f>_xlfn.XLOOKUP($A97,PROPERTIES[VEHIDCODE],#REF!)</f>
        <v>#REF!</v>
      </c>
      <c r="F97" s="25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 x14ac:dyDescent="0.3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e">
        <f>_xlfn.XLOOKUP($A98,PROPERTIES[VEHIDCODE],#REF!)</f>
        <v>#REF!</v>
      </c>
      <c r="F98" s="25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 x14ac:dyDescent="0.3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e">
        <f>_xlfn.XLOOKUP($A99,PROPERTIES[VEHIDCODE],#REF!)</f>
        <v>#REF!</v>
      </c>
      <c r="F99" s="25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 x14ac:dyDescent="0.3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e">
        <f>_xlfn.XLOOKUP($A100,PROPERTIES[VEHIDCODE],#REF!)</f>
        <v>#REF!</v>
      </c>
      <c r="F100" s="25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 x14ac:dyDescent="0.3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e">
        <f>_xlfn.XLOOKUP($A101,PROPERTIES[VEHIDCODE],#REF!)</f>
        <v>#REF!</v>
      </c>
      <c r="F101" s="25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 x14ac:dyDescent="0.3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e">
        <f>_xlfn.XLOOKUP($A102,PROPERTIES[VEHIDCODE],#REF!)</f>
        <v>#REF!</v>
      </c>
      <c r="F102" s="25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 x14ac:dyDescent="0.3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e">
        <f>_xlfn.XLOOKUP($A103,PROPERTIES[VEHIDCODE],#REF!)</f>
        <v>#REF!</v>
      </c>
      <c r="F103" s="25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 x14ac:dyDescent="0.3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e">
        <f>_xlfn.XLOOKUP($A104,PROPERTIES[VEHIDCODE],#REF!)</f>
        <v>#REF!</v>
      </c>
      <c r="F104" s="25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 x14ac:dyDescent="0.3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e">
        <f>_xlfn.XLOOKUP($A105,PROPERTIES[VEHIDCODE],#REF!)</f>
        <v>#REF!</v>
      </c>
      <c r="F105" s="25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 x14ac:dyDescent="0.3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e">
        <f>_xlfn.XLOOKUP($A106,PROPERTIES[VEHIDCODE],#REF!)</f>
        <v>#REF!</v>
      </c>
      <c r="F106" s="25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 x14ac:dyDescent="0.3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e">
        <f>_xlfn.XLOOKUP($A107,PROPERTIES[VEHIDCODE],#REF!)</f>
        <v>#REF!</v>
      </c>
      <c r="F107" s="25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 x14ac:dyDescent="0.3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e">
        <f>_xlfn.XLOOKUP($A108,PROPERTIES[VEHIDCODE],#REF!)</f>
        <v>#REF!</v>
      </c>
      <c r="F108" s="25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 x14ac:dyDescent="0.3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e">
        <f>_xlfn.XLOOKUP($A109,PROPERTIES[VEHIDCODE],#REF!)</f>
        <v>#REF!</v>
      </c>
      <c r="F109" s="25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 x14ac:dyDescent="0.3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e">
        <f>_xlfn.XLOOKUP($A110,PROPERTIES[VEHIDCODE],#REF!)</f>
        <v>#REF!</v>
      </c>
      <c r="F110" s="25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 x14ac:dyDescent="0.3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e">
        <f>_xlfn.XLOOKUP($A111,PROPERTIES[VEHIDCODE],#REF!)</f>
        <v>#REF!</v>
      </c>
      <c r="F111" s="25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 x14ac:dyDescent="0.3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e">
        <f>_xlfn.XLOOKUP($A112,PROPERTIES[VEHIDCODE],#REF!)</f>
        <v>#REF!</v>
      </c>
      <c r="F112" s="25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 x14ac:dyDescent="0.3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e">
        <f>_xlfn.XLOOKUP($A113,PROPERTIES[VEHIDCODE],#REF!)</f>
        <v>#REF!</v>
      </c>
      <c r="F113" s="25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 x14ac:dyDescent="0.3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e">
        <f>_xlfn.XLOOKUP($A114,PROPERTIES[VEHIDCODE],#REF!)</f>
        <v>#REF!</v>
      </c>
      <c r="F114" s="25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 x14ac:dyDescent="0.3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e">
        <f>_xlfn.XLOOKUP($A115,PROPERTIES[VEHIDCODE],#REF!)</f>
        <v>#REF!</v>
      </c>
      <c r="F115" s="25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 x14ac:dyDescent="0.3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e">
        <f>_xlfn.XLOOKUP($A116,PROPERTIES[VEHIDCODE],#REF!)</f>
        <v>#REF!</v>
      </c>
      <c r="F116" s="25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 x14ac:dyDescent="0.3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e">
        <f>_xlfn.XLOOKUP($A117,PROPERTIES[VEHIDCODE],#REF!)</f>
        <v>#REF!</v>
      </c>
      <c r="F117" s="25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 x14ac:dyDescent="0.3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e">
        <f>_xlfn.XLOOKUP($A118,PROPERTIES[VEHIDCODE],#REF!)</f>
        <v>#REF!</v>
      </c>
      <c r="F118" s="25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 x14ac:dyDescent="0.3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e">
        <f>_xlfn.XLOOKUP($A119,PROPERTIES[VEHIDCODE],#REF!)</f>
        <v>#REF!</v>
      </c>
      <c r="F119" s="25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 x14ac:dyDescent="0.3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e">
        <f>_xlfn.XLOOKUP($A120,PROPERTIES[VEHIDCODE],#REF!)</f>
        <v>#REF!</v>
      </c>
      <c r="F120" s="25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 x14ac:dyDescent="0.3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e">
        <f>_xlfn.XLOOKUP($A121,PROPERTIES[VEHIDCODE],#REF!)</f>
        <v>#REF!</v>
      </c>
      <c r="F121" s="25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 x14ac:dyDescent="0.3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e">
        <f>_xlfn.XLOOKUP($A122,PROPERTIES[VEHIDCODE],#REF!)</f>
        <v>#REF!</v>
      </c>
      <c r="F122" s="25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 x14ac:dyDescent="0.3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e">
        <f>_xlfn.XLOOKUP($A123,PROPERTIES[VEHIDCODE],#REF!)</f>
        <v>#REF!</v>
      </c>
      <c r="F123" s="25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 x14ac:dyDescent="0.3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e">
        <f>_xlfn.XLOOKUP($A124,PROPERTIES[VEHIDCODE],#REF!)</f>
        <v>#REF!</v>
      </c>
      <c r="F124" s="25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 x14ac:dyDescent="0.3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e">
        <f>_xlfn.XLOOKUP($A125,PROPERTIES[VEHIDCODE],#REF!)</f>
        <v>#REF!</v>
      </c>
      <c r="F125" s="25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 x14ac:dyDescent="0.3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e">
        <f>_xlfn.XLOOKUP($A126,PROPERTIES[VEHIDCODE],#REF!)</f>
        <v>#REF!</v>
      </c>
      <c r="F126" s="25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 x14ac:dyDescent="0.3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e">
        <f>_xlfn.XLOOKUP($A127,PROPERTIES[VEHIDCODE],#REF!)</f>
        <v>#REF!</v>
      </c>
      <c r="F127" s="25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 x14ac:dyDescent="0.3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e">
        <f>_xlfn.XLOOKUP($A128,PROPERTIES[VEHIDCODE],#REF!)</f>
        <v>#REF!</v>
      </c>
      <c r="F128" s="25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 x14ac:dyDescent="0.3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e">
        <f>_xlfn.XLOOKUP($A129,PROPERTIES[VEHIDCODE],#REF!)</f>
        <v>#REF!</v>
      </c>
      <c r="F129" s="25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 x14ac:dyDescent="0.3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e">
        <f>_xlfn.XLOOKUP($A130,PROPERTIES[VEHIDCODE],#REF!)</f>
        <v>#REF!</v>
      </c>
      <c r="F130" s="25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 x14ac:dyDescent="0.3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e">
        <f>_xlfn.XLOOKUP($A131,PROPERTIES[VEHIDCODE],#REF!)</f>
        <v>#REF!</v>
      </c>
      <c r="F131" s="25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 x14ac:dyDescent="0.3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e">
        <f>_xlfn.XLOOKUP($A132,PROPERTIES[VEHIDCODE],#REF!)</f>
        <v>#REF!</v>
      </c>
      <c r="F132" s="25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 x14ac:dyDescent="0.3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e">
        <f>_xlfn.XLOOKUP($A133,PROPERTIES[VEHIDCODE],#REF!)</f>
        <v>#REF!</v>
      </c>
      <c r="F133" s="25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 x14ac:dyDescent="0.3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e">
        <f>_xlfn.XLOOKUP($A134,PROPERTIES[VEHIDCODE],#REF!)</f>
        <v>#REF!</v>
      </c>
      <c r="F134" s="25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 x14ac:dyDescent="0.3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e">
        <f>_xlfn.XLOOKUP($A135,PROPERTIES[VEHIDCODE],#REF!)</f>
        <v>#REF!</v>
      </c>
      <c r="F135" s="25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 x14ac:dyDescent="0.3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e">
        <f>_xlfn.XLOOKUP($A136,PROPERTIES[VEHIDCODE],#REF!)</f>
        <v>#REF!</v>
      </c>
      <c r="F136" s="25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 x14ac:dyDescent="0.3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e">
        <f>_xlfn.XLOOKUP($A137,PROPERTIES[VEHIDCODE],#REF!)</f>
        <v>#REF!</v>
      </c>
      <c r="F137" s="25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 x14ac:dyDescent="0.3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e">
        <f>_xlfn.XLOOKUP($A138,PROPERTIES[VEHIDCODE],#REF!)</f>
        <v>#REF!</v>
      </c>
      <c r="F138" s="25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 x14ac:dyDescent="0.3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e">
        <f>_xlfn.XLOOKUP($A139,PROPERTIES[VEHIDCODE],#REF!)</f>
        <v>#REF!</v>
      </c>
      <c r="F139" s="25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 x14ac:dyDescent="0.3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e">
        <f>_xlfn.XLOOKUP($A140,PROPERTIES[VEHIDCODE],#REF!)</f>
        <v>#REF!</v>
      </c>
      <c r="F140" s="25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 x14ac:dyDescent="0.3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e">
        <f>_xlfn.XLOOKUP($A141,PROPERTIES[VEHIDCODE],#REF!)</f>
        <v>#REF!</v>
      </c>
      <c r="F141" s="25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 x14ac:dyDescent="0.3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e">
        <f>_xlfn.XLOOKUP($A142,PROPERTIES[VEHIDCODE],#REF!)</f>
        <v>#REF!</v>
      </c>
      <c r="F142" s="25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 x14ac:dyDescent="0.3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e">
        <f>_xlfn.XLOOKUP($A143,PROPERTIES[VEHIDCODE],#REF!)</f>
        <v>#REF!</v>
      </c>
      <c r="F143" s="25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 x14ac:dyDescent="0.3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e">
        <f>_xlfn.XLOOKUP($A144,PROPERTIES[VEHIDCODE],#REF!)</f>
        <v>#REF!</v>
      </c>
      <c r="F144" s="25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 x14ac:dyDescent="0.3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e">
        <f>_xlfn.XLOOKUP($A145,PROPERTIES[VEHIDCODE],#REF!)</f>
        <v>#REF!</v>
      </c>
      <c r="F145" s="25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 x14ac:dyDescent="0.3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e">
        <f>_xlfn.XLOOKUP($A146,PROPERTIES[VEHIDCODE],#REF!)</f>
        <v>#REF!</v>
      </c>
      <c r="F146" s="25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 x14ac:dyDescent="0.3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e">
        <f>_xlfn.XLOOKUP($A147,PROPERTIES[VEHIDCODE],#REF!)</f>
        <v>#REF!</v>
      </c>
      <c r="F147" s="25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 x14ac:dyDescent="0.3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e">
        <f>_xlfn.XLOOKUP($A148,PROPERTIES[VEHIDCODE],#REF!)</f>
        <v>#REF!</v>
      </c>
      <c r="F148" s="25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 x14ac:dyDescent="0.3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e">
        <f>_xlfn.XLOOKUP($A149,PROPERTIES[VEHIDCODE],#REF!)</f>
        <v>#REF!</v>
      </c>
      <c r="F149" s="25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 x14ac:dyDescent="0.3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e">
        <f>_xlfn.XLOOKUP($A150,PROPERTIES[VEHIDCODE],#REF!)</f>
        <v>#REF!</v>
      </c>
      <c r="F150" s="25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 x14ac:dyDescent="0.3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e">
        <f>_xlfn.XLOOKUP($A151,PROPERTIES[VEHIDCODE],#REF!)</f>
        <v>#REF!</v>
      </c>
      <c r="F151" s="25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 x14ac:dyDescent="0.3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e">
        <f>_xlfn.XLOOKUP($A152,PROPERTIES[VEHIDCODE],#REF!)</f>
        <v>#REF!</v>
      </c>
      <c r="F152" s="25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 x14ac:dyDescent="0.3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e">
        <f>_xlfn.XLOOKUP($A153,PROPERTIES[VEHIDCODE],#REF!)</f>
        <v>#REF!</v>
      </c>
      <c r="F153" s="25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 x14ac:dyDescent="0.3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e">
        <f>_xlfn.XLOOKUP($A154,PROPERTIES[VEHIDCODE],#REF!)</f>
        <v>#REF!</v>
      </c>
      <c r="F154" s="25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 x14ac:dyDescent="0.3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e">
        <f>_xlfn.XLOOKUP($A155,PROPERTIES[VEHIDCODE],#REF!)</f>
        <v>#REF!</v>
      </c>
      <c r="F155" s="25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 x14ac:dyDescent="0.3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e">
        <f>_xlfn.XLOOKUP($A156,PROPERTIES[VEHIDCODE],#REF!)</f>
        <v>#REF!</v>
      </c>
      <c r="F156" s="25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 x14ac:dyDescent="0.3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e">
        <f>_xlfn.XLOOKUP($A157,PROPERTIES[VEHIDCODE],#REF!)</f>
        <v>#REF!</v>
      </c>
      <c r="F157" s="25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 x14ac:dyDescent="0.3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e">
        <f>_xlfn.XLOOKUP($A158,PROPERTIES[VEHIDCODE],#REF!)</f>
        <v>#REF!</v>
      </c>
      <c r="F158" s="25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 x14ac:dyDescent="0.3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e">
        <f>_xlfn.XLOOKUP($A159,PROPERTIES[VEHIDCODE],#REF!)</f>
        <v>#REF!</v>
      </c>
      <c r="F159" s="25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 x14ac:dyDescent="0.3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e">
        <f>_xlfn.XLOOKUP($A160,PROPERTIES[VEHIDCODE],#REF!)</f>
        <v>#REF!</v>
      </c>
      <c r="F160" s="25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 x14ac:dyDescent="0.3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e">
        <f>_xlfn.XLOOKUP($A161,PROPERTIES[VEHIDCODE],#REF!)</f>
        <v>#REF!</v>
      </c>
      <c r="F161" s="25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 x14ac:dyDescent="0.3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e">
        <f>_xlfn.XLOOKUP($A162,PROPERTIES[VEHIDCODE],#REF!)</f>
        <v>#REF!</v>
      </c>
      <c r="F162" s="25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 x14ac:dyDescent="0.3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e">
        <f>_xlfn.XLOOKUP($A163,PROPERTIES[VEHIDCODE],#REF!)</f>
        <v>#REF!</v>
      </c>
      <c r="F163" s="25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 x14ac:dyDescent="0.3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e">
        <f>_xlfn.XLOOKUP($A164,PROPERTIES[VEHIDCODE],#REF!)</f>
        <v>#REF!</v>
      </c>
      <c r="F164" s="25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 x14ac:dyDescent="0.3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e">
        <f>_xlfn.XLOOKUP($A165,PROPERTIES[VEHIDCODE],#REF!)</f>
        <v>#REF!</v>
      </c>
      <c r="F165" s="25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 x14ac:dyDescent="0.3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e">
        <f>_xlfn.XLOOKUP($A166,PROPERTIES[VEHIDCODE],#REF!)</f>
        <v>#REF!</v>
      </c>
      <c r="F166" s="25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 x14ac:dyDescent="0.3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e">
        <f>_xlfn.XLOOKUP($A167,PROPERTIES[VEHIDCODE],#REF!)</f>
        <v>#REF!</v>
      </c>
      <c r="F167" s="25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 x14ac:dyDescent="0.3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e">
        <f>_xlfn.XLOOKUP($A168,PROPERTIES[VEHIDCODE],#REF!)</f>
        <v>#REF!</v>
      </c>
      <c r="F168" s="25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 x14ac:dyDescent="0.3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e">
        <f>_xlfn.XLOOKUP($A169,PROPERTIES[VEHIDCODE],#REF!)</f>
        <v>#REF!</v>
      </c>
      <c r="F169" s="25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 x14ac:dyDescent="0.3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e">
        <f>_xlfn.XLOOKUP($A170,PROPERTIES[VEHIDCODE],#REF!)</f>
        <v>#REF!</v>
      </c>
      <c r="F170" s="25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 x14ac:dyDescent="0.3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e">
        <f>_xlfn.XLOOKUP($A171,PROPERTIES[VEHIDCODE],#REF!)</f>
        <v>#REF!</v>
      </c>
      <c r="F171" s="25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 x14ac:dyDescent="0.3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e">
        <f>_xlfn.XLOOKUP($A172,PROPERTIES[VEHIDCODE],#REF!)</f>
        <v>#REF!</v>
      </c>
      <c r="F172" s="25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 x14ac:dyDescent="0.3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e">
        <f>_xlfn.XLOOKUP($A173,PROPERTIES[VEHIDCODE],#REF!)</f>
        <v>#REF!</v>
      </c>
      <c r="F173" s="25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 x14ac:dyDescent="0.3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e">
        <f>_xlfn.XLOOKUP($A174,PROPERTIES[VEHIDCODE],#REF!)</f>
        <v>#REF!</v>
      </c>
      <c r="F174" s="25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 x14ac:dyDescent="0.3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e">
        <f>_xlfn.XLOOKUP($A175,PROPERTIES[VEHIDCODE],#REF!)</f>
        <v>#REF!</v>
      </c>
      <c r="F175" s="25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 x14ac:dyDescent="0.3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e">
        <f>_xlfn.XLOOKUP($A176,PROPERTIES[VEHIDCODE],#REF!)</f>
        <v>#REF!</v>
      </c>
      <c r="F176" s="25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 x14ac:dyDescent="0.3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e">
        <f>_xlfn.XLOOKUP($A177,PROPERTIES[VEHIDCODE],#REF!)</f>
        <v>#REF!</v>
      </c>
      <c r="F177" s="25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 x14ac:dyDescent="0.3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e">
        <f>_xlfn.XLOOKUP($A178,PROPERTIES[VEHIDCODE],#REF!)</f>
        <v>#REF!</v>
      </c>
      <c r="F178" s="25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 x14ac:dyDescent="0.3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e">
        <f>_xlfn.XLOOKUP($A179,PROPERTIES[VEHIDCODE],#REF!)</f>
        <v>#REF!</v>
      </c>
      <c r="F179" s="25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 x14ac:dyDescent="0.3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e">
        <f>_xlfn.XLOOKUP($A180,PROPERTIES[VEHIDCODE],#REF!)</f>
        <v>#REF!</v>
      </c>
      <c r="F180" s="25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 x14ac:dyDescent="0.3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e">
        <f>_xlfn.XLOOKUP($A181,PROPERTIES[VEHIDCODE],#REF!)</f>
        <v>#REF!</v>
      </c>
      <c r="F181" s="25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 x14ac:dyDescent="0.3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e">
        <f>_xlfn.XLOOKUP($A182,PROPERTIES[VEHIDCODE],#REF!)</f>
        <v>#REF!</v>
      </c>
      <c r="F182" s="25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 x14ac:dyDescent="0.3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e">
        <f>_xlfn.XLOOKUP($A183,PROPERTIES[VEHIDCODE],#REF!)</f>
        <v>#REF!</v>
      </c>
      <c r="F183" s="25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 x14ac:dyDescent="0.3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e">
        <f>_xlfn.XLOOKUP($A184,PROPERTIES[VEHIDCODE],#REF!)</f>
        <v>#REF!</v>
      </c>
      <c r="F184" s="25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 x14ac:dyDescent="0.3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e">
        <f>_xlfn.XLOOKUP($A185,PROPERTIES[VEHIDCODE],#REF!)</f>
        <v>#REF!</v>
      </c>
      <c r="F185" s="25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 x14ac:dyDescent="0.3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e">
        <f>_xlfn.XLOOKUP($A186,PROPERTIES[VEHIDCODE],#REF!)</f>
        <v>#REF!</v>
      </c>
      <c r="F186" s="25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 x14ac:dyDescent="0.3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e">
        <f>_xlfn.XLOOKUP($A187,PROPERTIES[VEHIDCODE],#REF!)</f>
        <v>#REF!</v>
      </c>
      <c r="F187" s="25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 x14ac:dyDescent="0.3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e">
        <f>_xlfn.XLOOKUP($A188,PROPERTIES[VEHIDCODE],#REF!)</f>
        <v>#REF!</v>
      </c>
      <c r="F188" s="25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 x14ac:dyDescent="0.3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e">
        <f>_xlfn.XLOOKUP($A189,PROPERTIES[VEHIDCODE],#REF!)</f>
        <v>#REF!</v>
      </c>
      <c r="F189" s="25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 x14ac:dyDescent="0.3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e">
        <f>_xlfn.XLOOKUP($A190,PROPERTIES[VEHIDCODE],#REF!)</f>
        <v>#REF!</v>
      </c>
      <c r="F190" s="25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 x14ac:dyDescent="0.3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e">
        <f>_xlfn.XLOOKUP($A191,PROPERTIES[VEHIDCODE],#REF!)</f>
        <v>#REF!</v>
      </c>
      <c r="F191" s="25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 x14ac:dyDescent="0.3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e">
        <f>_xlfn.XLOOKUP($A192,PROPERTIES[VEHIDCODE],#REF!)</f>
        <v>#REF!</v>
      </c>
      <c r="F192" s="25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 x14ac:dyDescent="0.3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e">
        <f>_xlfn.XLOOKUP($A193,PROPERTIES[VEHIDCODE],#REF!)</f>
        <v>#REF!</v>
      </c>
      <c r="F193" s="25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 x14ac:dyDescent="0.3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e">
        <f>_xlfn.XLOOKUP($A194,PROPERTIES[VEHIDCODE],#REF!)</f>
        <v>#REF!</v>
      </c>
      <c r="F194" s="25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 x14ac:dyDescent="0.3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e">
        <f>_xlfn.XLOOKUP($A195,PROPERTIES[VEHIDCODE],#REF!)</f>
        <v>#REF!</v>
      </c>
      <c r="F195" s="25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 x14ac:dyDescent="0.3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e">
        <f>_xlfn.XLOOKUP($A196,PROPERTIES[VEHIDCODE],#REF!)</f>
        <v>#REF!</v>
      </c>
      <c r="F196" s="25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 x14ac:dyDescent="0.3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e">
        <f>_xlfn.XLOOKUP($A197,PROPERTIES[VEHIDCODE],#REF!)</f>
        <v>#REF!</v>
      </c>
      <c r="F197" s="25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 x14ac:dyDescent="0.3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e">
        <f>_xlfn.XLOOKUP($A198,PROPERTIES[VEHIDCODE],#REF!)</f>
        <v>#REF!</v>
      </c>
      <c r="F198" s="25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 x14ac:dyDescent="0.3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e">
        <f>_xlfn.XLOOKUP($A199,PROPERTIES[VEHIDCODE],#REF!)</f>
        <v>#REF!</v>
      </c>
      <c r="F199" s="25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 x14ac:dyDescent="0.3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e">
        <f>_xlfn.XLOOKUP($A200,PROPERTIES[VEHIDCODE],#REF!)</f>
        <v>#REF!</v>
      </c>
      <c r="F200" s="25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 x14ac:dyDescent="0.3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e">
        <f>_xlfn.XLOOKUP($A201,PROPERTIES[VEHIDCODE],#REF!)</f>
        <v>#REF!</v>
      </c>
      <c r="F201" s="25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 x14ac:dyDescent="0.3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e">
        <f>_xlfn.XLOOKUP($A202,PROPERTIES[VEHIDCODE],#REF!)</f>
        <v>#REF!</v>
      </c>
      <c r="F202" s="25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 x14ac:dyDescent="0.3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e">
        <f>_xlfn.XLOOKUP($A203,PROPERTIES[VEHIDCODE],#REF!)</f>
        <v>#REF!</v>
      </c>
      <c r="F203" s="25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 x14ac:dyDescent="0.3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e">
        <f>_xlfn.XLOOKUP($A204,PROPERTIES[VEHIDCODE],#REF!)</f>
        <v>#REF!</v>
      </c>
      <c r="F204" s="25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 x14ac:dyDescent="0.3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e">
        <f>_xlfn.XLOOKUP($A205,PROPERTIES[VEHIDCODE],#REF!)</f>
        <v>#REF!</v>
      </c>
      <c r="F205" s="25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 x14ac:dyDescent="0.3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e">
        <f>_xlfn.XLOOKUP($A206,PROPERTIES[VEHIDCODE],#REF!)</f>
        <v>#REF!</v>
      </c>
      <c r="F206" s="25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 x14ac:dyDescent="0.3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e">
        <f>_xlfn.XLOOKUP($A207,PROPERTIES[VEHIDCODE],#REF!)</f>
        <v>#REF!</v>
      </c>
      <c r="F207" s="25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 x14ac:dyDescent="0.3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e">
        <f>_xlfn.XLOOKUP($A208,PROPERTIES[VEHIDCODE],#REF!)</f>
        <v>#REF!</v>
      </c>
      <c r="F208" s="25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 x14ac:dyDescent="0.3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e">
        <f>_xlfn.XLOOKUP($A209,PROPERTIES[VEHIDCODE],#REF!)</f>
        <v>#REF!</v>
      </c>
      <c r="F209" s="25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 x14ac:dyDescent="0.3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e">
        <f>_xlfn.XLOOKUP($A210,PROPERTIES[VEHIDCODE],#REF!)</f>
        <v>#REF!</v>
      </c>
      <c r="F210" s="25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 x14ac:dyDescent="0.3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e">
        <f>_xlfn.XLOOKUP($A211,PROPERTIES[VEHIDCODE],#REF!)</f>
        <v>#REF!</v>
      </c>
      <c r="F211" s="25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 x14ac:dyDescent="0.3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e">
        <f>_xlfn.XLOOKUP($A212,PROPERTIES[VEHIDCODE],#REF!)</f>
        <v>#REF!</v>
      </c>
      <c r="F212" s="25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EASTERN_EUROPE_AFRICA_APAC_SOUTH_AMERICA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1</v>
      </c>
      <c r="O212" t="b">
        <f t="shared" si="33"/>
        <v>1</v>
      </c>
    </row>
    <row r="213" spans="1:15" x14ac:dyDescent="0.3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e">
        <f>_xlfn.XLOOKUP($A213,PROPERTIES[VEHIDCODE],#REF!)</f>
        <v>#REF!</v>
      </c>
      <c r="F213" s="25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 x14ac:dyDescent="0.3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e">
        <f>_xlfn.XLOOKUP($A214,PROPERTIES[VEHIDCODE],#REF!)</f>
        <v>#REF!</v>
      </c>
      <c r="F214" s="25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 x14ac:dyDescent="0.3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e">
        <f>_xlfn.XLOOKUP($A215,PROPERTIES[VEHIDCODE],#REF!)</f>
        <v>#REF!</v>
      </c>
      <c r="F215" s="25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 x14ac:dyDescent="0.3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e">
        <f>_xlfn.XLOOKUP($A216,PROPERTIES[VEHIDCODE],#REF!)</f>
        <v>#REF!</v>
      </c>
      <c r="F216" s="25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 x14ac:dyDescent="0.3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e">
        <f>_xlfn.XLOOKUP($A217,PROPERTIES[VEHIDCODE],#REF!)</f>
        <v>#REF!</v>
      </c>
      <c r="F217" s="25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 x14ac:dyDescent="0.3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e">
        <f>_xlfn.XLOOKUP($A218,PROPERTIES[VEHIDCODE],#REF!)</f>
        <v>#REF!</v>
      </c>
      <c r="F218" s="25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 x14ac:dyDescent="0.3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e">
        <f>_xlfn.XLOOKUP($A219,PROPERTIES[VEHIDCODE],#REF!)</f>
        <v>#REF!</v>
      </c>
      <c r="F219" s="25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 x14ac:dyDescent="0.3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e">
        <f>_xlfn.XLOOKUP($A220,PROPERTIES[VEHIDCODE],#REF!)</f>
        <v>#REF!</v>
      </c>
      <c r="F220" s="25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 x14ac:dyDescent="0.3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e">
        <f>_xlfn.XLOOKUP($A221,PROPERTIES[VEHIDCODE],#REF!)</f>
        <v>#REF!</v>
      </c>
      <c r="F221" s="25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 x14ac:dyDescent="0.3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e">
        <f>_xlfn.XLOOKUP($A222,PROPERTIES[VEHIDCODE],#REF!)</f>
        <v>#REF!</v>
      </c>
      <c r="F222" s="25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 x14ac:dyDescent="0.3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e">
        <f>_xlfn.XLOOKUP($A223,PROPERTIES[VEHIDCODE],#REF!)</f>
        <v>#REF!</v>
      </c>
      <c r="F223" s="25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 x14ac:dyDescent="0.3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e">
        <f>_xlfn.XLOOKUP($A224,PROPERTIES[VEHIDCODE],#REF!)</f>
        <v>#REF!</v>
      </c>
      <c r="F224" s="25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 x14ac:dyDescent="0.3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e">
        <f>_xlfn.XLOOKUP($A225,PROPERTIES[VEHIDCODE],#REF!)</f>
        <v>#REF!</v>
      </c>
      <c r="F225" s="25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 x14ac:dyDescent="0.3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e">
        <f>_xlfn.XLOOKUP($A226,PROPERTIES[VEHIDCODE],#REF!)</f>
        <v>#REF!</v>
      </c>
      <c r="F226" s="25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 x14ac:dyDescent="0.3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e">
        <f>_xlfn.XLOOKUP($A227,PROPERTIES[VEHIDCODE],#REF!)</f>
        <v>#REF!</v>
      </c>
      <c r="F227" s="25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 x14ac:dyDescent="0.3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e">
        <f>_xlfn.XLOOKUP($A228,PROPERTIES[VEHIDCODE],#REF!)</f>
        <v>#REF!</v>
      </c>
      <c r="F228" s="25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 x14ac:dyDescent="0.3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e">
        <f>_xlfn.XLOOKUP($A229,PROPERTIES[VEHIDCODE],#REF!)</f>
        <v>#REF!</v>
      </c>
      <c r="F229" s="25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 x14ac:dyDescent="0.3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e">
        <f>_xlfn.XLOOKUP($A230,PROPERTIES[VEHIDCODE],#REF!)</f>
        <v>#REF!</v>
      </c>
      <c r="F230" s="25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 x14ac:dyDescent="0.3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e">
        <f>_xlfn.XLOOKUP($A231,PROPERTIES[VEHIDCODE],#REF!)</f>
        <v>#REF!</v>
      </c>
      <c r="F231" s="25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 x14ac:dyDescent="0.3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e">
        <f>_xlfn.XLOOKUP($A232,PROPERTIES[VEHIDCODE],#REF!)</f>
        <v>#REF!</v>
      </c>
      <c r="F232" s="25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 x14ac:dyDescent="0.3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e">
        <f>_xlfn.XLOOKUP($A233,PROPERTIES[VEHIDCODE],#REF!)</f>
        <v>#REF!</v>
      </c>
      <c r="F233" s="25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 x14ac:dyDescent="0.3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e">
        <f>_xlfn.XLOOKUP($A234,PROPERTIES[VEHIDCODE],#REF!)</f>
        <v>#REF!</v>
      </c>
      <c r="F234" s="25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 x14ac:dyDescent="0.3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e">
        <f>_xlfn.XLOOKUP($A235,PROPERTIES[VEHIDCODE],#REF!)</f>
        <v>#REF!</v>
      </c>
      <c r="F235" s="25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 x14ac:dyDescent="0.3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e">
        <f>_xlfn.XLOOKUP($A236,PROPERTIES[VEHIDCODE],#REF!)</f>
        <v>#REF!</v>
      </c>
      <c r="F236" s="25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 x14ac:dyDescent="0.3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e">
        <f>_xlfn.XLOOKUP($A237,PROPERTIES[VEHIDCODE],#REF!)</f>
        <v>#REF!</v>
      </c>
      <c r="F237" s="25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 x14ac:dyDescent="0.3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e">
        <f>_xlfn.XLOOKUP($A238,PROPERTIES[VEHIDCODE],#REF!)</f>
        <v>#REF!</v>
      </c>
      <c r="F238" s="25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 x14ac:dyDescent="0.3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e">
        <f>_xlfn.XLOOKUP($A239,PROPERTIES[VEHIDCODE],#REF!)</f>
        <v>#REF!</v>
      </c>
      <c r="F239" s="25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 x14ac:dyDescent="0.3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e">
        <f>_xlfn.XLOOKUP($A240,PROPERTIES[VEHIDCODE],#REF!)</f>
        <v>#REF!</v>
      </c>
      <c r="F240" s="25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 x14ac:dyDescent="0.3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e">
        <f>_xlfn.XLOOKUP($A241,PROPERTIES[VEHIDCODE],#REF!)</f>
        <v>#REF!</v>
      </c>
      <c r="F241" s="25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 x14ac:dyDescent="0.3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e">
        <f>_xlfn.XLOOKUP($A242,PROPERTIES[VEHIDCODE],#REF!)</f>
        <v>#REF!</v>
      </c>
      <c r="F242" s="25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 x14ac:dyDescent="0.3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e">
        <f>_xlfn.XLOOKUP($A243,PROPERTIES[VEHIDCODE],#REF!)</f>
        <v>#REF!</v>
      </c>
      <c r="F243" s="25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 x14ac:dyDescent="0.3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e">
        <f>_xlfn.XLOOKUP($A244,PROPERTIES[VEHIDCODE],#REF!)</f>
        <v>#REF!</v>
      </c>
      <c r="F244" s="25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 x14ac:dyDescent="0.3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e">
        <f>_xlfn.XLOOKUP($A245,PROPERTIES[VEHIDCODE],#REF!)</f>
        <v>#REF!</v>
      </c>
      <c r="F245" s="25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 x14ac:dyDescent="0.3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e">
        <f>_xlfn.XLOOKUP($A246,PROPERTIES[VEHIDCODE],#REF!)</f>
        <v>#REF!</v>
      </c>
      <c r="F246" s="25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 x14ac:dyDescent="0.3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e">
        <f>_xlfn.XLOOKUP($A247,PROPERTIES[VEHIDCODE],#REF!)</f>
        <v>#REF!</v>
      </c>
      <c r="F247" s="25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 x14ac:dyDescent="0.3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e">
        <f>_xlfn.XLOOKUP($A248,PROPERTIES[VEHIDCODE],#REF!)</f>
        <v>#REF!</v>
      </c>
      <c r="F248" s="25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 x14ac:dyDescent="0.3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e">
        <f>_xlfn.XLOOKUP($A249,PROPERTIES[VEHIDCODE],#REF!)</f>
        <v>#REF!</v>
      </c>
      <c r="F249" s="25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 x14ac:dyDescent="0.3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e">
        <f>_xlfn.XLOOKUP($A250,PROPERTIES[VEHIDCODE],#REF!)</f>
        <v>#REF!</v>
      </c>
      <c r="F250" s="25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 x14ac:dyDescent="0.3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e">
        <f>_xlfn.XLOOKUP($A251,PROPERTIES[VEHIDCODE],#REF!)</f>
        <v>#REF!</v>
      </c>
      <c r="F251" s="25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 x14ac:dyDescent="0.3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e">
        <f>_xlfn.XLOOKUP($A252,PROPERTIES[VEHIDCODE],#REF!)</f>
        <v>#REF!</v>
      </c>
      <c r="F252" s="25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 x14ac:dyDescent="0.3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e">
        <f>_xlfn.XLOOKUP($A253,PROPERTIES[VEHIDCODE],#REF!)</f>
        <v>#REF!</v>
      </c>
      <c r="F253" s="25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 x14ac:dyDescent="0.3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e">
        <f>_xlfn.XLOOKUP($A254,PROPERTIES[VEHIDCODE],#REF!)</f>
        <v>#REF!</v>
      </c>
      <c r="F254" s="25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 x14ac:dyDescent="0.3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e">
        <f>_xlfn.XLOOKUP($A255,PROPERTIES[VEHIDCODE],#REF!)</f>
        <v>#REF!</v>
      </c>
      <c r="F255" s="25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 x14ac:dyDescent="0.3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e">
        <f>_xlfn.XLOOKUP($A256,PROPERTIES[VEHIDCODE],#REF!)</f>
        <v>#REF!</v>
      </c>
      <c r="F256" s="25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 x14ac:dyDescent="0.35">
      <c r="A257" t="str">
        <v>diesel_EMD_Clyde_JT26C_2SS</v>
      </c>
      <c r="B257" t="b" cm="1">
        <f t="array" ref="B257">_xlfn.XLOOKUP(A257,CONTROL[VEHIDCODE],PROPERTIES[EXCLUDE])</f>
        <v>1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e">
        <f>_xlfn.XLOOKUP($A257,PROPERTIES[VEHIDCODE],#REF!)</f>
        <v>#REF!</v>
      </c>
      <c r="F257" s="25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 x14ac:dyDescent="0.3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e">
        <f>_xlfn.XLOOKUP($A258,PROPERTIES[VEHIDCODE],#REF!)</f>
        <v>#REF!</v>
      </c>
      <c r="F258" s="25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 x14ac:dyDescent="0.3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e">
        <f>_xlfn.XLOOKUP($A259,PROPERTIES[VEHIDCODE],#REF!)</f>
        <v>#REF!</v>
      </c>
      <c r="F259" s="25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 x14ac:dyDescent="0.3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e">
        <f>_xlfn.XLOOKUP($A260,PROPERTIES[VEHIDCODE],#REF!)</f>
        <v>#REF!</v>
      </c>
      <c r="F260" s="25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 x14ac:dyDescent="0.3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e">
        <f>_xlfn.XLOOKUP($A261,PROPERTIES[VEHIDCODE],#REF!)</f>
        <v>#REF!</v>
      </c>
      <c r="F261" s="25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 x14ac:dyDescent="0.3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e">
        <f>_xlfn.XLOOKUP($A262,PROPERTIES[VEHIDCODE],#REF!)</f>
        <v>#REF!</v>
      </c>
      <c r="F262" s="25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 x14ac:dyDescent="0.3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e">
        <f>_xlfn.XLOOKUP($A263,PROPERTIES[VEHIDCODE],#REF!)</f>
        <v>#REF!</v>
      </c>
      <c r="F263" s="25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 x14ac:dyDescent="0.3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e">
        <f>_xlfn.XLOOKUP($A264,PROPERTIES[VEHIDCODE],#REF!)</f>
        <v>#REF!</v>
      </c>
      <c r="F264" s="25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 x14ac:dyDescent="0.3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e">
        <f>_xlfn.XLOOKUP($A265,PROPERTIES[VEHIDCODE],#REF!)</f>
        <v>#REF!</v>
      </c>
      <c r="F265" s="25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 x14ac:dyDescent="0.3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e">
        <f>_xlfn.XLOOKUP($A266,PROPERTIES[VEHIDCODE],#REF!)</f>
        <v>#REF!</v>
      </c>
      <c r="F266" s="25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 x14ac:dyDescent="0.3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e">
        <f>_xlfn.XLOOKUP($A267,PROPERTIES[VEHIDCODE],#REF!)</f>
        <v>#REF!</v>
      </c>
      <c r="F267" s="25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 x14ac:dyDescent="0.3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e">
        <f>_xlfn.XLOOKUP($A268,PROPERTIES[VEHIDCODE],#REF!)</f>
        <v>#REF!</v>
      </c>
      <c r="F268" s="25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 x14ac:dyDescent="0.3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e">
        <f>_xlfn.XLOOKUP($A269,PROPERTIES[VEHIDCODE],#REF!)</f>
        <v>#REF!</v>
      </c>
      <c r="F269" s="25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 x14ac:dyDescent="0.3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e">
        <f>_xlfn.XLOOKUP($A270,PROPERTIES[VEHIDCODE],#REF!)</f>
        <v>#REF!</v>
      </c>
      <c r="F270" s="25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 x14ac:dyDescent="0.3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e">
        <f>_xlfn.XLOOKUP($A271,PROPERTIES[VEHIDCODE],#REF!)</f>
        <v>#REF!</v>
      </c>
      <c r="F271" s="25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 x14ac:dyDescent="0.3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e">
        <f>_xlfn.XLOOKUP($A272,PROPERTIES[VEHIDCODE],#REF!)</f>
        <v>#REF!</v>
      </c>
      <c r="F272" s="25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 x14ac:dyDescent="0.3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e">
        <f>_xlfn.XLOOKUP($A273,PROPERTIES[VEHIDCODE],#REF!)</f>
        <v>#REF!</v>
      </c>
      <c r="F273" s="25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 x14ac:dyDescent="0.3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e">
        <f>_xlfn.XLOOKUP($A274,PROPERTIES[VEHIDCODE],#REF!)</f>
        <v>#REF!</v>
      </c>
      <c r="F274" s="25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 x14ac:dyDescent="0.3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e">
        <f>_xlfn.XLOOKUP($A275,PROPERTIES[VEHIDCODE],#REF!)</f>
        <v>#REF!</v>
      </c>
      <c r="F275" s="25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 x14ac:dyDescent="0.3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e">
        <f>_xlfn.XLOOKUP($A276,PROPERTIES[VEHIDCODE],#REF!)</f>
        <v>#REF!</v>
      </c>
      <c r="F276" s="25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 x14ac:dyDescent="0.3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e">
        <f>_xlfn.XLOOKUP($A277,PROPERTIES[VEHIDCODE],#REF!)</f>
        <v>#REF!</v>
      </c>
      <c r="F277" s="25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 x14ac:dyDescent="0.3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e">
        <f>_xlfn.XLOOKUP($A278,PROPERTIES[VEHIDCODE],#REF!)</f>
        <v>#REF!</v>
      </c>
      <c r="F278" s="25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 x14ac:dyDescent="0.3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e">
        <f>_xlfn.XLOOKUP($A279,PROPERTIES[VEHIDCODE],#REF!)</f>
        <v>#REF!</v>
      </c>
      <c r="F279" s="25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 x14ac:dyDescent="0.3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e">
        <f>_xlfn.XLOOKUP($A280,PROPERTIES[VEHIDCODE],#REF!)</f>
        <v>#REF!</v>
      </c>
      <c r="F280" s="25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 x14ac:dyDescent="0.3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e">
        <f>_xlfn.XLOOKUP($A281,PROPERTIES[VEHIDCODE],#REF!)</f>
        <v>#REF!</v>
      </c>
      <c r="F281" s="25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 x14ac:dyDescent="0.3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e">
        <f>_xlfn.XLOOKUP($A282,PROPERTIES[VEHIDCODE],#REF!)</f>
        <v>#REF!</v>
      </c>
      <c r="F282" s="25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 x14ac:dyDescent="0.3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e">
        <f>_xlfn.XLOOKUP($A283,PROPERTIES[VEHIDCODE],#REF!)</f>
        <v>#REF!</v>
      </c>
      <c r="F283" s="25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 x14ac:dyDescent="0.3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e">
        <f>_xlfn.XLOOKUP($A284,PROPERTIES[VEHIDCODE],#REF!)</f>
        <v>#REF!</v>
      </c>
      <c r="F284" s="25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 x14ac:dyDescent="0.3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e">
        <f>_xlfn.XLOOKUP($A285,PROPERTIES[VEHIDCODE],#REF!)</f>
        <v>#REF!</v>
      </c>
      <c r="F285" s="25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 x14ac:dyDescent="0.3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e">
        <f>_xlfn.XLOOKUP($A286,PROPERTIES[VEHIDCODE],#REF!)</f>
        <v>#REF!</v>
      </c>
      <c r="F286" s="25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 x14ac:dyDescent="0.3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e">
        <f>_xlfn.XLOOKUP($A287,PROPERTIES[VEHIDCODE],#REF!)</f>
        <v>#REF!</v>
      </c>
      <c r="F287" s="25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 x14ac:dyDescent="0.3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e">
        <f>_xlfn.XLOOKUP($A288,PROPERTIES[VEHIDCODE],#REF!)</f>
        <v>#REF!</v>
      </c>
      <c r="F288" s="25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 x14ac:dyDescent="0.3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e">
        <f>_xlfn.XLOOKUP($A289,PROPERTIES[VEHIDCODE],#REF!)</f>
        <v>#REF!</v>
      </c>
      <c r="F289" s="25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 x14ac:dyDescent="0.3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e">
        <f>_xlfn.XLOOKUP($A290,PROPERTIES[VEHIDCODE],#REF!)</f>
        <v>#REF!</v>
      </c>
      <c r="F290" s="25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 x14ac:dyDescent="0.3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e">
        <f>_xlfn.XLOOKUP($A291,PROPERTIES[VEHIDCODE],#REF!)</f>
        <v>#REF!</v>
      </c>
      <c r="F291" s="25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 x14ac:dyDescent="0.3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e">
        <f>_xlfn.XLOOKUP($A292,PROPERTIES[VEHIDCODE],#REF!)</f>
        <v>#REF!</v>
      </c>
      <c r="F292" s="25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 x14ac:dyDescent="0.3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e">
        <f>_xlfn.XLOOKUP($A293,PROPERTIES[VEHIDCODE],#REF!)</f>
        <v>#REF!</v>
      </c>
      <c r="F293" s="25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 x14ac:dyDescent="0.3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e">
        <f>_xlfn.XLOOKUP($A294,PROPERTIES[VEHIDCODE],#REF!)</f>
        <v>#REF!</v>
      </c>
      <c r="F294" s="25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 x14ac:dyDescent="0.3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e">
        <f>_xlfn.XLOOKUP($A295,PROPERTIES[VEHIDCODE],#REF!)</f>
        <v>#REF!</v>
      </c>
      <c r="F295" s="25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 x14ac:dyDescent="0.3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e">
        <f>_xlfn.XLOOKUP($A296,PROPERTIES[VEHIDCODE],#REF!)</f>
        <v>#REF!</v>
      </c>
      <c r="F296" s="25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 x14ac:dyDescent="0.3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e">
        <f>_xlfn.XLOOKUP($A297,PROPERTIES[VEHIDCODE],#REF!)</f>
        <v>#REF!</v>
      </c>
      <c r="F297" s="25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 x14ac:dyDescent="0.3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e">
        <f>_xlfn.XLOOKUP($A298,PROPERTIES[VEHIDCODE],#REF!)</f>
        <v>#REF!</v>
      </c>
      <c r="F298" s="25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 x14ac:dyDescent="0.3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e">
        <f>_xlfn.XLOOKUP($A299,PROPERTIES[VEHIDCODE],#REF!)</f>
        <v>#REF!</v>
      </c>
      <c r="F299" s="25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 x14ac:dyDescent="0.3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e">
        <f>_xlfn.XLOOKUP($A300,PROPERTIES[VEHIDCODE],#REF!)</f>
        <v>#REF!</v>
      </c>
      <c r="F300" s="25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 x14ac:dyDescent="0.3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e">
        <f>_xlfn.XLOOKUP($A301,PROPERTIES[VEHIDCODE],#REF!)</f>
        <v>#REF!</v>
      </c>
      <c r="F301" s="25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 x14ac:dyDescent="0.3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e">
        <f>_xlfn.XLOOKUP($A302,PROPERTIES[VEHIDCODE],#REF!)</f>
        <v>#REF!</v>
      </c>
      <c r="F302" s="25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 x14ac:dyDescent="0.3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e">
        <f>_xlfn.XLOOKUP($A303,PROPERTIES[VEHIDCODE],#REF!)</f>
        <v>#REF!</v>
      </c>
      <c r="F303" s="25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 x14ac:dyDescent="0.3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e">
        <f>_xlfn.XLOOKUP($A304,PROPERTIES[VEHIDCODE],#REF!)</f>
        <v>#REF!</v>
      </c>
      <c r="F304" s="25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 x14ac:dyDescent="0.3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e">
        <f>_xlfn.XLOOKUP($A305,PROPERTIES[VEHIDCODE],#REF!)</f>
        <v>#REF!</v>
      </c>
      <c r="F305" s="25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 x14ac:dyDescent="0.3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e">
        <f>_xlfn.XLOOKUP($A306,PROPERTIES[VEHIDCODE],#REF!)</f>
        <v>#REF!</v>
      </c>
      <c r="F306" s="25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 x14ac:dyDescent="0.3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e">
        <f>_xlfn.XLOOKUP($A307,PROPERTIES[VEHIDCODE],#REF!)</f>
        <v>#REF!</v>
      </c>
      <c r="F307" s="25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 x14ac:dyDescent="0.3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e">
        <f>_xlfn.XLOOKUP($A308,PROPERTIES[VEHIDCODE],#REF!)</f>
        <v>#REF!</v>
      </c>
      <c r="F308" s="25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 x14ac:dyDescent="0.3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e">
        <f>_xlfn.XLOOKUP($A309,PROPERTIES[VEHIDCODE],#REF!)</f>
        <v>#REF!</v>
      </c>
      <c r="F309" s="25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 x14ac:dyDescent="0.3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e">
        <f>_xlfn.XLOOKUP($A310,PROPERTIES[VEHIDCODE],#REF!)</f>
        <v>#REF!</v>
      </c>
      <c r="F310" s="25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 x14ac:dyDescent="0.3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e">
        <f>_xlfn.XLOOKUP($A311,PROPERTIES[VEHIDCODE],#REF!)</f>
        <v>#REF!</v>
      </c>
      <c r="F311" s="25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 x14ac:dyDescent="0.3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e">
        <f>_xlfn.XLOOKUP($A312,PROPERTIES[VEHIDCODE],#REF!)</f>
        <v>#REF!</v>
      </c>
      <c r="F312" s="25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 x14ac:dyDescent="0.3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e">
        <f>_xlfn.XLOOKUP($A313,PROPERTIES[VEHIDCODE],#REF!)</f>
        <v>#REF!</v>
      </c>
      <c r="F313" s="25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 x14ac:dyDescent="0.3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e">
        <f>_xlfn.XLOOKUP($A314,PROPERTIES[VEHIDCODE],#REF!)</f>
        <v>#REF!</v>
      </c>
      <c r="F314" s="25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 x14ac:dyDescent="0.3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e">
        <f>_xlfn.XLOOKUP($A315,PROPERTIES[VEHIDCODE],#REF!)</f>
        <v>#REF!</v>
      </c>
      <c r="F315" s="25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 x14ac:dyDescent="0.3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e">
        <f>_xlfn.XLOOKUP($A316,PROPERTIES[VEHIDCODE],#REF!)</f>
        <v>#REF!</v>
      </c>
      <c r="F316" s="25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 x14ac:dyDescent="0.3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e">
        <f>_xlfn.XLOOKUP($A317,PROPERTIES[VEHIDCODE],#REF!)</f>
        <v>#REF!</v>
      </c>
      <c r="F317" s="25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 x14ac:dyDescent="0.3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e">
        <f>_xlfn.XLOOKUP($A318,PROPERTIES[VEHIDCODE],#REF!)</f>
        <v>#REF!</v>
      </c>
      <c r="F318" s="25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 x14ac:dyDescent="0.3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e">
        <f>_xlfn.XLOOKUP($A319,PROPERTIES[VEHIDCODE],#REF!)</f>
        <v>#REF!</v>
      </c>
      <c r="F319" s="25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 x14ac:dyDescent="0.3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e">
        <f>_xlfn.XLOOKUP($A320,PROPERTIES[VEHIDCODE],#REF!)</f>
        <v>#REF!</v>
      </c>
      <c r="F320" s="25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 x14ac:dyDescent="0.3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e">
        <f>_xlfn.XLOOKUP($A321,PROPERTIES[VEHIDCODE],#REF!)</f>
        <v>#REF!</v>
      </c>
      <c r="F321" s="25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 x14ac:dyDescent="0.3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e">
        <f>_xlfn.XLOOKUP($A322,PROPERTIES[VEHIDCODE],#REF!)</f>
        <v>#REF!</v>
      </c>
      <c r="F322" s="25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 x14ac:dyDescent="0.3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e">
        <f>_xlfn.XLOOKUP($A323,PROPERTIES[VEHIDCODE],#REF!)</f>
        <v>#REF!</v>
      </c>
      <c r="F323" s="25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 x14ac:dyDescent="0.3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e">
        <f>_xlfn.XLOOKUP($A324,PROPERTIES[VEHIDCODE],#REF!)</f>
        <v>#REF!</v>
      </c>
      <c r="F324" s="25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 x14ac:dyDescent="0.3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e">
        <f>_xlfn.XLOOKUP($A325,PROPERTIES[VEHIDCODE],#REF!)</f>
        <v>#REF!</v>
      </c>
      <c r="F325" s="25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 x14ac:dyDescent="0.3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e">
        <f>_xlfn.XLOOKUP($A326,PROPERTIES[VEHIDCODE],#REF!)</f>
        <v>#REF!</v>
      </c>
      <c r="F326" s="25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 x14ac:dyDescent="0.3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e">
        <f>_xlfn.XLOOKUP($A327,PROPERTIES[VEHIDCODE],#REF!)</f>
        <v>#REF!</v>
      </c>
      <c r="F327" s="25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 x14ac:dyDescent="0.3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e">
        <f>_xlfn.XLOOKUP($A328,PROPERTIES[VEHIDCODE],#REF!)</f>
        <v>#REF!</v>
      </c>
      <c r="F328" s="25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 x14ac:dyDescent="0.3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e">
        <f>_xlfn.XLOOKUP($A329,PROPERTIES[VEHIDCODE],#REF!)</f>
        <v>#REF!</v>
      </c>
      <c r="F329" s="25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 x14ac:dyDescent="0.3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e">
        <f>_xlfn.XLOOKUP($A330,PROPERTIES[VEHIDCODE],#REF!)</f>
        <v>#REF!</v>
      </c>
      <c r="F330" s="25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 x14ac:dyDescent="0.3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e">
        <f>_xlfn.XLOOKUP($A331,PROPERTIES[VEHIDCODE],#REF!)</f>
        <v>#REF!</v>
      </c>
      <c r="F331" s="25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 x14ac:dyDescent="0.3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e">
        <f>_xlfn.XLOOKUP($A332,PROPERTIES[VEHIDCODE],#REF!)</f>
        <v>#REF!</v>
      </c>
      <c r="F332" s="25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 x14ac:dyDescent="0.3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e">
        <f>_xlfn.XLOOKUP($A333,PROPERTIES[VEHIDCODE],#REF!)</f>
        <v>#REF!</v>
      </c>
      <c r="F333" s="25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 x14ac:dyDescent="0.3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e">
        <f>_xlfn.XLOOKUP($A334,PROPERTIES[VEHIDCODE],#REF!)</f>
        <v>#REF!</v>
      </c>
      <c r="F334" s="25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 x14ac:dyDescent="0.3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e">
        <f>_xlfn.XLOOKUP($A335,PROPERTIES[VEHIDCODE],#REF!)</f>
        <v>#REF!</v>
      </c>
      <c r="F335" s="25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 x14ac:dyDescent="0.3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e">
        <f>_xlfn.XLOOKUP($A336,PROPERTIES[VEHIDCODE],#REF!)</f>
        <v>#REF!</v>
      </c>
      <c r="F336" s="25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 x14ac:dyDescent="0.3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e">
        <f>_xlfn.XLOOKUP($A337,PROPERTIES[VEHIDCODE],#REF!)</f>
        <v>#REF!</v>
      </c>
      <c r="F337" s="25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 x14ac:dyDescent="0.3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e">
        <f>_xlfn.XLOOKUP($A338,PROPERTIES[VEHIDCODE],#REF!)</f>
        <v>#REF!</v>
      </c>
      <c r="F338" s="25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 x14ac:dyDescent="0.3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e">
        <f>_xlfn.XLOOKUP($A339,PROPERTIES[VEHIDCODE],#REF!)</f>
        <v>#REF!</v>
      </c>
      <c r="F339" s="25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 x14ac:dyDescent="0.3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e">
        <f>_xlfn.XLOOKUP($A340,PROPERTIES[VEHIDCODE],#REF!)</f>
        <v>#REF!</v>
      </c>
      <c r="F340" s="25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 x14ac:dyDescent="0.3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e">
        <f>_xlfn.XLOOKUP($A341,PROPERTIES[VEHIDCODE],#REF!)</f>
        <v>#REF!</v>
      </c>
      <c r="F341" s="25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 x14ac:dyDescent="0.3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e">
        <f>_xlfn.XLOOKUP($A342,PROPERTIES[VEHIDCODE],#REF!)</f>
        <v>#REF!</v>
      </c>
      <c r="F342" s="25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 x14ac:dyDescent="0.3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e">
        <f>_xlfn.XLOOKUP($A343,PROPERTIES[VEHIDCODE],#REF!)</f>
        <v>#REF!</v>
      </c>
      <c r="F343" s="25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 x14ac:dyDescent="0.3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e">
        <f>_xlfn.XLOOKUP($A344,PROPERTIES[VEHIDCODE],#REF!)</f>
        <v>#REF!</v>
      </c>
      <c r="F344" s="25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 x14ac:dyDescent="0.3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e">
        <f>_xlfn.XLOOKUP($A345,PROPERTIES[VEHIDCODE],#REF!)</f>
        <v>#REF!</v>
      </c>
      <c r="F345" s="25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 x14ac:dyDescent="0.3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e">
        <f>_xlfn.XLOOKUP($A346,PROPERTIES[VEHIDCODE],#REF!)</f>
        <v>#REF!</v>
      </c>
      <c r="F346" s="25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 x14ac:dyDescent="0.3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e">
        <f>_xlfn.XLOOKUP($A347,PROPERTIES[VEHIDCODE],#REF!)</f>
        <v>#REF!</v>
      </c>
      <c r="F347" s="25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 x14ac:dyDescent="0.3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e">
        <f>_xlfn.XLOOKUP($A348,PROPERTIES[VEHIDCODE],#REF!)</f>
        <v>#REF!</v>
      </c>
      <c r="F348" s="25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 x14ac:dyDescent="0.3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e">
        <f>_xlfn.XLOOKUP($A349,PROPERTIES[VEHIDCODE],#REF!)</f>
        <v>#REF!</v>
      </c>
      <c r="F349" s="25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 x14ac:dyDescent="0.3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e">
        <f>_xlfn.XLOOKUP($A350,PROPERTIES[VEHIDCODE],#REF!)</f>
        <v>#REF!</v>
      </c>
      <c r="F350" s="25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 x14ac:dyDescent="0.3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e">
        <f>_xlfn.XLOOKUP($A351,PROPERTIES[VEHIDCODE],#REF!)</f>
        <v>#REF!</v>
      </c>
      <c r="F351" s="25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 x14ac:dyDescent="0.3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e">
        <f>_xlfn.XLOOKUP($A352,PROPERTIES[VEHIDCODE],#REF!)</f>
        <v>#REF!</v>
      </c>
      <c r="F352" s="25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 x14ac:dyDescent="0.3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e">
        <f>_xlfn.XLOOKUP($A353,PROPERTIES[VEHIDCODE],#REF!)</f>
        <v>#REF!</v>
      </c>
      <c r="F353" s="25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 x14ac:dyDescent="0.3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e">
        <f>_xlfn.XLOOKUP($A354,PROPERTIES[VEHIDCODE],#REF!)</f>
        <v>#REF!</v>
      </c>
      <c r="F354" s="25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 x14ac:dyDescent="0.3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e">
        <f>_xlfn.XLOOKUP($A355,PROPERTIES[VEHIDCODE],#REF!)</f>
        <v>#REF!</v>
      </c>
      <c r="F355" s="25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 x14ac:dyDescent="0.3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e">
        <f>_xlfn.XLOOKUP($A356,PROPERTIES[VEHIDCODE],#REF!)</f>
        <v>#REF!</v>
      </c>
      <c r="F356" s="25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 x14ac:dyDescent="0.3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e">
        <f>_xlfn.XLOOKUP($A357,PROPERTIES[VEHIDCODE],#REF!)</f>
        <v>#REF!</v>
      </c>
      <c r="F357" s="25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 x14ac:dyDescent="0.3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e">
        <f>_xlfn.XLOOKUP($A358,PROPERTIES[VEHIDCODE],#REF!)</f>
        <v>#REF!</v>
      </c>
      <c r="F358" s="25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 x14ac:dyDescent="0.3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e">
        <f>_xlfn.XLOOKUP($A359,PROPERTIES[VEHIDCODE],#REF!)</f>
        <v>#REF!</v>
      </c>
      <c r="F359" s="25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 x14ac:dyDescent="0.3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e">
        <f>_xlfn.XLOOKUP($A360,PROPERTIES[VEHIDCODE],#REF!)</f>
        <v>#REF!</v>
      </c>
      <c r="F360" s="25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 x14ac:dyDescent="0.3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e">
        <f>_xlfn.XLOOKUP($A361,PROPERTIES[VEHIDCODE],#REF!)</f>
        <v>#REF!</v>
      </c>
      <c r="F361" s="25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 x14ac:dyDescent="0.3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e">
        <f>_xlfn.XLOOKUP($A362,PROPERTIES[VEHIDCODE],#REF!)</f>
        <v>#REF!</v>
      </c>
      <c r="F362" s="25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 x14ac:dyDescent="0.3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e">
        <f>_xlfn.XLOOKUP($A363,PROPERTIES[VEHIDCODE],#REF!)</f>
        <v>#REF!</v>
      </c>
      <c r="F363" s="25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 x14ac:dyDescent="0.3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e">
        <f>_xlfn.XLOOKUP($A364,PROPERTIES[VEHIDCODE],#REF!)</f>
        <v>#REF!</v>
      </c>
      <c r="F364" s="25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 x14ac:dyDescent="0.3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e">
        <f>_xlfn.XLOOKUP($A365,PROPERTIES[VEHIDCODE],#REF!)</f>
        <v>#REF!</v>
      </c>
      <c r="F365" s="25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 x14ac:dyDescent="0.3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e">
        <f>_xlfn.XLOOKUP($A366,PROPERTIES[VEHIDCODE],#REF!)</f>
        <v>#REF!</v>
      </c>
      <c r="F366" s="25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 x14ac:dyDescent="0.3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e">
        <f>_xlfn.XLOOKUP($A367,PROPERTIES[VEHIDCODE],#REF!)</f>
        <v>#REF!</v>
      </c>
      <c r="F367" s="25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 x14ac:dyDescent="0.3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e">
        <f>_xlfn.XLOOKUP($A368,PROPERTIES[VEHIDCODE],#REF!)</f>
        <v>#REF!</v>
      </c>
      <c r="F368" s="25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 x14ac:dyDescent="0.3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e">
        <f>_xlfn.XLOOKUP($A369,PROPERTIES[VEHIDCODE],#REF!)</f>
        <v>#REF!</v>
      </c>
      <c r="F369" s="25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 x14ac:dyDescent="0.3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e">
        <f>_xlfn.XLOOKUP($A370,PROPERTIES[VEHIDCODE],#REF!)</f>
        <v>#REF!</v>
      </c>
      <c r="F370" s="25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 x14ac:dyDescent="0.3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e">
        <f>_xlfn.XLOOKUP($A371,PROPERTIES[VEHIDCODE],#REF!)</f>
        <v>#REF!</v>
      </c>
      <c r="F371" s="25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 x14ac:dyDescent="0.3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e">
        <f>_xlfn.XLOOKUP($A372,PROPERTIES[VEHIDCODE],#REF!)</f>
        <v>#REF!</v>
      </c>
      <c r="F372" s="25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 x14ac:dyDescent="0.3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e">
        <f>_xlfn.XLOOKUP($A373,PROPERTIES[VEHIDCODE],#REF!)</f>
        <v>#REF!</v>
      </c>
      <c r="F373" s="25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 x14ac:dyDescent="0.3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e">
        <f>_xlfn.XLOOKUP($A374,PROPERTIES[VEHIDCODE],#REF!)</f>
        <v>#REF!</v>
      </c>
      <c r="F374" s="25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 x14ac:dyDescent="0.3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e">
        <f>_xlfn.XLOOKUP($A375,PROPERTIES[VEHIDCODE],#REF!)</f>
        <v>#REF!</v>
      </c>
      <c r="F375" s="25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 x14ac:dyDescent="0.3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e">
        <f>_xlfn.XLOOKUP($A376,PROPERTIES[VEHIDCODE],#REF!)</f>
        <v>#REF!</v>
      </c>
      <c r="F376" s="25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 x14ac:dyDescent="0.3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e">
        <f>_xlfn.XLOOKUP($A377,PROPERTIES[VEHIDCODE],#REF!)</f>
        <v>#REF!</v>
      </c>
      <c r="F377" s="25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 x14ac:dyDescent="0.3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e">
        <f>_xlfn.XLOOKUP($A378,PROPERTIES[VEHIDCODE],#REF!)</f>
        <v>#REF!</v>
      </c>
      <c r="F378" s="25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 x14ac:dyDescent="0.3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e">
        <f>_xlfn.XLOOKUP($A379,PROPERTIES[VEHIDCODE],#REF!)</f>
        <v>#REF!</v>
      </c>
      <c r="F379" s="25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 x14ac:dyDescent="0.3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e">
        <f>_xlfn.XLOOKUP($A380,PROPERTIES[VEHIDCODE],#REF!)</f>
        <v>#REF!</v>
      </c>
      <c r="F380" s="25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 x14ac:dyDescent="0.3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e">
        <f>_xlfn.XLOOKUP($A381,PROPERTIES[VEHIDCODE],#REF!)</f>
        <v>#REF!</v>
      </c>
      <c r="F381" s="25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 x14ac:dyDescent="0.3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e">
        <f>_xlfn.XLOOKUP($A382,PROPERTIES[VEHIDCODE],#REF!)</f>
        <v>#REF!</v>
      </c>
      <c r="F382" s="25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ALL_AMERICA_COMECON_NO_REGION_NO_REGION</v>
      </c>
      <c r="G382" t="b">
        <f t="shared" si="45"/>
        <v>0</v>
      </c>
      <c r="H382" t="b">
        <f t="shared" si="52"/>
        <v>1</v>
      </c>
      <c r="I382" t="b">
        <f t="shared" si="46"/>
        <v>0</v>
      </c>
      <c r="J382" t="b">
        <f t="shared" si="53"/>
        <v>1</v>
      </c>
      <c r="K382" t="b">
        <f t="shared" si="47"/>
        <v>0</v>
      </c>
      <c r="L382" t="b">
        <f t="shared" si="48"/>
        <v>0</v>
      </c>
      <c r="M382" t="b">
        <f t="shared" si="49"/>
        <v>1</v>
      </c>
      <c r="N382" t="b">
        <f t="shared" si="50"/>
        <v>1</v>
      </c>
      <c r="O382" t="b">
        <f t="shared" si="51"/>
        <v>0</v>
      </c>
    </row>
    <row r="383" spans="1:15" x14ac:dyDescent="0.3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e">
        <f>_xlfn.XLOOKUP($A383,PROPERTIES[VEHIDCODE],#REF!)</f>
        <v>#REF!</v>
      </c>
      <c r="F383" s="25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 x14ac:dyDescent="0.3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e">
        <f>_xlfn.XLOOKUP($A384,PROPERTIES[VEHIDCODE],#REF!)</f>
        <v>#REF!</v>
      </c>
      <c r="F384" s="25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 x14ac:dyDescent="0.3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e">
        <f>_xlfn.XLOOKUP($A385,PROPERTIES[VEHIDCODE],#REF!)</f>
        <v>#REF!</v>
      </c>
      <c r="F385" s="25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 x14ac:dyDescent="0.3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e">
        <f>_xlfn.XLOOKUP($A386,PROPERTIES[VEHIDCODE],#REF!)</f>
        <v>#REF!</v>
      </c>
      <c r="F386" s="25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 x14ac:dyDescent="0.3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e">
        <f>_xlfn.XLOOKUP($A387,PROPERTIES[VEHIDCODE],#REF!)</f>
        <v>#REF!</v>
      </c>
      <c r="F387" s="25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 x14ac:dyDescent="0.3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e">
        <f>_xlfn.XLOOKUP($A388,PROPERTIES[VEHIDCODE],#REF!)</f>
        <v>#REF!</v>
      </c>
      <c r="F388" s="25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 x14ac:dyDescent="0.3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e">
        <f>_xlfn.XLOOKUP($A389,PROPERTIES[VEHIDCODE],#REF!)</f>
        <v>#REF!</v>
      </c>
      <c r="F389" s="25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 x14ac:dyDescent="0.3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e">
        <f>_xlfn.XLOOKUP($A390,PROPERTIES[VEHIDCODE],#REF!)</f>
        <v>#REF!</v>
      </c>
      <c r="F390" s="25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 x14ac:dyDescent="0.3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e">
        <f>_xlfn.XLOOKUP($A391,PROPERTIES[VEHIDCODE],#REF!)</f>
        <v>#REF!</v>
      </c>
      <c r="F391" s="25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 x14ac:dyDescent="0.3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e">
        <f>_xlfn.XLOOKUP($A392,PROPERTIES[VEHIDCODE],#REF!)</f>
        <v>#REF!</v>
      </c>
      <c r="F392" s="25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 x14ac:dyDescent="0.3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e">
        <f>_xlfn.XLOOKUP($A393,PROPERTIES[VEHIDCODE],#REF!)</f>
        <v>#REF!</v>
      </c>
      <c r="F393" s="25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 x14ac:dyDescent="0.3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e">
        <f>_xlfn.XLOOKUP($A394,PROPERTIES[VEHIDCODE],#REF!)</f>
        <v>#REF!</v>
      </c>
      <c r="F394" s="25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 x14ac:dyDescent="0.3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e">
        <f>_xlfn.XLOOKUP($A395,PROPERTIES[VEHIDCODE],#REF!)</f>
        <v>#REF!</v>
      </c>
      <c r="F395" s="25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 x14ac:dyDescent="0.3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e">
        <f>_xlfn.XLOOKUP($A396,PROPERTIES[VEHIDCODE],#REF!)</f>
        <v>#REF!</v>
      </c>
      <c r="F396" s="25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 x14ac:dyDescent="0.3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e">
        <f>_xlfn.XLOOKUP($A397,PROPERTIES[VEHIDCODE],#REF!)</f>
        <v>#REF!</v>
      </c>
      <c r="F397" s="25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 x14ac:dyDescent="0.3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e">
        <f>_xlfn.XLOOKUP($A398,PROPERTIES[VEHIDCODE],#REF!)</f>
        <v>#REF!</v>
      </c>
      <c r="F398" s="25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 x14ac:dyDescent="0.3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e">
        <f>_xlfn.XLOOKUP($A399,PROPERTIES[VEHIDCODE],#REF!)</f>
        <v>#REF!</v>
      </c>
      <c r="F399" s="25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 x14ac:dyDescent="0.3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e">
        <f>_xlfn.XLOOKUP($A400,PROPERTIES[VEHIDCODE],#REF!)</f>
        <v>#REF!</v>
      </c>
      <c r="F400" s="25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 x14ac:dyDescent="0.3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e">
        <f>_xlfn.XLOOKUP($A401,PROPERTIES[VEHIDCODE],#REF!)</f>
        <v>#REF!</v>
      </c>
      <c r="F401" s="25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 x14ac:dyDescent="0.3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e">
        <f>_xlfn.XLOOKUP($A402,PROPERTIES[VEHIDCODE],#REF!)</f>
        <v>#REF!</v>
      </c>
      <c r="F402" s="25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 x14ac:dyDescent="0.3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e">
        <f>_xlfn.XLOOKUP($A403,PROPERTIES[VEHIDCODE],#REF!)</f>
        <v>#REF!</v>
      </c>
      <c r="F403" s="25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 x14ac:dyDescent="0.3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e">
        <f>_xlfn.XLOOKUP($A404,PROPERTIES[VEHIDCODE],#REF!)</f>
        <v>#REF!</v>
      </c>
      <c r="F404" s="25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 x14ac:dyDescent="0.3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e">
        <f>_xlfn.XLOOKUP($A405,PROPERTIES[VEHIDCODE],#REF!)</f>
        <v>#REF!</v>
      </c>
      <c r="F405" s="25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 x14ac:dyDescent="0.3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e">
        <f>_xlfn.XLOOKUP($A406,PROPERTIES[VEHIDCODE],#REF!)</f>
        <v>#REF!</v>
      </c>
      <c r="F406" s="25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 x14ac:dyDescent="0.3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e">
        <f>_xlfn.XLOOKUP($A407,PROPERTIES[VEHIDCODE],#REF!)</f>
        <v>#REF!</v>
      </c>
      <c r="F407" s="25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 x14ac:dyDescent="0.3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e">
        <f>_xlfn.XLOOKUP($A408,PROPERTIES[VEHIDCODE],#REF!)</f>
        <v>#REF!</v>
      </c>
      <c r="F408" s="25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 x14ac:dyDescent="0.3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e">
        <f>_xlfn.XLOOKUP($A409,PROPERTIES[VEHIDCODE],#REF!)</f>
        <v>#REF!</v>
      </c>
      <c r="F409" s="25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 x14ac:dyDescent="0.3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e">
        <f>_xlfn.XLOOKUP($A410,PROPERTIES[VEHIDCODE],#REF!)</f>
        <v>#REF!</v>
      </c>
      <c r="F410" s="25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 x14ac:dyDescent="0.3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e">
        <f>_xlfn.XLOOKUP($A411,PROPERTIES[VEHIDCODE],#REF!)</f>
        <v>#REF!</v>
      </c>
      <c r="F411" s="25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 x14ac:dyDescent="0.3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e">
        <f>_xlfn.XLOOKUP($A412,PROPERTIES[VEHIDCODE],#REF!)</f>
        <v>#REF!</v>
      </c>
      <c r="F412" s="25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 x14ac:dyDescent="0.3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e">
        <f>_xlfn.XLOOKUP($A413,PROPERTIES[VEHIDCODE],#REF!)</f>
        <v>#REF!</v>
      </c>
      <c r="F413" s="25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 x14ac:dyDescent="0.3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e">
        <f>_xlfn.XLOOKUP($A414,PROPERTIES[VEHIDCODE],#REF!)</f>
        <v>#REF!</v>
      </c>
      <c r="F414" s="25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 x14ac:dyDescent="0.3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e">
        <f>_xlfn.XLOOKUP($A415,PROPERTIES[VEHIDCODE],#REF!)</f>
        <v>#REF!</v>
      </c>
      <c r="F415" s="25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 x14ac:dyDescent="0.3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e">
        <f>_xlfn.XLOOKUP($A416,PROPERTIES[VEHIDCODE],#REF!)</f>
        <v>#REF!</v>
      </c>
      <c r="F416" s="25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 x14ac:dyDescent="0.3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e">
        <f>_xlfn.XLOOKUP($A417,PROPERTIES[VEHIDCODE],#REF!)</f>
        <v>#REF!</v>
      </c>
      <c r="F417" s="25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 x14ac:dyDescent="0.3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e">
        <f>_xlfn.XLOOKUP($A418,PROPERTIES[VEHIDCODE],#REF!)</f>
        <v>#REF!</v>
      </c>
      <c r="F418" s="25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 x14ac:dyDescent="0.3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e">
        <f>_xlfn.XLOOKUP($A419,PROPERTIES[VEHIDCODE],#REF!)</f>
        <v>#REF!</v>
      </c>
      <c r="F419" s="25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 x14ac:dyDescent="0.3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e">
        <f>_xlfn.XLOOKUP($A420,PROPERTIES[VEHIDCODE],#REF!)</f>
        <v>#REF!</v>
      </c>
      <c r="F420" s="25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 x14ac:dyDescent="0.3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e">
        <f>_xlfn.XLOOKUP($A421,PROPERTIES[VEHIDCODE],#REF!)</f>
        <v>#REF!</v>
      </c>
      <c r="F421" s="25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 x14ac:dyDescent="0.3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e">
        <f>_xlfn.XLOOKUP($A422,PROPERTIES[VEHIDCODE],#REF!)</f>
        <v>#REF!</v>
      </c>
      <c r="F422" s="25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 x14ac:dyDescent="0.3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e">
        <f>_xlfn.XLOOKUP($A423,PROPERTIES[VEHIDCODE],#REF!)</f>
        <v>#REF!</v>
      </c>
      <c r="F423" s="25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 x14ac:dyDescent="0.3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e">
        <f>_xlfn.XLOOKUP($A424,PROPERTIES[VEHIDCODE],#REF!)</f>
        <v>#REF!</v>
      </c>
      <c r="F424" s="25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 x14ac:dyDescent="0.3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e">
        <f>_xlfn.XLOOKUP($A425,PROPERTIES[VEHIDCODE],#REF!)</f>
        <v>#REF!</v>
      </c>
      <c r="F425" s="25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 x14ac:dyDescent="0.3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e">
        <f>_xlfn.XLOOKUP($A426,PROPERTIES[VEHIDCODE],#REF!)</f>
        <v>#REF!</v>
      </c>
      <c r="F426" s="25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 x14ac:dyDescent="0.3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e">
        <f>_xlfn.XLOOKUP($A427,PROPERTIES[VEHIDCODE],#REF!)</f>
        <v>#REF!</v>
      </c>
      <c r="F427" s="25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 x14ac:dyDescent="0.3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e">
        <f>_xlfn.XLOOKUP($A428,PROPERTIES[VEHIDCODE],#REF!)</f>
        <v>#REF!</v>
      </c>
      <c r="F428" s="25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 x14ac:dyDescent="0.3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e">
        <f>_xlfn.XLOOKUP($A429,PROPERTIES[VEHIDCODE],#REF!)</f>
        <v>#REF!</v>
      </c>
      <c r="F429" s="25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 x14ac:dyDescent="0.3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e">
        <f>_xlfn.XLOOKUP($A430,PROPERTIES[VEHIDCODE],#REF!)</f>
        <v>#REF!</v>
      </c>
      <c r="F430" s="25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 x14ac:dyDescent="0.3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e">
        <f>_xlfn.XLOOKUP($A431,PROPERTIES[VEHIDCODE],#REF!)</f>
        <v>#REF!</v>
      </c>
      <c r="F431" s="25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 x14ac:dyDescent="0.3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e">
        <f>_xlfn.XLOOKUP($A432,PROPERTIES[VEHIDCODE],#REF!)</f>
        <v>#REF!</v>
      </c>
      <c r="F432" s="25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 x14ac:dyDescent="0.3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e">
        <f>_xlfn.XLOOKUP($A433,PROPERTIES[VEHIDCODE],#REF!)</f>
        <v>#REF!</v>
      </c>
      <c r="F433" s="25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 x14ac:dyDescent="0.3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e">
        <f>_xlfn.XLOOKUP($A434,PROPERTIES[VEHIDCODE],#REF!)</f>
        <v>#REF!</v>
      </c>
      <c r="F434" s="25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 x14ac:dyDescent="0.3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e">
        <f>_xlfn.XLOOKUP($A435,PROPERTIES[VEHIDCODE],#REF!)</f>
        <v>#REF!</v>
      </c>
      <c r="F435" s="25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 x14ac:dyDescent="0.3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e">
        <f>_xlfn.XLOOKUP($A436,PROPERTIES[VEHIDCODE],#REF!)</f>
        <v>#REF!</v>
      </c>
      <c r="F436" s="25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 x14ac:dyDescent="0.3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e">
        <f>_xlfn.XLOOKUP($A437,PROPERTIES[VEHIDCODE],#REF!)</f>
        <v>#REF!</v>
      </c>
      <c r="F437" s="25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 x14ac:dyDescent="0.3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e">
        <f>_xlfn.XLOOKUP($A438,PROPERTIES[VEHIDCODE],#REF!)</f>
        <v>#REF!</v>
      </c>
      <c r="F438" s="25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 x14ac:dyDescent="0.3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e">
        <f>_xlfn.XLOOKUP($A439,PROPERTIES[VEHIDCODE],#REF!)</f>
        <v>#REF!</v>
      </c>
      <c r="F439" s="25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 x14ac:dyDescent="0.3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e">
        <f>_xlfn.XLOOKUP($A440,PROPERTIES[VEHIDCODE],#REF!)</f>
        <v>#REF!</v>
      </c>
      <c r="F440" s="25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 x14ac:dyDescent="0.3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e">
        <f>_xlfn.XLOOKUP($A441,PROPERTIES[VEHIDCODE],#REF!)</f>
        <v>#REF!</v>
      </c>
      <c r="F441" s="25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 x14ac:dyDescent="0.3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e">
        <f>_xlfn.XLOOKUP($A442,PROPERTIES[VEHIDCODE],#REF!)</f>
        <v>#REF!</v>
      </c>
      <c r="F442" s="25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 x14ac:dyDescent="0.3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e">
        <f>_xlfn.XLOOKUP($A443,PROPERTIES[VEHIDCODE],#REF!)</f>
        <v>#REF!</v>
      </c>
      <c r="F443" s="25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 x14ac:dyDescent="0.3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e">
        <f>_xlfn.XLOOKUP($A444,PROPERTIES[VEHIDCODE],#REF!)</f>
        <v>#REF!</v>
      </c>
      <c r="F444" s="25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 x14ac:dyDescent="0.3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e">
        <f>_xlfn.XLOOKUP($A445,PROPERTIES[VEHIDCODE],#REF!)</f>
        <v>#REF!</v>
      </c>
      <c r="F445" s="25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 x14ac:dyDescent="0.3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e">
        <f>_xlfn.XLOOKUP($A446,PROPERTIES[VEHIDCODE],#REF!)</f>
        <v>#REF!</v>
      </c>
      <c r="F446" s="25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 x14ac:dyDescent="0.3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e">
        <f>_xlfn.XLOOKUP($A447,PROPERTIES[VEHIDCODE],#REF!)</f>
        <v>#REF!</v>
      </c>
      <c r="F447" s="25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 x14ac:dyDescent="0.3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e">
        <f>_xlfn.XLOOKUP($A448,PROPERTIES[VEHIDCODE],#REF!)</f>
        <v>#REF!</v>
      </c>
      <c r="F448" s="25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 x14ac:dyDescent="0.3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e">
        <f>_xlfn.XLOOKUP($A449,PROPERTIES[VEHIDCODE],#REF!)</f>
        <v>#REF!</v>
      </c>
      <c r="F449" s="25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 x14ac:dyDescent="0.3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e">
        <f>_xlfn.XLOOKUP($A450,PROPERTIES[VEHIDCODE],#REF!)</f>
        <v>#REF!</v>
      </c>
      <c r="F450" s="25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 x14ac:dyDescent="0.3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e">
        <f>_xlfn.XLOOKUP($A451,PROPERTIES[VEHIDCODE],#REF!)</f>
        <v>#REF!</v>
      </c>
      <c r="F451" s="25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 x14ac:dyDescent="0.3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e">
        <f>_xlfn.XLOOKUP($A452,PROPERTIES[VEHIDCODE],#REF!)</f>
        <v>#REF!</v>
      </c>
      <c r="F452" s="25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 x14ac:dyDescent="0.3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e">
        <f>_xlfn.XLOOKUP($A453,PROPERTIES[VEHIDCODE],#REF!)</f>
        <v>#REF!</v>
      </c>
      <c r="F453" s="25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 x14ac:dyDescent="0.3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e">
        <f>_xlfn.XLOOKUP($A454,PROPERTIES[VEHIDCODE],#REF!)</f>
        <v>#REF!</v>
      </c>
      <c r="F454" s="25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 x14ac:dyDescent="0.3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e">
        <f>_xlfn.XLOOKUP($A455,PROPERTIES[VEHIDCODE],#REF!)</f>
        <v>#REF!</v>
      </c>
      <c r="F455" s="25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 x14ac:dyDescent="0.3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e">
        <f>_xlfn.XLOOKUP($A456,PROPERTIES[VEHIDCODE],#REF!)</f>
        <v>#REF!</v>
      </c>
      <c r="F456" s="25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 x14ac:dyDescent="0.3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e">
        <f>_xlfn.XLOOKUP($A457,PROPERTIES[VEHIDCODE],#REF!)</f>
        <v>#REF!</v>
      </c>
      <c r="F457" s="25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 x14ac:dyDescent="0.3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e">
        <f>_xlfn.XLOOKUP($A458,PROPERTIES[VEHIDCODE],#REF!)</f>
        <v>#REF!</v>
      </c>
      <c r="F458" s="25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 x14ac:dyDescent="0.3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e">
        <f>_xlfn.XLOOKUP($A459,PROPERTIES[VEHIDCODE],#REF!)</f>
        <v>#REF!</v>
      </c>
      <c r="F459" s="25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 x14ac:dyDescent="0.3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e">
        <f>_xlfn.XLOOKUP($A460,PROPERTIES[VEHIDCODE],#REF!)</f>
        <v>#REF!</v>
      </c>
      <c r="F460" s="25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 x14ac:dyDescent="0.3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e">
        <f>_xlfn.XLOOKUP($A461,PROPERTIES[VEHIDCODE],#REF!)</f>
        <v>#REF!</v>
      </c>
      <c r="F461" s="25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 x14ac:dyDescent="0.3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e">
        <f>_xlfn.XLOOKUP($A462,PROPERTIES[VEHIDCODE],#REF!)</f>
        <v>#REF!</v>
      </c>
      <c r="F462" s="25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 x14ac:dyDescent="0.3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e">
        <f>_xlfn.XLOOKUP($A463,PROPERTIES[VEHIDCODE],#REF!)</f>
        <v>#REF!</v>
      </c>
      <c r="F463" s="25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 x14ac:dyDescent="0.3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e">
        <f>_xlfn.XLOOKUP($A464,PROPERTIES[VEHIDCODE],#REF!)</f>
        <v>#REF!</v>
      </c>
      <c r="F464" s="25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 x14ac:dyDescent="0.3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e">
        <f>_xlfn.XLOOKUP($A465,PROPERTIES[VEHIDCODE],#REF!)</f>
        <v>#REF!</v>
      </c>
      <c r="F465" s="25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 x14ac:dyDescent="0.3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e">
        <f>_xlfn.XLOOKUP($A466,PROPERTIES[VEHIDCODE],#REF!)</f>
        <v>#REF!</v>
      </c>
      <c r="F466" s="25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 x14ac:dyDescent="0.3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e">
        <f>_xlfn.XLOOKUP($A467,PROPERTIES[VEHIDCODE],#REF!)</f>
        <v>#REF!</v>
      </c>
      <c r="F467" s="25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 x14ac:dyDescent="0.3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e">
        <f>_xlfn.XLOOKUP($A468,PROPERTIES[VEHIDCODE],#REF!)</f>
        <v>#REF!</v>
      </c>
      <c r="F468" s="25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 x14ac:dyDescent="0.3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e">
        <f>_xlfn.XLOOKUP($A469,PROPERTIES[VEHIDCODE],#REF!)</f>
        <v>#REF!</v>
      </c>
      <c r="F469" s="25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 x14ac:dyDescent="0.3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e">
        <f>_xlfn.XLOOKUP($A470,PROPERTIES[VEHIDCODE],#REF!)</f>
        <v>#REF!</v>
      </c>
      <c r="F470" s="25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 x14ac:dyDescent="0.3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e">
        <f>_xlfn.XLOOKUP($A471,PROPERTIES[VEHIDCODE],#REF!)</f>
        <v>#REF!</v>
      </c>
      <c r="F471" s="25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 x14ac:dyDescent="0.3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e">
        <f>_xlfn.XLOOKUP($A472,PROPERTIES[VEHIDCODE],#REF!)</f>
        <v>#REF!</v>
      </c>
      <c r="F472" s="25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 x14ac:dyDescent="0.3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e">
        <f>_xlfn.XLOOKUP($A473,PROPERTIES[VEHIDCODE],#REF!)</f>
        <v>#REF!</v>
      </c>
      <c r="F473" s="25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 x14ac:dyDescent="0.3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e">
        <f>_xlfn.XLOOKUP($A474,PROPERTIES[VEHIDCODE],#REF!)</f>
        <v>#REF!</v>
      </c>
      <c r="F474" s="25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 x14ac:dyDescent="0.3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e">
        <f>_xlfn.XLOOKUP($A475,PROPERTIES[VEHIDCODE],#REF!)</f>
        <v>#REF!</v>
      </c>
      <c r="F475" s="25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 x14ac:dyDescent="0.3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e">
        <f>_xlfn.XLOOKUP($A476,PROPERTIES[VEHIDCODE],#REF!)</f>
        <v>#REF!</v>
      </c>
      <c r="F476" s="25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 x14ac:dyDescent="0.3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e">
        <f>_xlfn.XLOOKUP($A477,PROPERTIES[VEHIDCODE],#REF!)</f>
        <v>#REF!</v>
      </c>
      <c r="F477" s="25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 x14ac:dyDescent="0.3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e">
        <f>_xlfn.XLOOKUP($A478,PROPERTIES[VEHIDCODE],#REF!)</f>
        <v>#REF!</v>
      </c>
      <c r="F478" s="25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 x14ac:dyDescent="0.3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e">
        <f>_xlfn.XLOOKUP($A479,PROPERTIES[VEHIDCODE],#REF!)</f>
        <v>#REF!</v>
      </c>
      <c r="F479" s="25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 x14ac:dyDescent="0.3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e">
        <f>_xlfn.XLOOKUP($A480,PROPERTIES[VEHIDCODE],#REF!)</f>
        <v>#REF!</v>
      </c>
      <c r="F480" s="25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 x14ac:dyDescent="0.35">
      <c r="A481" t="str">
        <v>dmu_ABB_IC3__Israel_</v>
      </c>
      <c r="B481" t="b" cm="1">
        <f t="array" ref="B481">_xlfn.XLOOKUP(A481,CONTROL[VEHIDCODE],PROPERTIES[EXCLUDE])</f>
        <v>1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e">
        <f>_xlfn.XLOOKUP($A481,PROPERTIES[VEHIDCODE],#REF!)</f>
        <v>#REF!</v>
      </c>
      <c r="F481" s="25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 x14ac:dyDescent="0.3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e">
        <f>_xlfn.XLOOKUP($A482,PROPERTIES[VEHIDCODE],#REF!)</f>
        <v>#REF!</v>
      </c>
      <c r="F482" s="25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 x14ac:dyDescent="0.3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e">
        <f>_xlfn.XLOOKUP($A483,PROPERTIES[VEHIDCODE],#REF!)</f>
        <v>#REF!</v>
      </c>
      <c r="F483" s="25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 x14ac:dyDescent="0.3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e">
        <f>_xlfn.XLOOKUP($A484,PROPERTIES[VEHIDCODE],#REF!)</f>
        <v>#REF!</v>
      </c>
      <c r="F484" s="25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 x14ac:dyDescent="0.3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e">
        <f>_xlfn.XLOOKUP($A485,PROPERTIES[VEHIDCODE],#REF!)</f>
        <v>#REF!</v>
      </c>
      <c r="F485" s="25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 x14ac:dyDescent="0.3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e">
        <f>_xlfn.XLOOKUP($A486,PROPERTIES[VEHIDCODE],#REF!)</f>
        <v>#REF!</v>
      </c>
      <c r="F486" s="25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 x14ac:dyDescent="0.3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e">
        <f>_xlfn.XLOOKUP($A487,PROPERTIES[VEHIDCODE],#REF!)</f>
        <v>#REF!</v>
      </c>
      <c r="F487" s="25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 x14ac:dyDescent="0.3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e">
        <f>_xlfn.XLOOKUP($A488,PROPERTIES[VEHIDCODE],#REF!)</f>
        <v>#REF!</v>
      </c>
      <c r="F488" s="25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 x14ac:dyDescent="0.3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e">
        <f>_xlfn.XLOOKUP($A489,PROPERTIES[VEHIDCODE],#REF!)</f>
        <v>#REF!</v>
      </c>
      <c r="F489" s="25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 x14ac:dyDescent="0.3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e">
        <f>_xlfn.XLOOKUP($A490,PROPERTIES[VEHIDCODE],#REF!)</f>
        <v>#REF!</v>
      </c>
      <c r="F490" s="25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 x14ac:dyDescent="0.3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e">
        <f>_xlfn.XLOOKUP($A491,PROPERTIES[VEHIDCODE],#REF!)</f>
        <v>#REF!</v>
      </c>
      <c r="F491" s="25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 x14ac:dyDescent="0.3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e">
        <f>_xlfn.XLOOKUP($A492,PROPERTIES[VEHIDCODE],#REF!)</f>
        <v>#REF!</v>
      </c>
      <c r="F492" s="25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 x14ac:dyDescent="0.3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e">
        <f>_xlfn.XLOOKUP($A493,PROPERTIES[VEHIDCODE],#REF!)</f>
        <v>#REF!</v>
      </c>
      <c r="F493" s="25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 x14ac:dyDescent="0.3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e">
        <f>_xlfn.XLOOKUP($A494,PROPERTIES[VEHIDCODE],#REF!)</f>
        <v>#REF!</v>
      </c>
      <c r="F494" s="25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 x14ac:dyDescent="0.3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e">
        <f>_xlfn.XLOOKUP($A495,PROPERTIES[VEHIDCODE],#REF!)</f>
        <v>#REF!</v>
      </c>
      <c r="F495" s="25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 x14ac:dyDescent="0.3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e">
        <f>_xlfn.XLOOKUP($A496,PROPERTIES[VEHIDCODE],#REF!)</f>
        <v>#REF!</v>
      </c>
      <c r="F496" s="25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 x14ac:dyDescent="0.3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e">
        <f>_xlfn.XLOOKUP($A497,PROPERTIES[VEHIDCODE],#REF!)</f>
        <v>#REF!</v>
      </c>
      <c r="F497" s="25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 x14ac:dyDescent="0.3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e">
        <f>_xlfn.XLOOKUP($A498,PROPERTIES[VEHIDCODE],#REF!)</f>
        <v>#REF!</v>
      </c>
      <c r="F498" s="25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 x14ac:dyDescent="0.3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e">
        <f>_xlfn.XLOOKUP($A499,PROPERTIES[VEHIDCODE],#REF!)</f>
        <v>#REF!</v>
      </c>
      <c r="F499" s="25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 x14ac:dyDescent="0.3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e">
        <f>_xlfn.XLOOKUP($A500,PROPERTIES[VEHIDCODE],#REF!)</f>
        <v>#REF!</v>
      </c>
      <c r="F500" s="25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 x14ac:dyDescent="0.3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e">
        <f>_xlfn.XLOOKUP($A501,PROPERTIES[VEHIDCODE],#REF!)</f>
        <v>#REF!</v>
      </c>
      <c r="F501" s="25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 x14ac:dyDescent="0.3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e">
        <f>_xlfn.XLOOKUP($A502,PROPERTIES[VEHIDCODE],#REF!)</f>
        <v>#REF!</v>
      </c>
      <c r="F502" s="25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 x14ac:dyDescent="0.3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e">
        <f>_xlfn.XLOOKUP($A503,PROPERTIES[VEHIDCODE],#REF!)</f>
        <v>#REF!</v>
      </c>
      <c r="F503" s="25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 x14ac:dyDescent="0.3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e">
        <f>_xlfn.XLOOKUP($A504,PROPERTIES[VEHIDCODE],#REF!)</f>
        <v>#REF!</v>
      </c>
      <c r="F504" s="25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 x14ac:dyDescent="0.3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e">
        <f>_xlfn.XLOOKUP($A505,PROPERTIES[VEHIDCODE],#REF!)</f>
        <v>#REF!</v>
      </c>
      <c r="F505" s="25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 x14ac:dyDescent="0.3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e">
        <f>_xlfn.XLOOKUP($A506,PROPERTIES[VEHIDCODE],#REF!)</f>
        <v>#REF!</v>
      </c>
      <c r="F506" s="25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 x14ac:dyDescent="0.3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e">
        <f>_xlfn.XLOOKUP($A507,PROPERTIES[VEHIDCODE],#REF!)</f>
        <v>#REF!</v>
      </c>
      <c r="F507" s="25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 x14ac:dyDescent="0.3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e">
        <f>_xlfn.XLOOKUP($A508,PROPERTIES[VEHIDCODE],#REF!)</f>
        <v>#REF!</v>
      </c>
      <c r="F508" s="25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 x14ac:dyDescent="0.3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e">
        <f>_xlfn.XLOOKUP($A509,PROPERTIES[VEHIDCODE],#REF!)</f>
        <v>#REF!</v>
      </c>
      <c r="F509" s="25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 x14ac:dyDescent="0.3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e">
        <f>_xlfn.XLOOKUP($A510,PROPERTIES[VEHIDCODE],#REF!)</f>
        <v>#REF!</v>
      </c>
      <c r="F510" s="25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 x14ac:dyDescent="0.3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e">
        <f>_xlfn.XLOOKUP($A511,PROPERTIES[VEHIDCODE],#REF!)</f>
        <v>#REF!</v>
      </c>
      <c r="F511" s="25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 x14ac:dyDescent="0.3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e">
        <f>_xlfn.XLOOKUP($A512,PROPERTIES[VEHIDCODE],#REF!)</f>
        <v>#REF!</v>
      </c>
      <c r="F512" s="25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 x14ac:dyDescent="0.3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e">
        <f>_xlfn.XLOOKUP($A513,PROPERTIES[VEHIDCODE],#REF!)</f>
        <v>#REF!</v>
      </c>
      <c r="F513" s="25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 x14ac:dyDescent="0.3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e">
        <f>_xlfn.XLOOKUP($A514,PROPERTIES[VEHIDCODE],#REF!)</f>
        <v>#REF!</v>
      </c>
      <c r="F514" s="25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 x14ac:dyDescent="0.3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e">
        <f>_xlfn.XLOOKUP($A515,PROPERTIES[VEHIDCODE],#REF!)</f>
        <v>#REF!</v>
      </c>
      <c r="F515" s="25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 x14ac:dyDescent="0.3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e">
        <f>_xlfn.XLOOKUP($A516,PROPERTIES[VEHIDCODE],#REF!)</f>
        <v>#REF!</v>
      </c>
      <c r="F516" s="25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 x14ac:dyDescent="0.3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e">
        <f>_xlfn.XLOOKUP($A517,PROPERTIES[VEHIDCODE],#REF!)</f>
        <v>#REF!</v>
      </c>
      <c r="F517" s="25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 x14ac:dyDescent="0.3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e">
        <f>_xlfn.XLOOKUP($A518,PROPERTIES[VEHIDCODE],#REF!)</f>
        <v>#REF!</v>
      </c>
      <c r="F518" s="25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 x14ac:dyDescent="0.3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e">
        <f>_xlfn.XLOOKUP($A519,PROPERTIES[VEHIDCODE],#REF!)</f>
        <v>#REF!</v>
      </c>
      <c r="F519" s="25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 x14ac:dyDescent="0.3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e">
        <f>_xlfn.XLOOKUP($A520,PROPERTIES[VEHIDCODE],#REF!)</f>
        <v>#REF!</v>
      </c>
      <c r="F520" s="25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 x14ac:dyDescent="0.3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e">
        <f>_xlfn.XLOOKUP($A521,PROPERTIES[VEHIDCODE],#REF!)</f>
        <v>#REF!</v>
      </c>
      <c r="F521" s="25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 x14ac:dyDescent="0.3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e">
        <f>_xlfn.XLOOKUP($A522,PROPERTIES[VEHIDCODE],#REF!)</f>
        <v>#REF!</v>
      </c>
      <c r="F522" s="25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 x14ac:dyDescent="0.3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e">
        <f>_xlfn.XLOOKUP($A523,PROPERTIES[VEHIDCODE],#REF!)</f>
        <v>#REF!</v>
      </c>
      <c r="F523" s="25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 x14ac:dyDescent="0.3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e">
        <f>_xlfn.XLOOKUP($A524,PROPERTIES[VEHIDCODE],#REF!)</f>
        <v>#REF!</v>
      </c>
      <c r="F524" s="25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 x14ac:dyDescent="0.3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e">
        <f>_xlfn.XLOOKUP($A525,PROPERTIES[VEHIDCODE],#REF!)</f>
        <v>#REF!</v>
      </c>
      <c r="F525" s="25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 x14ac:dyDescent="0.3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e">
        <f>_xlfn.XLOOKUP($A526,PROPERTIES[VEHIDCODE],#REF!)</f>
        <v>#REF!</v>
      </c>
      <c r="F526" s="25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 x14ac:dyDescent="0.3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e">
        <f>_xlfn.XLOOKUP($A527,PROPERTIES[VEHIDCODE],#REF!)</f>
        <v>#REF!</v>
      </c>
      <c r="F527" s="25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 x14ac:dyDescent="0.3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e">
        <f>_xlfn.XLOOKUP($A528,PROPERTIES[VEHIDCODE],#REF!)</f>
        <v>#REF!</v>
      </c>
      <c r="F528" s="25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 x14ac:dyDescent="0.3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e">
        <f>_xlfn.XLOOKUP($A529,PROPERTIES[VEHIDCODE],#REF!)</f>
        <v>#REF!</v>
      </c>
      <c r="F529" s="25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 x14ac:dyDescent="0.3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e">
        <f>_xlfn.XLOOKUP($A530,PROPERTIES[VEHIDCODE],#REF!)</f>
        <v>#REF!</v>
      </c>
      <c r="F530" s="25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 x14ac:dyDescent="0.3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e">
        <f>_xlfn.XLOOKUP($A531,PROPERTIES[VEHIDCODE],#REF!)</f>
        <v>#REF!</v>
      </c>
      <c r="F531" s="25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 x14ac:dyDescent="0.3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e">
        <f>_xlfn.XLOOKUP($A532,PROPERTIES[VEHIDCODE],#REF!)</f>
        <v>#REF!</v>
      </c>
      <c r="F532" s="25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 x14ac:dyDescent="0.3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e">
        <f>_xlfn.XLOOKUP($A533,PROPERTIES[VEHIDCODE],#REF!)</f>
        <v>#REF!</v>
      </c>
      <c r="F533" s="25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 x14ac:dyDescent="0.3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e">
        <f>_xlfn.XLOOKUP($A534,PROPERTIES[VEHIDCODE],#REF!)</f>
        <v>#REF!</v>
      </c>
      <c r="F534" s="25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 x14ac:dyDescent="0.3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e">
        <f>_xlfn.XLOOKUP($A535,PROPERTIES[VEHIDCODE],#REF!)</f>
        <v>#REF!</v>
      </c>
      <c r="F535" s="25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 x14ac:dyDescent="0.3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e">
        <f>_xlfn.XLOOKUP($A536,PROPERTIES[VEHIDCODE],#REF!)</f>
        <v>#REF!</v>
      </c>
      <c r="F536" s="25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 x14ac:dyDescent="0.3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e">
        <f>_xlfn.XLOOKUP($A537,PROPERTIES[VEHIDCODE],#REF!)</f>
        <v>#REF!</v>
      </c>
      <c r="F537" s="25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 x14ac:dyDescent="0.3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e">
        <f>_xlfn.XLOOKUP($A538,PROPERTIES[VEHIDCODE],#REF!)</f>
        <v>#REF!</v>
      </c>
      <c r="F538" s="25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 x14ac:dyDescent="0.3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e">
        <f>_xlfn.XLOOKUP($A539,PROPERTIES[VEHIDCODE],#REF!)</f>
        <v>#REF!</v>
      </c>
      <c r="F539" s="25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 x14ac:dyDescent="0.3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e">
        <f>_xlfn.XLOOKUP($A540,PROPERTIES[VEHIDCODE],#REF!)</f>
        <v>#REF!</v>
      </c>
      <c r="F540" s="25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 x14ac:dyDescent="0.3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e">
        <f>_xlfn.XLOOKUP($A541,PROPERTIES[VEHIDCODE],#REF!)</f>
        <v>#REF!</v>
      </c>
      <c r="F541" s="25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 x14ac:dyDescent="0.3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e">
        <f>_xlfn.XLOOKUP($A542,PROPERTIES[VEHIDCODE],#REF!)</f>
        <v>#REF!</v>
      </c>
      <c r="F542" s="25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 x14ac:dyDescent="0.3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e">
        <f>_xlfn.XLOOKUP($A543,PROPERTIES[VEHIDCODE],#REF!)</f>
        <v>#REF!</v>
      </c>
      <c r="F543" s="25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 x14ac:dyDescent="0.3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e">
        <f>_xlfn.XLOOKUP($A544,PROPERTIES[VEHIDCODE],#REF!)</f>
        <v>#REF!</v>
      </c>
      <c r="F544" s="25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 x14ac:dyDescent="0.3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e">
        <f>_xlfn.XLOOKUP($A545,PROPERTIES[VEHIDCODE],#REF!)</f>
        <v>#REF!</v>
      </c>
      <c r="F545" s="25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 x14ac:dyDescent="0.3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e">
        <f>_xlfn.XLOOKUP($A546,PROPERTIES[VEHIDCODE],#REF!)</f>
        <v>#REF!</v>
      </c>
      <c r="F546" s="25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 x14ac:dyDescent="0.3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e">
        <f>_xlfn.XLOOKUP($A547,PROPERTIES[VEHIDCODE],#REF!)</f>
        <v>#REF!</v>
      </c>
      <c r="F547" s="25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 x14ac:dyDescent="0.3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e">
        <f>_xlfn.XLOOKUP($A548,PROPERTIES[VEHIDCODE],#REF!)</f>
        <v>#REF!</v>
      </c>
      <c r="F548" s="25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 x14ac:dyDescent="0.3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e">
        <f>_xlfn.XLOOKUP($A549,PROPERTIES[VEHIDCODE],#REF!)</f>
        <v>#REF!</v>
      </c>
      <c r="F549" s="25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 x14ac:dyDescent="0.3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e">
        <f>_xlfn.XLOOKUP($A550,PROPERTIES[VEHIDCODE],#REF!)</f>
        <v>#REF!</v>
      </c>
      <c r="F550" s="25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 x14ac:dyDescent="0.3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e">
        <f>_xlfn.XLOOKUP($A551,PROPERTIES[VEHIDCODE],#REF!)</f>
        <v>#REF!</v>
      </c>
      <c r="F551" s="25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 x14ac:dyDescent="0.3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e">
        <f>_xlfn.XLOOKUP($A552,PROPERTIES[VEHIDCODE],#REF!)</f>
        <v>#REF!</v>
      </c>
      <c r="F552" s="25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 x14ac:dyDescent="0.3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e">
        <f>_xlfn.XLOOKUP($A553,PROPERTIES[VEHIDCODE],#REF!)</f>
        <v>#REF!</v>
      </c>
      <c r="F553" s="25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 x14ac:dyDescent="0.3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e">
        <f>_xlfn.XLOOKUP($A554,PROPERTIES[VEHIDCODE],#REF!)</f>
        <v>#REF!</v>
      </c>
      <c r="F554" s="25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 x14ac:dyDescent="0.3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e">
        <f>_xlfn.XLOOKUP($A555,PROPERTIES[VEHIDCODE],#REF!)</f>
        <v>#REF!</v>
      </c>
      <c r="F555" s="25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 x14ac:dyDescent="0.3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e">
        <f>_xlfn.XLOOKUP($A556,PROPERTIES[VEHIDCODE],#REF!)</f>
        <v>#REF!</v>
      </c>
      <c r="F556" s="25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 x14ac:dyDescent="0.3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e">
        <f>_xlfn.XLOOKUP($A557,PROPERTIES[VEHIDCODE],#REF!)</f>
        <v>#REF!</v>
      </c>
      <c r="F557" s="25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 x14ac:dyDescent="0.3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e">
        <f>_xlfn.XLOOKUP($A558,PROPERTIES[VEHIDCODE],#REF!)</f>
        <v>#REF!</v>
      </c>
      <c r="F558" s="25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 x14ac:dyDescent="0.3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e">
        <f>_xlfn.XLOOKUP($A559,PROPERTIES[VEHIDCODE],#REF!)</f>
        <v>#REF!</v>
      </c>
      <c r="F559" s="25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 x14ac:dyDescent="0.3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e">
        <f>_xlfn.XLOOKUP($A560,PROPERTIES[VEHIDCODE],#REF!)</f>
        <v>#REF!</v>
      </c>
      <c r="F560" s="25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 x14ac:dyDescent="0.3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e">
        <f>_xlfn.XLOOKUP($A561,PROPERTIES[VEHIDCODE],#REF!)</f>
        <v>#REF!</v>
      </c>
      <c r="F561" s="25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 x14ac:dyDescent="0.3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e">
        <f>_xlfn.XLOOKUP($A562,PROPERTIES[VEHIDCODE],#REF!)</f>
        <v>#REF!</v>
      </c>
      <c r="F562" s="25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 x14ac:dyDescent="0.3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e">
        <f>_xlfn.XLOOKUP($A563,PROPERTIES[VEHIDCODE],#REF!)</f>
        <v>#REF!</v>
      </c>
      <c r="F563" s="25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 x14ac:dyDescent="0.3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e">
        <f>_xlfn.XLOOKUP($A564,PROPERTIES[VEHIDCODE],#REF!)</f>
        <v>#REF!</v>
      </c>
      <c r="F564" s="25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 x14ac:dyDescent="0.3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e">
        <f>_xlfn.XLOOKUP($A565,PROPERTIES[VEHIDCODE],#REF!)</f>
        <v>#REF!</v>
      </c>
      <c r="F565" s="25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 x14ac:dyDescent="0.3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e">
        <f>_xlfn.XLOOKUP($A566,PROPERTIES[VEHIDCODE],#REF!)</f>
        <v>#REF!</v>
      </c>
      <c r="F566" s="25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 x14ac:dyDescent="0.3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e">
        <f>_xlfn.XLOOKUP($A567,PROPERTIES[VEHIDCODE],#REF!)</f>
        <v>#REF!</v>
      </c>
      <c r="F567" s="25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 x14ac:dyDescent="0.3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e">
        <f>_xlfn.XLOOKUP($A568,PROPERTIES[VEHIDCODE],#REF!)</f>
        <v>#REF!</v>
      </c>
      <c r="F568" s="25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 x14ac:dyDescent="0.3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e">
        <f>_xlfn.XLOOKUP($A569,PROPERTIES[VEHIDCODE],#REF!)</f>
        <v>#REF!</v>
      </c>
      <c r="F569" s="25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 x14ac:dyDescent="0.3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e">
        <f>_xlfn.XLOOKUP($A570,PROPERTIES[VEHIDCODE],#REF!)</f>
        <v>#REF!</v>
      </c>
      <c r="F570" s="25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 x14ac:dyDescent="0.3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e">
        <f>_xlfn.XLOOKUP($A571,PROPERTIES[VEHIDCODE],#REF!)</f>
        <v>#REF!</v>
      </c>
      <c r="F571" s="25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 x14ac:dyDescent="0.3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e">
        <f>_xlfn.XLOOKUP($A572,PROPERTIES[VEHIDCODE],#REF!)</f>
        <v>#REF!</v>
      </c>
      <c r="F572" s="25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 x14ac:dyDescent="0.3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e">
        <f>_xlfn.XLOOKUP($A573,PROPERTIES[VEHIDCODE],#REF!)</f>
        <v>#REF!</v>
      </c>
      <c r="F573" s="25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 x14ac:dyDescent="0.3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e">
        <f>_xlfn.XLOOKUP($A574,PROPERTIES[VEHIDCODE],#REF!)</f>
        <v>#REF!</v>
      </c>
      <c r="F574" s="25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 x14ac:dyDescent="0.3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e">
        <f>_xlfn.XLOOKUP($A575,PROPERTIES[VEHIDCODE],#REF!)</f>
        <v>#REF!</v>
      </c>
      <c r="F575" s="25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 x14ac:dyDescent="0.3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e">
        <f>_xlfn.XLOOKUP($A576,PROPERTIES[VEHIDCODE],#REF!)</f>
        <v>#REF!</v>
      </c>
      <c r="F576" s="25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 x14ac:dyDescent="0.3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e">
        <f>_xlfn.XLOOKUP($A577,PROPERTIES[VEHIDCODE],#REF!)</f>
        <v>#REF!</v>
      </c>
      <c r="F577" s="25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 x14ac:dyDescent="0.3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e">
        <f>_xlfn.XLOOKUP($A578,PROPERTIES[VEHIDCODE],#REF!)</f>
        <v>#REF!</v>
      </c>
      <c r="F578" s="25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 x14ac:dyDescent="0.3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e">
        <f>_xlfn.XLOOKUP($A579,PROPERTIES[VEHIDCODE],#REF!)</f>
        <v>#REF!</v>
      </c>
      <c r="F579" s="25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 x14ac:dyDescent="0.3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e">
        <f>_xlfn.XLOOKUP($A580,PROPERTIES[VEHIDCODE],#REF!)</f>
        <v>#REF!</v>
      </c>
      <c r="F580" s="25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 x14ac:dyDescent="0.3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e">
        <f>_xlfn.XLOOKUP($A581,PROPERTIES[VEHIDCODE],#REF!)</f>
        <v>#REF!</v>
      </c>
      <c r="F581" s="25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 x14ac:dyDescent="0.3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e">
        <f>_xlfn.XLOOKUP($A582,PROPERTIES[VEHIDCODE],#REF!)</f>
        <v>#REF!</v>
      </c>
      <c r="F582" s="25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 x14ac:dyDescent="0.3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e">
        <f>_xlfn.XLOOKUP($A583,PROPERTIES[VEHIDCODE],#REF!)</f>
        <v>#REF!</v>
      </c>
      <c r="F583" s="25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 x14ac:dyDescent="0.3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e">
        <f>_xlfn.XLOOKUP($A584,PROPERTIES[VEHIDCODE],#REF!)</f>
        <v>#REF!</v>
      </c>
      <c r="F584" s="25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 x14ac:dyDescent="0.3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e">
        <f>_xlfn.XLOOKUP($A585,PROPERTIES[VEHIDCODE],#REF!)</f>
        <v>#REF!</v>
      </c>
      <c r="F585" s="25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 x14ac:dyDescent="0.3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e">
        <f>_xlfn.XLOOKUP($A586,PROPERTIES[VEHIDCODE],#REF!)</f>
        <v>#REF!</v>
      </c>
      <c r="F586" s="25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 x14ac:dyDescent="0.3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e">
        <f>_xlfn.XLOOKUP($A587,PROPERTIES[VEHIDCODE],#REF!)</f>
        <v>#REF!</v>
      </c>
      <c r="F587" s="25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 x14ac:dyDescent="0.3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e">
        <f>_xlfn.XLOOKUP($A588,PROPERTIES[VEHIDCODE],#REF!)</f>
        <v>#REF!</v>
      </c>
      <c r="F588" s="25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 x14ac:dyDescent="0.3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e">
        <f>_xlfn.XLOOKUP($A589,PROPERTIES[VEHIDCODE],#REF!)</f>
        <v>#REF!</v>
      </c>
      <c r="F589" s="25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 x14ac:dyDescent="0.3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e">
        <f>_xlfn.XLOOKUP($A590,PROPERTIES[VEHIDCODE],#REF!)</f>
        <v>#REF!</v>
      </c>
      <c r="F590" s="25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 x14ac:dyDescent="0.3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e">
        <f>_xlfn.XLOOKUP($A591,PROPERTIES[VEHIDCODE],#REF!)</f>
        <v>#REF!</v>
      </c>
      <c r="F591" s="25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 x14ac:dyDescent="0.3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e">
        <f>_xlfn.XLOOKUP($A592,PROPERTIES[VEHIDCODE],#REF!)</f>
        <v>#REF!</v>
      </c>
      <c r="F592" s="25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 x14ac:dyDescent="0.3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e">
        <f>_xlfn.XLOOKUP($A593,PROPERTIES[VEHIDCODE],#REF!)</f>
        <v>#REF!</v>
      </c>
      <c r="F593" s="25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 x14ac:dyDescent="0.3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e">
        <f>_xlfn.XLOOKUP($A594,PROPERTIES[VEHIDCODE],#REF!)</f>
        <v>#REF!</v>
      </c>
      <c r="F594" s="25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 x14ac:dyDescent="0.3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e">
        <f>_xlfn.XLOOKUP($A595,PROPERTIES[VEHIDCODE],#REF!)</f>
        <v>#REF!</v>
      </c>
      <c r="F595" s="25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 x14ac:dyDescent="0.3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e">
        <f>_xlfn.XLOOKUP($A596,PROPERTIES[VEHIDCODE],#REF!)</f>
        <v>#REF!</v>
      </c>
      <c r="F596" s="25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 x14ac:dyDescent="0.3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e">
        <f>_xlfn.XLOOKUP($A597,PROPERTIES[VEHIDCODE],#REF!)</f>
        <v>#REF!</v>
      </c>
      <c r="F597" s="25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 x14ac:dyDescent="0.3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e">
        <f>_xlfn.XLOOKUP($A598,PROPERTIES[VEHIDCODE],#REF!)</f>
        <v>#REF!</v>
      </c>
      <c r="F598" s="25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 x14ac:dyDescent="0.3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e">
        <f>_xlfn.XLOOKUP($A599,PROPERTIES[VEHIDCODE],#REF!)</f>
        <v>#REF!</v>
      </c>
      <c r="F599" s="25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 x14ac:dyDescent="0.3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e">
        <f>_xlfn.XLOOKUP($A600,PROPERTIES[VEHIDCODE],#REF!)</f>
        <v>#REF!</v>
      </c>
      <c r="F600" s="25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 x14ac:dyDescent="0.3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e">
        <f>_xlfn.XLOOKUP($A601,PROPERTIES[VEHIDCODE],#REF!)</f>
        <v>#REF!</v>
      </c>
      <c r="F601" s="25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 x14ac:dyDescent="0.3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e">
        <f>_xlfn.XLOOKUP($A602,PROPERTIES[VEHIDCODE],#REF!)</f>
        <v>#REF!</v>
      </c>
      <c r="F602" s="25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 x14ac:dyDescent="0.3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e">
        <f>_xlfn.XLOOKUP($A603,PROPERTIES[VEHIDCODE],#REF!)</f>
        <v>#REF!</v>
      </c>
      <c r="F603" s="25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 x14ac:dyDescent="0.3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e">
        <f>_xlfn.XLOOKUP($A604,PROPERTIES[VEHIDCODE],#REF!)</f>
        <v>#REF!</v>
      </c>
      <c r="F604" s="25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 x14ac:dyDescent="0.3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e">
        <f>_xlfn.XLOOKUP($A605,PROPERTIES[VEHIDCODE],#REF!)</f>
        <v>#REF!</v>
      </c>
      <c r="F605" s="25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 x14ac:dyDescent="0.3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e">
        <f>_xlfn.XLOOKUP($A606,PROPERTIES[VEHIDCODE],#REF!)</f>
        <v>#REF!</v>
      </c>
      <c r="F606" s="25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 x14ac:dyDescent="0.3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e">
        <f>_xlfn.XLOOKUP($A607,PROPERTIES[VEHIDCODE],#REF!)</f>
        <v>#REF!</v>
      </c>
      <c r="F607" s="25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 x14ac:dyDescent="0.3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e">
        <f>_xlfn.XLOOKUP($A608,PROPERTIES[VEHIDCODE],#REF!)</f>
        <v>#REF!</v>
      </c>
      <c r="F608" s="25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 x14ac:dyDescent="0.3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e">
        <f>_xlfn.XLOOKUP($A609,PROPERTIES[VEHIDCODE],#REF!)</f>
        <v>#REF!</v>
      </c>
      <c r="F609" s="25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 x14ac:dyDescent="0.3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e">
        <f>_xlfn.XLOOKUP($A610,PROPERTIES[VEHIDCODE],#REF!)</f>
        <v>#REF!</v>
      </c>
      <c r="F610" s="25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 x14ac:dyDescent="0.3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e">
        <f>_xlfn.XLOOKUP($A611,PROPERTIES[VEHIDCODE],#REF!)</f>
        <v>#REF!</v>
      </c>
      <c r="F611" s="25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 x14ac:dyDescent="0.3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e">
        <f>_xlfn.XLOOKUP($A612,PROPERTIES[VEHIDCODE],#REF!)</f>
        <v>#REF!</v>
      </c>
      <c r="F612" s="25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 x14ac:dyDescent="0.3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e">
        <f>_xlfn.XLOOKUP($A613,PROPERTIES[VEHIDCODE],#REF!)</f>
        <v>#REF!</v>
      </c>
      <c r="F613" s="25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 x14ac:dyDescent="0.3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e">
        <f>_xlfn.XLOOKUP($A614,PROPERTIES[VEHIDCODE],#REF!)</f>
        <v>#REF!</v>
      </c>
      <c r="F614" s="25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 x14ac:dyDescent="0.3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e">
        <f>_xlfn.XLOOKUP($A615,PROPERTIES[VEHIDCODE],#REF!)</f>
        <v>#REF!</v>
      </c>
      <c r="F615" s="25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 x14ac:dyDescent="0.3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e">
        <f>_xlfn.XLOOKUP($A616,PROPERTIES[VEHIDCODE],#REF!)</f>
        <v>#REF!</v>
      </c>
      <c r="F616" s="25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 x14ac:dyDescent="0.3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e">
        <f>_xlfn.XLOOKUP($A617,PROPERTIES[VEHIDCODE],#REF!)</f>
        <v>#REF!</v>
      </c>
      <c r="F617" s="25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 x14ac:dyDescent="0.3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e">
        <f>_xlfn.XLOOKUP($A618,PROPERTIES[VEHIDCODE],#REF!)</f>
        <v>#REF!</v>
      </c>
      <c r="F618" s="25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 x14ac:dyDescent="0.3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e">
        <f>_xlfn.XLOOKUP($A619,PROPERTIES[VEHIDCODE],#REF!)</f>
        <v>#REF!</v>
      </c>
      <c r="F619" s="25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 x14ac:dyDescent="0.3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e">
        <f>_xlfn.XLOOKUP($A620,PROPERTIES[VEHIDCODE],#REF!)</f>
        <v>#REF!</v>
      </c>
      <c r="F620" s="25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 x14ac:dyDescent="0.3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e">
        <f>_xlfn.XLOOKUP($A621,PROPERTIES[VEHIDCODE],#REF!)</f>
        <v>#REF!</v>
      </c>
      <c r="F621" s="25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 x14ac:dyDescent="0.3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e">
        <f>_xlfn.XLOOKUP($A622,PROPERTIES[VEHIDCODE],#REF!)</f>
        <v>#REF!</v>
      </c>
      <c r="F622" s="25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 x14ac:dyDescent="0.3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e">
        <f>_xlfn.XLOOKUP($A623,PROPERTIES[VEHIDCODE],#REF!)</f>
        <v>#REF!</v>
      </c>
      <c r="F623" s="25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 x14ac:dyDescent="0.3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e">
        <f>_xlfn.XLOOKUP($A624,PROPERTIES[VEHIDCODE],#REF!)</f>
        <v>#REF!</v>
      </c>
      <c r="F624" s="25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 x14ac:dyDescent="0.3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e">
        <f>_xlfn.XLOOKUP($A625,PROPERTIES[VEHIDCODE],#REF!)</f>
        <v>#REF!</v>
      </c>
      <c r="F625" s="25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SOUTH_AMERICA_OCEANIA_NO_REGION_NO_REGION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1</v>
      </c>
    </row>
    <row r="626" spans="1:15" x14ac:dyDescent="0.3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e">
        <f>_xlfn.XLOOKUP($A626,PROPERTIES[VEHIDCODE],#REF!)</f>
        <v>#REF!</v>
      </c>
      <c r="F626" s="25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 x14ac:dyDescent="0.3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e">
        <f>_xlfn.XLOOKUP($A627,PROPERTIES[VEHIDCODE],#REF!)</f>
        <v>#REF!</v>
      </c>
      <c r="F627" s="25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 x14ac:dyDescent="0.3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e">
        <f>_xlfn.XLOOKUP($A628,PROPERTIES[VEHIDCODE],#REF!)</f>
        <v>#REF!</v>
      </c>
      <c r="F628" s="25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 x14ac:dyDescent="0.3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e">
        <f>_xlfn.XLOOKUP($A629,PROPERTIES[VEHIDCODE],#REF!)</f>
        <v>#REF!</v>
      </c>
      <c r="F629" s="25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 x14ac:dyDescent="0.3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e">
        <f>_xlfn.XLOOKUP($A630,PROPERTIES[VEHIDCODE],#REF!)</f>
        <v>#REF!</v>
      </c>
      <c r="F630" s="25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 x14ac:dyDescent="0.3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e">
        <f>_xlfn.XLOOKUP($A631,PROPERTIES[VEHIDCODE],#REF!)</f>
        <v>#REF!</v>
      </c>
      <c r="F631" s="25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 x14ac:dyDescent="0.3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e">
        <f>_xlfn.XLOOKUP($A632,PROPERTIES[VEHIDCODE],#REF!)</f>
        <v>#REF!</v>
      </c>
      <c r="F632" s="25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 x14ac:dyDescent="0.3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e">
        <f>_xlfn.XLOOKUP($A633,PROPERTIES[VEHIDCODE],#REF!)</f>
        <v>#REF!</v>
      </c>
      <c r="F633" s="25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 x14ac:dyDescent="0.3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e">
        <f>_xlfn.XLOOKUP($A634,PROPERTIES[VEHIDCODE],#REF!)</f>
        <v>#REF!</v>
      </c>
      <c r="F634" s="25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 x14ac:dyDescent="0.3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e">
        <f>_xlfn.XLOOKUP($A635,PROPERTIES[VEHIDCODE],#REF!)</f>
        <v>#REF!</v>
      </c>
      <c r="F635" s="25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 x14ac:dyDescent="0.3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e">
        <f>_xlfn.XLOOKUP($A636,PROPERTIES[VEHIDCODE],#REF!)</f>
        <v>#REF!</v>
      </c>
      <c r="F636" s="25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 x14ac:dyDescent="0.3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e">
        <f>_xlfn.XLOOKUP($A637,PROPERTIES[VEHIDCODE],#REF!)</f>
        <v>#REF!</v>
      </c>
      <c r="F637" s="25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 x14ac:dyDescent="0.3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e">
        <f>_xlfn.XLOOKUP($A638,PROPERTIES[VEHIDCODE],#REF!)</f>
        <v>#REF!</v>
      </c>
      <c r="F638" s="25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 x14ac:dyDescent="0.3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e">
        <f>_xlfn.XLOOKUP($A639,PROPERTIES[VEHIDCODE],#REF!)</f>
        <v>#REF!</v>
      </c>
      <c r="F639" s="25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 x14ac:dyDescent="0.3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e">
        <f>_xlfn.XLOOKUP($A640,PROPERTIES[VEHIDCODE],#REF!)</f>
        <v>#REF!</v>
      </c>
      <c r="F640" s="25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 x14ac:dyDescent="0.3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e">
        <f>_xlfn.XLOOKUP($A641,PROPERTIES[VEHIDCODE],#REF!)</f>
        <v>#REF!</v>
      </c>
      <c r="F641" s="25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 x14ac:dyDescent="0.3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e">
        <f>_xlfn.XLOOKUP($A642,PROPERTIES[VEHIDCODE],#REF!)</f>
        <v>#REF!</v>
      </c>
      <c r="F642" s="25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 x14ac:dyDescent="0.3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e">
        <f>_xlfn.XLOOKUP($A643,PROPERTIES[VEHIDCODE],#REF!)</f>
        <v>#REF!</v>
      </c>
      <c r="F643" s="25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 x14ac:dyDescent="0.3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e">
        <f>_xlfn.XLOOKUP($A644,PROPERTIES[VEHIDCODE],#REF!)</f>
        <v>#REF!</v>
      </c>
      <c r="F644" s="25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 x14ac:dyDescent="0.3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e">
        <f>_xlfn.XLOOKUP($A645,PROPERTIES[VEHIDCODE],#REF!)</f>
        <v>#REF!</v>
      </c>
      <c r="F645" s="25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 x14ac:dyDescent="0.3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e">
        <f>_xlfn.XLOOKUP($A646,PROPERTIES[VEHIDCODE],#REF!)</f>
        <v>#REF!</v>
      </c>
      <c r="F646" s="25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 x14ac:dyDescent="0.3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e">
        <f>_xlfn.XLOOKUP($A647,PROPERTIES[VEHIDCODE],#REF!)</f>
        <v>#REF!</v>
      </c>
      <c r="F647" s="25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 x14ac:dyDescent="0.3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e">
        <f>_xlfn.XLOOKUP($A648,PROPERTIES[VEHIDCODE],#REF!)</f>
        <v>#REF!</v>
      </c>
      <c r="F648" s="25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 x14ac:dyDescent="0.3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e">
        <f>_xlfn.XLOOKUP($A649,PROPERTIES[VEHIDCODE],#REF!)</f>
        <v>#REF!</v>
      </c>
      <c r="F649" s="25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 x14ac:dyDescent="0.3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e">
        <f>_xlfn.XLOOKUP($A650,PROPERTIES[VEHIDCODE],#REF!)</f>
        <v>#REF!</v>
      </c>
      <c r="F650" s="25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 x14ac:dyDescent="0.3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e">
        <f>_xlfn.XLOOKUP($A651,PROPERTIES[VEHIDCODE],#REF!)</f>
        <v>#REF!</v>
      </c>
      <c r="F651" s="25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 x14ac:dyDescent="0.3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e">
        <f>_xlfn.XLOOKUP($A652,PROPERTIES[VEHIDCODE],#REF!)</f>
        <v>#REF!</v>
      </c>
      <c r="F652" s="25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 x14ac:dyDescent="0.3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e">
        <f>_xlfn.XLOOKUP($A653,PROPERTIES[VEHIDCODE],#REF!)</f>
        <v>#REF!</v>
      </c>
      <c r="F653" s="25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 x14ac:dyDescent="0.3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e">
        <f>_xlfn.XLOOKUP($A654,PROPERTIES[VEHIDCODE],#REF!)</f>
        <v>#REF!</v>
      </c>
      <c r="F654" s="25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 x14ac:dyDescent="0.3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e">
        <f>_xlfn.XLOOKUP($A655,PROPERTIES[VEHIDCODE],#REF!)</f>
        <v>#REF!</v>
      </c>
      <c r="F655" s="25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 x14ac:dyDescent="0.3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e">
        <f>_xlfn.XLOOKUP($A656,PROPERTIES[VEHIDCODE],#REF!)</f>
        <v>#REF!</v>
      </c>
      <c r="F656" s="25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 x14ac:dyDescent="0.3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e">
        <f>_xlfn.XLOOKUP($A657,PROPERTIES[VEHIDCODE],#REF!)</f>
        <v>#REF!</v>
      </c>
      <c r="F657" s="25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 x14ac:dyDescent="0.3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e">
        <f>_xlfn.XLOOKUP($A658,PROPERTIES[VEHIDCODE],#REF!)</f>
        <v>#REF!</v>
      </c>
      <c r="F658" s="25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 x14ac:dyDescent="0.3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e">
        <f>_xlfn.XLOOKUP($A659,PROPERTIES[VEHIDCODE],#REF!)</f>
        <v>#REF!</v>
      </c>
      <c r="F659" s="25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 x14ac:dyDescent="0.3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e">
        <f>_xlfn.XLOOKUP($A660,PROPERTIES[VEHIDCODE],#REF!)</f>
        <v>#REF!</v>
      </c>
      <c r="F660" s="25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 x14ac:dyDescent="0.3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e">
        <f>_xlfn.XLOOKUP($A661,PROPERTIES[VEHIDCODE],#REF!)</f>
        <v>#REF!</v>
      </c>
      <c r="F661" s="25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 x14ac:dyDescent="0.3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e">
        <f>_xlfn.XLOOKUP($A662,PROPERTIES[VEHIDCODE],#REF!)</f>
        <v>#REF!</v>
      </c>
      <c r="F662" s="25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 x14ac:dyDescent="0.3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e">
        <f>_xlfn.XLOOKUP($A663,PROPERTIES[VEHIDCODE],#REF!)</f>
        <v>#REF!</v>
      </c>
      <c r="F663" s="25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 x14ac:dyDescent="0.3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e">
        <f>_xlfn.XLOOKUP($A664,PROPERTIES[VEHIDCODE],#REF!)</f>
        <v>#REF!</v>
      </c>
      <c r="F664" s="25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 x14ac:dyDescent="0.3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e">
        <f>_xlfn.XLOOKUP($A665,PROPERTIES[VEHIDCODE],#REF!)</f>
        <v>#REF!</v>
      </c>
      <c r="F665" s="25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 x14ac:dyDescent="0.3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e">
        <f>_xlfn.XLOOKUP($A666,PROPERTIES[VEHIDCODE],#REF!)</f>
        <v>#REF!</v>
      </c>
      <c r="F666" s="25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 x14ac:dyDescent="0.3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e">
        <f>_xlfn.XLOOKUP($A667,PROPERTIES[VEHIDCODE],#REF!)</f>
        <v>#REF!</v>
      </c>
      <c r="F667" s="25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 x14ac:dyDescent="0.3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e">
        <f>_xlfn.XLOOKUP($A668,PROPERTIES[VEHIDCODE],#REF!)</f>
        <v>#REF!</v>
      </c>
      <c r="F668" s="25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 x14ac:dyDescent="0.3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e">
        <f>_xlfn.XLOOKUP($A669,PROPERTIES[VEHIDCODE],#REF!)</f>
        <v>#REF!</v>
      </c>
      <c r="F669" s="25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 x14ac:dyDescent="0.3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e">
        <f>_xlfn.XLOOKUP($A670,PROPERTIES[VEHIDCODE],#REF!)</f>
        <v>#REF!</v>
      </c>
      <c r="F670" s="25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 x14ac:dyDescent="0.3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e">
        <f>_xlfn.XLOOKUP($A671,PROPERTIES[VEHIDCODE],#REF!)</f>
        <v>#REF!</v>
      </c>
      <c r="F671" s="25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 x14ac:dyDescent="0.3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e">
        <f>_xlfn.XLOOKUP($A672,PROPERTIES[VEHIDCODE],#REF!)</f>
        <v>#REF!</v>
      </c>
      <c r="F672" s="25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 x14ac:dyDescent="0.3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e">
        <f>_xlfn.XLOOKUP($A673,PROPERTIES[VEHIDCODE],#REF!)</f>
        <v>#REF!</v>
      </c>
      <c r="F673" s="25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 x14ac:dyDescent="0.3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e">
        <f>_xlfn.XLOOKUP($A674,PROPERTIES[VEHIDCODE],#REF!)</f>
        <v>#REF!</v>
      </c>
      <c r="F674" s="25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 x14ac:dyDescent="0.3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e">
        <f>_xlfn.XLOOKUP($A675,PROPERTIES[VEHIDCODE],#REF!)</f>
        <v>#REF!</v>
      </c>
      <c r="F675" s="25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 x14ac:dyDescent="0.3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e">
        <f>_xlfn.XLOOKUP($A676,PROPERTIES[VEHIDCODE],#REF!)</f>
        <v>#REF!</v>
      </c>
      <c r="F676" s="25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 x14ac:dyDescent="0.3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e">
        <f>_xlfn.XLOOKUP($A677,PROPERTIES[VEHIDCODE],#REF!)</f>
        <v>#REF!</v>
      </c>
      <c r="F677" s="25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 x14ac:dyDescent="0.3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e">
        <f>_xlfn.XLOOKUP($A678,PROPERTIES[VEHIDCODE],#REF!)</f>
        <v>#REF!</v>
      </c>
      <c r="F678" s="25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 x14ac:dyDescent="0.3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e">
        <f>_xlfn.XLOOKUP($A679,PROPERTIES[VEHIDCODE],#REF!)</f>
        <v>#REF!</v>
      </c>
      <c r="F679" s="25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 x14ac:dyDescent="0.3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e">
        <f>_xlfn.XLOOKUP($A680,PROPERTIES[VEHIDCODE],#REF!)</f>
        <v>#REF!</v>
      </c>
      <c r="F680" s="25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 x14ac:dyDescent="0.3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e">
        <f>_xlfn.XLOOKUP($A681,PROPERTIES[VEHIDCODE],#REF!)</f>
        <v>#REF!</v>
      </c>
      <c r="F681" s="25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 x14ac:dyDescent="0.3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e">
        <f>_xlfn.XLOOKUP($A682,PROPERTIES[VEHIDCODE],#REF!)</f>
        <v>#REF!</v>
      </c>
      <c r="F682" s="25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 x14ac:dyDescent="0.3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e">
        <f>_xlfn.XLOOKUP($A683,PROPERTIES[VEHIDCODE],#REF!)</f>
        <v>#REF!</v>
      </c>
      <c r="F683" s="25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 x14ac:dyDescent="0.3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e">
        <f>_xlfn.XLOOKUP($A684,PROPERTIES[VEHIDCODE],#REF!)</f>
        <v>#REF!</v>
      </c>
      <c r="F684" s="25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 x14ac:dyDescent="0.3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e">
        <f>_xlfn.XLOOKUP($A685,PROPERTIES[VEHIDCODE],#REF!)</f>
        <v>#REF!</v>
      </c>
      <c r="F685" s="25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 x14ac:dyDescent="0.3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e">
        <f>_xlfn.XLOOKUP($A686,PROPERTIES[VEHIDCODE],#REF!)</f>
        <v>#REF!</v>
      </c>
      <c r="F686" s="25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 x14ac:dyDescent="0.3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e">
        <f>_xlfn.XLOOKUP($A687,PROPERTIES[VEHIDCODE],#REF!)</f>
        <v>#REF!</v>
      </c>
      <c r="F687" s="25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 x14ac:dyDescent="0.3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e">
        <f>_xlfn.XLOOKUP($A688,PROPERTIES[VEHIDCODE],#REF!)</f>
        <v>#REF!</v>
      </c>
      <c r="F688" s="25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 x14ac:dyDescent="0.3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e">
        <f>_xlfn.XLOOKUP($A689,PROPERTIES[VEHIDCODE],#REF!)</f>
        <v>#REF!</v>
      </c>
      <c r="F689" s="25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 x14ac:dyDescent="0.3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e">
        <f>_xlfn.XLOOKUP($A690,PROPERTIES[VEHIDCODE],#REF!)</f>
        <v>#REF!</v>
      </c>
      <c r="F690" s="25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 x14ac:dyDescent="0.3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e">
        <f>_xlfn.XLOOKUP($A691,PROPERTIES[VEHIDCODE],#REF!)</f>
        <v>#REF!</v>
      </c>
      <c r="F691" s="25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 x14ac:dyDescent="0.3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e">
        <f>_xlfn.XLOOKUP($A692,PROPERTIES[VEHIDCODE],#REF!)</f>
        <v>#REF!</v>
      </c>
      <c r="F692" s="25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 x14ac:dyDescent="0.3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e">
        <f>_xlfn.XLOOKUP($A693,PROPERTIES[VEHIDCODE],#REF!)</f>
        <v>#REF!</v>
      </c>
      <c r="F693" s="25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 x14ac:dyDescent="0.3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e">
        <f>_xlfn.XLOOKUP($A694,PROPERTIES[VEHIDCODE],#REF!)</f>
        <v>#REF!</v>
      </c>
      <c r="F694" s="25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 x14ac:dyDescent="0.3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e">
        <f>_xlfn.XLOOKUP($A695,PROPERTIES[VEHIDCODE],#REF!)</f>
        <v>#REF!</v>
      </c>
      <c r="F695" s="25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 x14ac:dyDescent="0.3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e">
        <f>_xlfn.XLOOKUP($A696,PROPERTIES[VEHIDCODE],#REF!)</f>
        <v>#REF!</v>
      </c>
      <c r="F696" s="25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 x14ac:dyDescent="0.3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e">
        <f>_xlfn.XLOOKUP($A697,PROPERTIES[VEHIDCODE],#REF!)</f>
        <v>#REF!</v>
      </c>
      <c r="F697" s="25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 x14ac:dyDescent="0.3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e">
        <f>_xlfn.XLOOKUP($A698,PROPERTIES[VEHIDCODE],#REF!)</f>
        <v>#REF!</v>
      </c>
      <c r="F698" s="25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 x14ac:dyDescent="0.3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e">
        <f>_xlfn.XLOOKUP($A699,PROPERTIES[VEHIDCODE],#REF!)</f>
        <v>#REF!</v>
      </c>
      <c r="F699" s="25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 x14ac:dyDescent="0.3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e">
        <f>_xlfn.XLOOKUP($A700,PROPERTIES[VEHIDCODE],#REF!)</f>
        <v>#REF!</v>
      </c>
      <c r="F700" s="25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 x14ac:dyDescent="0.3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e">
        <f>_xlfn.XLOOKUP($A701,PROPERTIES[VEHIDCODE],#REF!)</f>
        <v>#REF!</v>
      </c>
      <c r="F701" s="25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 x14ac:dyDescent="0.3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e">
        <f>_xlfn.XLOOKUP($A702,PROPERTIES[VEHIDCODE],#REF!)</f>
        <v>#REF!</v>
      </c>
      <c r="F702" s="25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 x14ac:dyDescent="0.3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e">
        <f>_xlfn.XLOOKUP($A703,PROPERTIES[VEHIDCODE],#REF!)</f>
        <v>#REF!</v>
      </c>
      <c r="F703" s="25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 x14ac:dyDescent="0.3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e">
        <f>_xlfn.XLOOKUP($A704,PROPERTIES[VEHIDCODE],#REF!)</f>
        <v>#REF!</v>
      </c>
      <c r="F704" s="25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 x14ac:dyDescent="0.3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e">
        <f>_xlfn.XLOOKUP($A705,PROPERTIES[VEHIDCODE],#REF!)</f>
        <v>#REF!</v>
      </c>
      <c r="F705" s="25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 x14ac:dyDescent="0.3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e">
        <f>_xlfn.XLOOKUP($A706,PROPERTIES[VEHIDCODE],#REF!)</f>
        <v>#REF!</v>
      </c>
      <c r="F706" s="25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 x14ac:dyDescent="0.3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e">
        <f>_xlfn.XLOOKUP($A707,PROPERTIES[VEHIDCODE],#REF!)</f>
        <v>#REF!</v>
      </c>
      <c r="F707" s="25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 x14ac:dyDescent="0.3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e">
        <f>_xlfn.XLOOKUP($A708,PROPERTIES[VEHIDCODE],#REF!)</f>
        <v>#REF!</v>
      </c>
      <c r="F708" s="25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 x14ac:dyDescent="0.3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e">
        <f>_xlfn.XLOOKUP($A709,PROPERTIES[VEHIDCODE],#REF!)</f>
        <v>#REF!</v>
      </c>
      <c r="F709" s="25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 x14ac:dyDescent="0.3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e">
        <f>_xlfn.XLOOKUP($A710,PROPERTIES[VEHIDCODE],#REF!)</f>
        <v>#REF!</v>
      </c>
      <c r="F710" s="25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 x14ac:dyDescent="0.3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e">
        <f>_xlfn.XLOOKUP($A711,PROPERTIES[VEHIDCODE],#REF!)</f>
        <v>#REF!</v>
      </c>
      <c r="F711" s="25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 x14ac:dyDescent="0.3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e">
        <f>_xlfn.XLOOKUP($A712,PROPERTIES[VEHIDCODE],#REF!)</f>
        <v>#REF!</v>
      </c>
      <c r="F712" s="25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 x14ac:dyDescent="0.3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e">
        <f>_xlfn.XLOOKUP($A713,PROPERTIES[VEHIDCODE],#REF!)</f>
        <v>#REF!</v>
      </c>
      <c r="F713" s="25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 x14ac:dyDescent="0.3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e">
        <f>_xlfn.XLOOKUP($A714,PROPERTIES[VEHIDCODE],#REF!)</f>
        <v>#REF!</v>
      </c>
      <c r="F714" s="25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 x14ac:dyDescent="0.3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e">
        <f>_xlfn.XLOOKUP($A715,PROPERTIES[VEHIDCODE],#REF!)</f>
        <v>#REF!</v>
      </c>
      <c r="F715" s="25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 x14ac:dyDescent="0.3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e">
        <f>_xlfn.XLOOKUP($A716,PROPERTIES[VEHIDCODE],#REF!)</f>
        <v>#REF!</v>
      </c>
      <c r="F716" s="25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 x14ac:dyDescent="0.3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e">
        <f>_xlfn.XLOOKUP($A717,PROPERTIES[VEHIDCODE],#REF!)</f>
        <v>#REF!</v>
      </c>
      <c r="F717" s="25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 x14ac:dyDescent="0.3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e">
        <f>_xlfn.XLOOKUP($A718,PROPERTIES[VEHIDCODE],#REF!)</f>
        <v>#REF!</v>
      </c>
      <c r="F718" s="25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 x14ac:dyDescent="0.3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e">
        <f>_xlfn.XLOOKUP($A719,PROPERTIES[VEHIDCODE],#REF!)</f>
        <v>#REF!</v>
      </c>
      <c r="F719" s="25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 x14ac:dyDescent="0.3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e">
        <f>_xlfn.XLOOKUP($A720,PROPERTIES[VEHIDCODE],#REF!)</f>
        <v>#REF!</v>
      </c>
      <c r="F720" s="25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 x14ac:dyDescent="0.3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e">
        <f>_xlfn.XLOOKUP($A721,PROPERTIES[VEHIDCODE],#REF!)</f>
        <v>#REF!</v>
      </c>
      <c r="F721" s="25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 x14ac:dyDescent="0.3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e">
        <f>_xlfn.XLOOKUP($A722,PROPERTIES[VEHIDCODE],#REF!)</f>
        <v>#REF!</v>
      </c>
      <c r="F722" s="25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 x14ac:dyDescent="0.3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e">
        <f>_xlfn.XLOOKUP($A723,PROPERTIES[VEHIDCODE],#REF!)</f>
        <v>#REF!</v>
      </c>
      <c r="F723" s="25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 x14ac:dyDescent="0.3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e">
        <f>_xlfn.XLOOKUP($A724,PROPERTIES[VEHIDCODE],#REF!)</f>
        <v>#REF!</v>
      </c>
      <c r="F724" s="25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 x14ac:dyDescent="0.3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e">
        <f>_xlfn.XLOOKUP($A725,PROPERTIES[VEHIDCODE],#REF!)</f>
        <v>#REF!</v>
      </c>
      <c r="F725" s="25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 x14ac:dyDescent="0.3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e">
        <f>_xlfn.XLOOKUP($A726,PROPERTIES[VEHIDCODE],#REF!)</f>
        <v>#REF!</v>
      </c>
      <c r="F726" s="25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 x14ac:dyDescent="0.3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e">
        <f>_xlfn.XLOOKUP($A727,PROPERTIES[VEHIDCODE],#REF!)</f>
        <v>#REF!</v>
      </c>
      <c r="F727" s="25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 x14ac:dyDescent="0.3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e">
        <f>_xlfn.XLOOKUP($A728,PROPERTIES[VEHIDCODE],#REF!)</f>
        <v>#REF!</v>
      </c>
      <c r="F728" s="25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 x14ac:dyDescent="0.3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e">
        <f>_xlfn.XLOOKUP($A729,PROPERTIES[VEHIDCODE],#REF!)</f>
        <v>#REF!</v>
      </c>
      <c r="F729" s="25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 x14ac:dyDescent="0.3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e">
        <f>_xlfn.XLOOKUP($A730,PROPERTIES[VEHIDCODE],#REF!)</f>
        <v>#REF!</v>
      </c>
      <c r="F730" s="25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 x14ac:dyDescent="0.3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e">
        <f>_xlfn.XLOOKUP($A731,PROPERTIES[VEHIDCODE],#REF!)</f>
        <v>#REF!</v>
      </c>
      <c r="F731" s="25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 x14ac:dyDescent="0.3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e">
        <f>_xlfn.XLOOKUP($A732,PROPERTIES[VEHIDCODE],#REF!)</f>
        <v>#REF!</v>
      </c>
      <c r="F732" s="25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 x14ac:dyDescent="0.3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e">
        <f>_xlfn.XLOOKUP($A733,PROPERTIES[VEHIDCODE],#REF!)</f>
        <v>#REF!</v>
      </c>
      <c r="F733" s="25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 x14ac:dyDescent="0.3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e">
        <f>_xlfn.XLOOKUP($A734,PROPERTIES[VEHIDCODE],#REF!)</f>
        <v>#REF!</v>
      </c>
      <c r="F734" s="25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 x14ac:dyDescent="0.3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e">
        <f>_xlfn.XLOOKUP($A735,PROPERTIES[VEHIDCODE],#REF!)</f>
        <v>#REF!</v>
      </c>
      <c r="F735" s="25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 x14ac:dyDescent="0.3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e">
        <f>_xlfn.XLOOKUP($A736,PROPERTIES[VEHIDCODE],#REF!)</f>
        <v>#REF!</v>
      </c>
      <c r="F736" s="25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 x14ac:dyDescent="0.3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e">
        <f>_xlfn.XLOOKUP($A737,PROPERTIES[VEHIDCODE],#REF!)</f>
        <v>#REF!</v>
      </c>
      <c r="F737" s="25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 x14ac:dyDescent="0.3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e">
        <f>_xlfn.XLOOKUP($A738,PROPERTIES[VEHIDCODE],#REF!)</f>
        <v>#REF!</v>
      </c>
      <c r="F738" s="25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 x14ac:dyDescent="0.3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e">
        <f>_xlfn.XLOOKUP($A739,PROPERTIES[VEHIDCODE],#REF!)</f>
        <v>#REF!</v>
      </c>
      <c r="F739" s="25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 x14ac:dyDescent="0.3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e">
        <f>_xlfn.XLOOKUP($A740,PROPERTIES[VEHIDCODE],#REF!)</f>
        <v>#REF!</v>
      </c>
      <c r="F740" s="25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 x14ac:dyDescent="0.3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e">
        <f>_xlfn.XLOOKUP($A741,PROPERTIES[VEHIDCODE],#REF!)</f>
        <v>#REF!</v>
      </c>
      <c r="F741" s="25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 x14ac:dyDescent="0.3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e">
        <f>_xlfn.XLOOKUP($A742,PROPERTIES[VEHIDCODE],#REF!)</f>
        <v>#REF!</v>
      </c>
      <c r="F742" s="25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 x14ac:dyDescent="0.3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e">
        <f>_xlfn.XLOOKUP($A743,PROPERTIES[VEHIDCODE],#REF!)</f>
        <v>#REF!</v>
      </c>
      <c r="F743" s="25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 x14ac:dyDescent="0.3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e">
        <f>_xlfn.XLOOKUP($A744,PROPERTIES[VEHIDCODE],#REF!)</f>
        <v>#REF!</v>
      </c>
      <c r="F744" s="25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 x14ac:dyDescent="0.3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e">
        <f>_xlfn.XLOOKUP($A745,PROPERTIES[VEHIDCODE],#REF!)</f>
        <v>#REF!</v>
      </c>
      <c r="F745" s="25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 x14ac:dyDescent="0.3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e">
        <f>_xlfn.XLOOKUP($A746,PROPERTIES[VEHIDCODE],#REF!)</f>
        <v>#REF!</v>
      </c>
      <c r="F746" s="25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 x14ac:dyDescent="0.3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e">
        <f>_xlfn.XLOOKUP($A747,PROPERTIES[VEHIDCODE],#REF!)</f>
        <v>#REF!</v>
      </c>
      <c r="F747" s="25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 x14ac:dyDescent="0.3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e">
        <f>_xlfn.XLOOKUP($A748,PROPERTIES[VEHIDCODE],#REF!)</f>
        <v>#REF!</v>
      </c>
      <c r="F748" s="25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 x14ac:dyDescent="0.3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e">
        <f>_xlfn.XLOOKUP($A749,PROPERTIES[VEHIDCODE],#REF!)</f>
        <v>#REF!</v>
      </c>
      <c r="F749" s="25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 x14ac:dyDescent="0.3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e">
        <f>_xlfn.XLOOKUP($A750,PROPERTIES[VEHIDCODE],#REF!)</f>
        <v>#REF!</v>
      </c>
      <c r="F750" s="25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 x14ac:dyDescent="0.3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e">
        <f>_xlfn.XLOOKUP($A751,PROPERTIES[VEHIDCODE],#REF!)</f>
        <v>#REF!</v>
      </c>
      <c r="F751" s="25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 x14ac:dyDescent="0.3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e">
        <f>_xlfn.XLOOKUP($A752,PROPERTIES[VEHIDCODE],#REF!)</f>
        <v>#REF!</v>
      </c>
      <c r="F752" s="25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 x14ac:dyDescent="0.3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e">
        <f>_xlfn.XLOOKUP($A753,PROPERTIES[VEHIDCODE],#REF!)</f>
        <v>#REF!</v>
      </c>
      <c r="F753" s="25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 x14ac:dyDescent="0.3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e">
        <f>_xlfn.XLOOKUP($A754,PROPERTIES[VEHIDCODE],#REF!)</f>
        <v>#REF!</v>
      </c>
      <c r="F754" s="25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 x14ac:dyDescent="0.3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e">
        <f>_xlfn.XLOOKUP($A755,PROPERTIES[VEHIDCODE],#REF!)</f>
        <v>#REF!</v>
      </c>
      <c r="F755" s="25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 x14ac:dyDescent="0.3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e">
        <f>_xlfn.XLOOKUP($A756,PROPERTIES[VEHIDCODE],#REF!)</f>
        <v>#REF!</v>
      </c>
      <c r="F756" s="25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 x14ac:dyDescent="0.3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e">
        <f>_xlfn.XLOOKUP($A757,PROPERTIES[VEHIDCODE],#REF!)</f>
        <v>#REF!</v>
      </c>
      <c r="F757" s="25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 x14ac:dyDescent="0.3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e">
        <f>_xlfn.XLOOKUP($A758,PROPERTIES[VEHIDCODE],#REF!)</f>
        <v>#REF!</v>
      </c>
      <c r="F758" s="25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 x14ac:dyDescent="0.3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e">
        <f>_xlfn.XLOOKUP($A759,PROPERTIES[VEHIDCODE],#REF!)</f>
        <v>#REF!</v>
      </c>
      <c r="F759" s="25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 x14ac:dyDescent="0.3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e">
        <f>_xlfn.XLOOKUP($A760,PROPERTIES[VEHIDCODE],#REF!)</f>
        <v>#REF!</v>
      </c>
      <c r="F760" s="25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 x14ac:dyDescent="0.3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e">
        <f>_xlfn.XLOOKUP($A761,PROPERTIES[VEHIDCODE],#REF!)</f>
        <v>#REF!</v>
      </c>
      <c r="F761" s="25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 x14ac:dyDescent="0.3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e">
        <f>_xlfn.XLOOKUP($A762,PROPERTIES[VEHIDCODE],#REF!)</f>
        <v>#REF!</v>
      </c>
      <c r="F762" s="25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 x14ac:dyDescent="0.3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e">
        <f>_xlfn.XLOOKUP($A763,PROPERTIES[VEHIDCODE],#REF!)</f>
        <v>#REF!</v>
      </c>
      <c r="F763" s="25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 x14ac:dyDescent="0.3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e">
        <f>_xlfn.XLOOKUP($A764,PROPERTIES[VEHIDCODE],#REF!)</f>
        <v>#REF!</v>
      </c>
      <c r="F764" s="25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 x14ac:dyDescent="0.3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e">
        <f>_xlfn.XLOOKUP($A765,PROPERTIES[VEHIDCODE],#REF!)</f>
        <v>#REF!</v>
      </c>
      <c r="F765" s="25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 x14ac:dyDescent="0.3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e">
        <f>_xlfn.XLOOKUP($A766,PROPERTIES[VEHIDCODE],#REF!)</f>
        <v>#REF!</v>
      </c>
      <c r="F766" s="25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 x14ac:dyDescent="0.3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e">
        <f>_xlfn.XLOOKUP($A767,PROPERTIES[VEHIDCODE],#REF!)</f>
        <v>#REF!</v>
      </c>
      <c r="F767" s="25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 x14ac:dyDescent="0.3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e">
        <f>_xlfn.XLOOKUP($A768,PROPERTIES[VEHIDCODE],#REF!)</f>
        <v>#REF!</v>
      </c>
      <c r="F768" s="25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 x14ac:dyDescent="0.3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e">
        <f>_xlfn.XLOOKUP($A769,PROPERTIES[VEHIDCODE],#REF!)</f>
        <v>#REF!</v>
      </c>
      <c r="F769" s="25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 x14ac:dyDescent="0.3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e">
        <f>_xlfn.XLOOKUP($A770,PROPERTIES[VEHIDCODE],#REF!)</f>
        <v>#REF!</v>
      </c>
      <c r="F770" s="25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 x14ac:dyDescent="0.3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e">
        <f>_xlfn.XLOOKUP($A771,PROPERTIES[VEHIDCODE],#REF!)</f>
        <v>#REF!</v>
      </c>
      <c r="F771" s="25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 x14ac:dyDescent="0.3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e">
        <f>_xlfn.XLOOKUP($A772,PROPERTIES[VEHIDCODE],#REF!)</f>
        <v>#REF!</v>
      </c>
      <c r="F772" s="25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 x14ac:dyDescent="0.3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e">
        <f>_xlfn.XLOOKUP($A773,PROPERTIES[VEHIDCODE],#REF!)</f>
        <v>#REF!</v>
      </c>
      <c r="F773" s="25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 x14ac:dyDescent="0.3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e">
        <f>_xlfn.XLOOKUP($A774,PROPERTIES[VEHIDCODE],#REF!)</f>
        <v>#REF!</v>
      </c>
      <c r="F774" s="25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 x14ac:dyDescent="0.3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e">
        <f>_xlfn.XLOOKUP($A775,PROPERTIES[VEHIDCODE],#REF!)</f>
        <v>#REF!</v>
      </c>
      <c r="F775" s="25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 x14ac:dyDescent="0.3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e">
        <f>_xlfn.XLOOKUP($A776,PROPERTIES[VEHIDCODE],#REF!)</f>
        <v>#REF!</v>
      </c>
      <c r="F776" s="25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 x14ac:dyDescent="0.3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e">
        <f>_xlfn.XLOOKUP($A777,PROPERTIES[VEHIDCODE],#REF!)</f>
        <v>#REF!</v>
      </c>
      <c r="F777" s="25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 x14ac:dyDescent="0.3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e">
        <f>_xlfn.XLOOKUP($A778,PROPERTIES[VEHIDCODE],#REF!)</f>
        <v>#REF!</v>
      </c>
      <c r="F778" s="25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 x14ac:dyDescent="0.3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e">
        <f>_xlfn.XLOOKUP($A779,PROPERTIES[VEHIDCODE],#REF!)</f>
        <v>#REF!</v>
      </c>
      <c r="F779" s="25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 x14ac:dyDescent="0.3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e">
        <f>_xlfn.XLOOKUP($A780,PROPERTIES[VEHIDCODE],#REF!)</f>
        <v>#REF!</v>
      </c>
      <c r="F780" s="25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 x14ac:dyDescent="0.3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e">
        <f>_xlfn.XLOOKUP($A781,PROPERTIES[VEHIDCODE],#REF!)</f>
        <v>#REF!</v>
      </c>
      <c r="F781" s="25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 x14ac:dyDescent="0.3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e">
        <f>_xlfn.XLOOKUP($A782,PROPERTIES[VEHIDCODE],#REF!)</f>
        <v>#REF!</v>
      </c>
      <c r="F782" s="25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 x14ac:dyDescent="0.3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e">
        <f>_xlfn.XLOOKUP($A783,PROPERTIES[VEHIDCODE],#REF!)</f>
        <v>#REF!</v>
      </c>
      <c r="F783" s="25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 x14ac:dyDescent="0.3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e">
        <f>_xlfn.XLOOKUP($A784,PROPERTIES[VEHIDCODE],#REF!)</f>
        <v>#REF!</v>
      </c>
      <c r="F784" s="25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 x14ac:dyDescent="0.3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e">
        <f>_xlfn.XLOOKUP($A785,PROPERTIES[VEHIDCODE],#REF!)</f>
        <v>#REF!</v>
      </c>
      <c r="F785" s="25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 x14ac:dyDescent="0.3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e">
        <f>_xlfn.XLOOKUP($A786,PROPERTIES[VEHIDCODE],#REF!)</f>
        <v>#REF!</v>
      </c>
      <c r="F786" s="25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 x14ac:dyDescent="0.3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e">
        <f>_xlfn.XLOOKUP($A787,PROPERTIES[VEHIDCODE],#REF!)</f>
        <v>#REF!</v>
      </c>
      <c r="F787" s="25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 x14ac:dyDescent="0.3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e">
        <f>_xlfn.XLOOKUP($A788,PROPERTIES[VEHIDCODE],#REF!)</f>
        <v>#REF!</v>
      </c>
      <c r="F788" s="25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 x14ac:dyDescent="0.3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e">
        <f>_xlfn.XLOOKUP($A789,PROPERTIES[VEHIDCODE],#REF!)</f>
        <v>#REF!</v>
      </c>
      <c r="F789" s="25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 x14ac:dyDescent="0.3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e">
        <f>_xlfn.XLOOKUP($A790,PROPERTIES[VEHIDCODE],#REF!)</f>
        <v>#REF!</v>
      </c>
      <c r="F790" s="25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 x14ac:dyDescent="0.3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e">
        <f>_xlfn.XLOOKUP($A791,PROPERTIES[VEHIDCODE],#REF!)</f>
        <v>#REF!</v>
      </c>
      <c r="F791" s="25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 x14ac:dyDescent="0.3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e">
        <f>_xlfn.XLOOKUP($A792,PROPERTIES[VEHIDCODE],#REF!)</f>
        <v>#REF!</v>
      </c>
      <c r="F792" s="25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 x14ac:dyDescent="0.3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e">
        <f>_xlfn.XLOOKUP($A793,PROPERTIES[VEHIDCODE],#REF!)</f>
        <v>#REF!</v>
      </c>
      <c r="F793" s="25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 x14ac:dyDescent="0.3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e">
        <f>_xlfn.XLOOKUP($A794,PROPERTIES[VEHIDCODE],#REF!)</f>
        <v>#REF!</v>
      </c>
      <c r="F794" s="25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 x14ac:dyDescent="0.3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e">
        <f>_xlfn.XLOOKUP($A795,PROPERTIES[VEHIDCODE],#REF!)</f>
        <v>#REF!</v>
      </c>
      <c r="F795" s="25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 x14ac:dyDescent="0.3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e">
        <f>_xlfn.XLOOKUP($A796,PROPERTIES[VEHIDCODE],#REF!)</f>
        <v>#REF!</v>
      </c>
      <c r="F796" s="25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 x14ac:dyDescent="0.3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e">
        <f>_xlfn.XLOOKUP($A797,PROPERTIES[VEHIDCODE],#REF!)</f>
        <v>#REF!</v>
      </c>
      <c r="F797" s="25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 x14ac:dyDescent="0.3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e">
        <f>_xlfn.XLOOKUP($A798,PROPERTIES[VEHIDCODE],#REF!)</f>
        <v>#REF!</v>
      </c>
      <c r="F798" s="25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 x14ac:dyDescent="0.3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e">
        <f>_xlfn.XLOOKUP($A799,PROPERTIES[VEHIDCODE],#REF!)</f>
        <v>#REF!</v>
      </c>
      <c r="F799" s="25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 x14ac:dyDescent="0.3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e">
        <f>_xlfn.XLOOKUP($A800,PROPERTIES[VEHIDCODE],#REF!)</f>
        <v>#REF!</v>
      </c>
      <c r="F800" s="25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 x14ac:dyDescent="0.3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e">
        <f>_xlfn.XLOOKUP($A801,PROPERTIES[VEHIDCODE],#REF!)</f>
        <v>#REF!</v>
      </c>
      <c r="F801" s="25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 x14ac:dyDescent="0.3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e">
        <f>_xlfn.XLOOKUP($A802,PROPERTIES[VEHIDCODE],#REF!)</f>
        <v>#REF!</v>
      </c>
      <c r="F802" s="25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 x14ac:dyDescent="0.3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e">
        <f>_xlfn.XLOOKUP($A803,PROPERTIES[VEHIDCODE],#REF!)</f>
        <v>#REF!</v>
      </c>
      <c r="F803" s="25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 x14ac:dyDescent="0.3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e">
        <f>_xlfn.XLOOKUP($A804,PROPERTIES[VEHIDCODE],#REF!)</f>
        <v>#REF!</v>
      </c>
      <c r="F804" s="25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 x14ac:dyDescent="0.3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e">
        <f>_xlfn.XLOOKUP($A805,PROPERTIES[VEHIDCODE],#REF!)</f>
        <v>#REF!</v>
      </c>
      <c r="F805" s="25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 x14ac:dyDescent="0.3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e">
        <f>_xlfn.XLOOKUP($A806,PROPERTIES[VEHIDCODE],#REF!)</f>
        <v>#REF!</v>
      </c>
      <c r="F806" s="25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 x14ac:dyDescent="0.3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e">
        <f>_xlfn.XLOOKUP($A807,PROPERTIES[VEHIDCODE],#REF!)</f>
        <v>#REF!</v>
      </c>
      <c r="F807" s="25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 x14ac:dyDescent="0.3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e">
        <f>_xlfn.XLOOKUP($A808,PROPERTIES[VEHIDCODE],#REF!)</f>
        <v>#REF!</v>
      </c>
      <c r="F808" s="25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 x14ac:dyDescent="0.3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e">
        <f>_xlfn.XLOOKUP($A809,PROPERTIES[VEHIDCODE],#REF!)</f>
        <v>#REF!</v>
      </c>
      <c r="F809" s="25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 x14ac:dyDescent="0.3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e">
        <f>_xlfn.XLOOKUP($A810,PROPERTIES[VEHIDCODE],#REF!)</f>
        <v>#REF!</v>
      </c>
      <c r="F810" s="25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 x14ac:dyDescent="0.3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e">
        <f>_xlfn.XLOOKUP($A811,PROPERTIES[VEHIDCODE],#REF!)</f>
        <v>#REF!</v>
      </c>
      <c r="F811" s="25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 x14ac:dyDescent="0.3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e">
        <f>_xlfn.XLOOKUP($A812,PROPERTIES[VEHIDCODE],#REF!)</f>
        <v>#REF!</v>
      </c>
      <c r="F812" s="25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 x14ac:dyDescent="0.3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e">
        <f>_xlfn.XLOOKUP($A813,PROPERTIES[VEHIDCODE],#REF!)</f>
        <v>#REF!</v>
      </c>
      <c r="F813" s="25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 x14ac:dyDescent="0.3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e">
        <f>_xlfn.XLOOKUP($A814,PROPERTIES[VEHIDCODE],#REF!)</f>
        <v>#REF!</v>
      </c>
      <c r="F814" s="25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 x14ac:dyDescent="0.3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e">
        <f>_xlfn.XLOOKUP($A815,PROPERTIES[VEHIDCODE],#REF!)</f>
        <v>#REF!</v>
      </c>
      <c r="F815" s="25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 x14ac:dyDescent="0.3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e">
        <f>_xlfn.XLOOKUP($A816,PROPERTIES[VEHIDCODE],#REF!)</f>
        <v>#REF!</v>
      </c>
      <c r="F816" s="25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 x14ac:dyDescent="0.3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e">
        <f>_xlfn.XLOOKUP($A817,PROPERTIES[VEHIDCODE],#REF!)</f>
        <v>#REF!</v>
      </c>
      <c r="F817" s="25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 x14ac:dyDescent="0.3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e">
        <f>_xlfn.XLOOKUP($A818,PROPERTIES[VEHIDCODE],#REF!)</f>
        <v>#REF!</v>
      </c>
      <c r="F818" s="25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 x14ac:dyDescent="0.3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e">
        <f>_xlfn.XLOOKUP($A819,PROPERTIES[VEHIDCODE],#REF!)</f>
        <v>#REF!</v>
      </c>
      <c r="F819" s="25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 x14ac:dyDescent="0.3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e">
        <f>_xlfn.XLOOKUP($A820,PROPERTIES[VEHIDCODE],#REF!)</f>
        <v>#REF!</v>
      </c>
      <c r="F820" s="25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 x14ac:dyDescent="0.3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e">
        <f>_xlfn.XLOOKUP($A821,PROPERTIES[VEHIDCODE],#REF!)</f>
        <v>#REF!</v>
      </c>
      <c r="F821" s="25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 x14ac:dyDescent="0.3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e">
        <f>_xlfn.XLOOKUP($A822,PROPERTIES[VEHIDCODE],#REF!)</f>
        <v>#REF!</v>
      </c>
      <c r="F822" s="25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 x14ac:dyDescent="0.3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e">
        <f>_xlfn.XLOOKUP($A823,PROPERTIES[VEHIDCODE],#REF!)</f>
        <v>#REF!</v>
      </c>
      <c r="F823" s="25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 x14ac:dyDescent="0.3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e">
        <f>_xlfn.XLOOKUP($A824,PROPERTIES[VEHIDCODE],#REF!)</f>
        <v>#REF!</v>
      </c>
      <c r="F824" s="25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 x14ac:dyDescent="0.3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e">
        <f>_xlfn.XLOOKUP($A825,PROPERTIES[VEHIDCODE],#REF!)</f>
        <v>#REF!</v>
      </c>
      <c r="F825" s="25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 x14ac:dyDescent="0.3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e">
        <f>_xlfn.XLOOKUP($A826,PROPERTIES[VEHIDCODE],#REF!)</f>
        <v>#REF!</v>
      </c>
      <c r="F826" s="25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 x14ac:dyDescent="0.3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e">
        <f>_xlfn.XLOOKUP($A827,PROPERTIES[VEHIDCODE],#REF!)</f>
        <v>#REF!</v>
      </c>
      <c r="F827" s="25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 x14ac:dyDescent="0.3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e">
        <f>_xlfn.XLOOKUP($A828,PROPERTIES[VEHIDCODE],#REF!)</f>
        <v>#REF!</v>
      </c>
      <c r="F828" s="25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 x14ac:dyDescent="0.3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e">
        <f>_xlfn.XLOOKUP($A829,PROPERTIES[VEHIDCODE],#REF!)</f>
        <v>#REF!</v>
      </c>
      <c r="F829" s="25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 x14ac:dyDescent="0.3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e">
        <f>_xlfn.XLOOKUP($A830,PROPERTIES[VEHIDCODE],#REF!)</f>
        <v>#REF!</v>
      </c>
      <c r="F830" s="25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 x14ac:dyDescent="0.3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e">
        <f>_xlfn.XLOOKUP($A831,PROPERTIES[VEHIDCODE],#REF!)</f>
        <v>#REF!</v>
      </c>
      <c r="F831" s="25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 x14ac:dyDescent="0.3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e">
        <f>_xlfn.XLOOKUP($A832,PROPERTIES[VEHIDCODE],#REF!)</f>
        <v>#REF!</v>
      </c>
      <c r="F832" s="25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 x14ac:dyDescent="0.3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e">
        <f>_xlfn.XLOOKUP($A833,PROPERTIES[VEHIDCODE],#REF!)</f>
        <v>#REF!</v>
      </c>
      <c r="F833" s="25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 x14ac:dyDescent="0.3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e">
        <f>_xlfn.XLOOKUP($A834,PROPERTIES[VEHIDCODE],#REF!)</f>
        <v>#REF!</v>
      </c>
      <c r="F834" s="25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 x14ac:dyDescent="0.3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e">
        <f>_xlfn.XLOOKUP($A835,PROPERTIES[VEHIDCODE],#REF!)</f>
        <v>#REF!</v>
      </c>
      <c r="F835" s="25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 x14ac:dyDescent="0.3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e">
        <f>_xlfn.XLOOKUP($A836,PROPERTIES[VEHIDCODE],#REF!)</f>
        <v>#REF!</v>
      </c>
      <c r="F836" s="25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 x14ac:dyDescent="0.3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e">
        <f>_xlfn.XLOOKUP($A837,PROPERTIES[VEHIDCODE],#REF!)</f>
        <v>#REF!</v>
      </c>
      <c r="F837" s="25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 x14ac:dyDescent="0.3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e">
        <f>_xlfn.XLOOKUP($A838,PROPERTIES[VEHIDCODE],#REF!)</f>
        <v>#REF!</v>
      </c>
      <c r="F838" s="25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 x14ac:dyDescent="0.3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e">
        <f>_xlfn.XLOOKUP($A839,PROPERTIES[VEHIDCODE],#REF!)</f>
        <v>#REF!</v>
      </c>
      <c r="F839" s="25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 x14ac:dyDescent="0.3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e">
        <f>_xlfn.XLOOKUP($A840,PROPERTIES[VEHIDCODE],#REF!)</f>
        <v>#REF!</v>
      </c>
      <c r="F840" s="25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 x14ac:dyDescent="0.3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e">
        <f>_xlfn.XLOOKUP($A841,PROPERTIES[VEHIDCODE],#REF!)</f>
        <v>#REF!</v>
      </c>
      <c r="F841" s="25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 x14ac:dyDescent="0.3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e">
        <f>_xlfn.XLOOKUP($A842,PROPERTIES[VEHIDCODE],#REF!)</f>
        <v>#REF!</v>
      </c>
      <c r="F842" s="25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 x14ac:dyDescent="0.3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e">
        <f>_xlfn.XLOOKUP($A843,PROPERTIES[VEHIDCODE],#REF!)</f>
        <v>#REF!</v>
      </c>
      <c r="F843" s="25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 x14ac:dyDescent="0.3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e">
        <f>_xlfn.XLOOKUP($A844,PROPERTIES[VEHIDCODE],#REF!)</f>
        <v>#REF!</v>
      </c>
      <c r="F844" s="25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 x14ac:dyDescent="0.3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e">
        <f>_xlfn.XLOOKUP($A845,PROPERTIES[VEHIDCODE],#REF!)</f>
        <v>#REF!</v>
      </c>
      <c r="F845" s="25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 x14ac:dyDescent="0.3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e">
        <f>_xlfn.XLOOKUP($A846,PROPERTIES[VEHIDCODE],#REF!)</f>
        <v>#REF!</v>
      </c>
      <c r="F846" s="25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 x14ac:dyDescent="0.3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e">
        <f>_xlfn.XLOOKUP($A847,PROPERTIES[VEHIDCODE],#REF!)</f>
        <v>#REF!</v>
      </c>
      <c r="F847" s="25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 x14ac:dyDescent="0.3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e">
        <f>_xlfn.XLOOKUP($A848,PROPERTIES[VEHIDCODE],#REF!)</f>
        <v>#REF!</v>
      </c>
      <c r="F848" s="25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 x14ac:dyDescent="0.3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e">
        <f>_xlfn.XLOOKUP($A849,PROPERTIES[VEHIDCODE],#REF!)</f>
        <v>#REF!</v>
      </c>
      <c r="F849" s="25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 x14ac:dyDescent="0.3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e">
        <f>_xlfn.XLOOKUP($A850,PROPERTIES[VEHIDCODE],#REF!)</f>
        <v>#REF!</v>
      </c>
      <c r="F850" s="25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 x14ac:dyDescent="0.3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e">
        <f>_xlfn.XLOOKUP($A851,PROPERTIES[VEHIDCODE],#REF!)</f>
        <v>#REF!</v>
      </c>
      <c r="F851" s="25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 x14ac:dyDescent="0.3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e">
        <f>_xlfn.XLOOKUP($A852,PROPERTIES[VEHIDCODE],#REF!)</f>
        <v>#REF!</v>
      </c>
      <c r="F852" s="25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 x14ac:dyDescent="0.3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e">
        <f>_xlfn.XLOOKUP($A853,PROPERTIES[VEHIDCODE],#REF!)</f>
        <v>#REF!</v>
      </c>
      <c r="F853" s="25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 x14ac:dyDescent="0.3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e">
        <f>_xlfn.XLOOKUP($A854,PROPERTIES[VEHIDCODE],#REF!)</f>
        <v>#REF!</v>
      </c>
      <c r="F854" s="25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 x14ac:dyDescent="0.3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e">
        <f>_xlfn.XLOOKUP($A855,PROPERTIES[VEHIDCODE],#REF!)</f>
        <v>#REF!</v>
      </c>
      <c r="F855" s="25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 x14ac:dyDescent="0.3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e">
        <f>_xlfn.XLOOKUP($A856,PROPERTIES[VEHIDCODE],#REF!)</f>
        <v>#REF!</v>
      </c>
      <c r="F856" s="25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 x14ac:dyDescent="0.3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e">
        <f>_xlfn.XLOOKUP($A857,PROPERTIES[VEHIDCODE],#REF!)</f>
        <v>#REF!</v>
      </c>
      <c r="F857" s="25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 x14ac:dyDescent="0.3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e">
        <f>_xlfn.XLOOKUP($A858,PROPERTIES[VEHIDCODE],#REF!)</f>
        <v>#REF!</v>
      </c>
      <c r="F858" s="25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 x14ac:dyDescent="0.3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e">
        <f>_xlfn.XLOOKUP($A859,PROPERTIES[VEHIDCODE],#REF!)</f>
        <v>#REF!</v>
      </c>
      <c r="F859" s="25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 x14ac:dyDescent="0.3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e">
        <f>_xlfn.XLOOKUP($A860,PROPERTIES[VEHIDCODE],#REF!)</f>
        <v>#REF!</v>
      </c>
      <c r="F860" s="25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 x14ac:dyDescent="0.3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e">
        <f>_xlfn.XLOOKUP($A861,PROPERTIES[VEHIDCODE],#REF!)</f>
        <v>#REF!</v>
      </c>
      <c r="F861" s="25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 x14ac:dyDescent="0.3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e">
        <f>_xlfn.XLOOKUP($A862,PROPERTIES[VEHIDCODE],#REF!)</f>
        <v>#REF!</v>
      </c>
      <c r="F862" s="25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 x14ac:dyDescent="0.3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e">
        <f>_xlfn.XLOOKUP($A863,PROPERTIES[VEHIDCODE],#REF!)</f>
        <v>#REF!</v>
      </c>
      <c r="F863" s="25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 x14ac:dyDescent="0.3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e">
        <f>_xlfn.XLOOKUP($A864,PROPERTIES[VEHIDCODE],#REF!)</f>
        <v>#REF!</v>
      </c>
      <c r="F864" s="25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 x14ac:dyDescent="0.3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e">
        <f>_xlfn.XLOOKUP($A865,PROPERTIES[VEHIDCODE],#REF!)</f>
        <v>#REF!</v>
      </c>
      <c r="F865" s="25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 x14ac:dyDescent="0.3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e">
        <f>_xlfn.XLOOKUP($A866,PROPERTIES[VEHIDCODE],#REF!)</f>
        <v>#REF!</v>
      </c>
      <c r="F866" s="25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 x14ac:dyDescent="0.3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e">
        <f>_xlfn.XLOOKUP($A867,PROPERTIES[VEHIDCODE],#REF!)</f>
        <v>#REF!</v>
      </c>
      <c r="F867" s="25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 x14ac:dyDescent="0.3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e">
        <f>_xlfn.XLOOKUP($A868,PROPERTIES[VEHIDCODE],#REF!)</f>
        <v>#REF!</v>
      </c>
      <c r="F868" s="25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 x14ac:dyDescent="0.3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e">
        <f>_xlfn.XLOOKUP($A869,PROPERTIES[VEHIDCODE],#REF!)</f>
        <v>#REF!</v>
      </c>
      <c r="F869" s="25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 x14ac:dyDescent="0.3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e">
        <f>_xlfn.XLOOKUP($A870,PROPERTIES[VEHIDCODE],#REF!)</f>
        <v>#REF!</v>
      </c>
      <c r="F870" s="25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 x14ac:dyDescent="0.3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e">
        <f>_xlfn.XLOOKUP($A871,PROPERTIES[VEHIDCODE],#REF!)</f>
        <v>#REF!</v>
      </c>
      <c r="F871" s="25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 x14ac:dyDescent="0.3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e">
        <f>_xlfn.XLOOKUP($A872,PROPERTIES[VEHIDCODE],#REF!)</f>
        <v>#REF!</v>
      </c>
      <c r="F872" s="25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 x14ac:dyDescent="0.3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e">
        <f>_xlfn.XLOOKUP($A873,PROPERTIES[VEHIDCODE],#REF!)</f>
        <v>#REF!</v>
      </c>
      <c r="F873" s="25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 x14ac:dyDescent="0.3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e">
        <f>_xlfn.XLOOKUP($A874,PROPERTIES[VEHIDCODE],#REF!)</f>
        <v>#REF!</v>
      </c>
      <c r="F874" s="25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 x14ac:dyDescent="0.3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e">
        <f>_xlfn.XLOOKUP($A875,PROPERTIES[VEHIDCODE],#REF!)</f>
        <v>#REF!</v>
      </c>
      <c r="F875" s="25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 x14ac:dyDescent="0.3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e">
        <f>_xlfn.XLOOKUP($A876,PROPERTIES[VEHIDCODE],#REF!)</f>
        <v>#REF!</v>
      </c>
      <c r="F876" s="25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 x14ac:dyDescent="0.3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e">
        <f>_xlfn.XLOOKUP($A877,PROPERTIES[VEHIDCODE],#REF!)</f>
        <v>#REF!</v>
      </c>
      <c r="F877" s="25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 x14ac:dyDescent="0.3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e">
        <f>_xlfn.XLOOKUP($A878,PROPERTIES[VEHIDCODE],#REF!)</f>
        <v>#REF!</v>
      </c>
      <c r="F878" s="25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 x14ac:dyDescent="0.3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e">
        <f>_xlfn.XLOOKUP($A879,PROPERTIES[VEHIDCODE],#REF!)</f>
        <v>#REF!</v>
      </c>
      <c r="F879" s="25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 x14ac:dyDescent="0.3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e">
        <f>_xlfn.XLOOKUP($A880,PROPERTIES[VEHIDCODE],#REF!)</f>
        <v>#REF!</v>
      </c>
      <c r="F880" s="25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 x14ac:dyDescent="0.3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e">
        <f>_xlfn.XLOOKUP($A881,PROPERTIES[VEHIDCODE],#REF!)</f>
        <v>#REF!</v>
      </c>
      <c r="F881" s="25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 x14ac:dyDescent="0.3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e">
        <f>_xlfn.XLOOKUP($A882,PROPERTIES[VEHIDCODE],#REF!)</f>
        <v>#REF!</v>
      </c>
      <c r="F882" s="25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 x14ac:dyDescent="0.3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e">
        <f>_xlfn.XLOOKUP($A883,PROPERTIES[VEHIDCODE],#REF!)</f>
        <v>#REF!</v>
      </c>
      <c r="F883" s="25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 x14ac:dyDescent="0.3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e">
        <f>_xlfn.XLOOKUP($A884,PROPERTIES[VEHIDCODE],#REF!)</f>
        <v>#REF!</v>
      </c>
      <c r="F884" s="25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 x14ac:dyDescent="0.3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e">
        <f>_xlfn.XLOOKUP($A885,PROPERTIES[VEHIDCODE],#REF!)</f>
        <v>#REF!</v>
      </c>
      <c r="F885" s="25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 x14ac:dyDescent="0.3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e">
        <f>_xlfn.XLOOKUP($A886,PROPERTIES[VEHIDCODE],#REF!)</f>
        <v>#REF!</v>
      </c>
      <c r="F886" s="25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 x14ac:dyDescent="0.3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e">
        <f>_xlfn.XLOOKUP($A887,PROPERTIES[VEHIDCODE],#REF!)</f>
        <v>#REF!</v>
      </c>
      <c r="F887" s="25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 x14ac:dyDescent="0.3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e">
        <f>_xlfn.XLOOKUP($A888,PROPERTIES[VEHIDCODE],#REF!)</f>
        <v>#REF!</v>
      </c>
      <c r="F888" s="25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 x14ac:dyDescent="0.3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e">
        <f>_xlfn.XLOOKUP($A889,PROPERTIES[VEHIDCODE],#REF!)</f>
        <v>#REF!</v>
      </c>
      <c r="F889" s="25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 x14ac:dyDescent="0.3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e">
        <f>_xlfn.XLOOKUP($A890,PROPERTIES[VEHIDCODE],#REF!)</f>
        <v>#REF!</v>
      </c>
      <c r="F890" s="25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 x14ac:dyDescent="0.3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e">
        <f>_xlfn.XLOOKUP($A891,PROPERTIES[VEHIDCODE],#REF!)</f>
        <v>#REF!</v>
      </c>
      <c r="F891" s="25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 x14ac:dyDescent="0.35">
      <c r="A892" t="str">
        <v>dmu_Ganz_Bariloche_DMU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e">
        <f>_xlfn.XLOOKUP($A892,PROPERTIES[VEHIDCODE],#REF!)</f>
        <v>#REF!</v>
      </c>
      <c r="F892" s="25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 x14ac:dyDescent="0.3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e">
        <f>_xlfn.XLOOKUP($A893,PROPERTIES[VEHIDCODE],#REF!)</f>
        <v>#REF!</v>
      </c>
      <c r="F893" s="25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 x14ac:dyDescent="0.35">
      <c r="A894" t="str">
        <v>dmu_Ganz_CMU_4701_Transandino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e">
        <f>_xlfn.XLOOKUP($A894,PROPERTIES[VEHIDCODE],#REF!)</f>
        <v>#REF!</v>
      </c>
      <c r="F894" s="25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 x14ac:dyDescent="0.3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e">
        <f>_xlfn.XLOOKUP($A895,PROPERTIES[VEHIDCODE],#REF!)</f>
        <v>#REF!</v>
      </c>
      <c r="F895" s="25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 x14ac:dyDescent="0.3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e">
        <f>_xlfn.XLOOKUP($A896,PROPERTIES[VEHIDCODE],#REF!)</f>
        <v>#REF!</v>
      </c>
      <c r="F896" s="25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 x14ac:dyDescent="0.3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e">
        <f>_xlfn.XLOOKUP($A897,PROPERTIES[VEHIDCODE],#REF!)</f>
        <v>#REF!</v>
      </c>
      <c r="F897" s="25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 x14ac:dyDescent="0.3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e">
        <f>_xlfn.XLOOKUP($A898,PROPERTIES[VEHIDCODE],#REF!)</f>
        <v>#REF!</v>
      </c>
      <c r="F898" s="25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 x14ac:dyDescent="0.3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e">
        <f>_xlfn.XLOOKUP($A899,PROPERTIES[VEHIDCODE],#REF!)</f>
        <v>#REF!</v>
      </c>
      <c r="F899" s="25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 x14ac:dyDescent="0.3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e">
        <f>_xlfn.XLOOKUP($A900,PROPERTIES[VEHIDCODE],#REF!)</f>
        <v>#REF!</v>
      </c>
      <c r="F900" s="25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 x14ac:dyDescent="0.3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e">
        <f>_xlfn.XLOOKUP($A901,PROPERTIES[VEHIDCODE],#REF!)</f>
        <v>#REF!</v>
      </c>
      <c r="F901" s="25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 x14ac:dyDescent="0.3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e">
        <f>_xlfn.XLOOKUP($A902,PROPERTIES[VEHIDCODE],#REF!)</f>
        <v>#REF!</v>
      </c>
      <c r="F902" s="25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 x14ac:dyDescent="0.3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e">
        <f>_xlfn.XLOOKUP($A903,PROPERTIES[VEHIDCODE],#REF!)</f>
        <v>#REF!</v>
      </c>
      <c r="F903" s="25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 x14ac:dyDescent="0.3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e">
        <f>_xlfn.XLOOKUP($A904,PROPERTIES[VEHIDCODE],#REF!)</f>
        <v>#REF!</v>
      </c>
      <c r="F904" s="25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 x14ac:dyDescent="0.3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e">
        <f>_xlfn.XLOOKUP($A905,PROPERTIES[VEHIDCODE],#REF!)</f>
        <v>#REF!</v>
      </c>
      <c r="F905" s="25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 x14ac:dyDescent="0.3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e">
        <f>_xlfn.XLOOKUP($A906,PROPERTIES[VEHIDCODE],#REF!)</f>
        <v>#REF!</v>
      </c>
      <c r="F906" s="25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 x14ac:dyDescent="0.3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e">
        <f>_xlfn.XLOOKUP($A907,PROPERTIES[VEHIDCODE],#REF!)</f>
        <v>#REF!</v>
      </c>
      <c r="F907" s="25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 x14ac:dyDescent="0.3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e">
        <f>_xlfn.XLOOKUP($A908,PROPERTIES[VEHIDCODE],#REF!)</f>
        <v>#REF!</v>
      </c>
      <c r="F908" s="25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 x14ac:dyDescent="0.35">
      <c r="A909" t="str">
        <v>emu_Alstom_XTrapolis_100_Melbourne</v>
      </c>
      <c r="B909" t="b" cm="1">
        <f t="array" ref="B909">_xlfn.XLOOKUP(A909,CONTROL[VEHIDCODE],PROPERTIES[EXCLUDE])</f>
        <v>1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e">
        <f>_xlfn.XLOOKUP($A909,PROPERTIES[VEHIDCODE],#REF!)</f>
        <v>#REF!</v>
      </c>
      <c r="F909" s="25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 x14ac:dyDescent="0.3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e">
        <f>_xlfn.XLOOKUP($A910,PROPERTIES[VEHIDCODE],#REF!)</f>
        <v>#REF!</v>
      </c>
      <c r="F910" s="25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 x14ac:dyDescent="0.3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e">
        <f>_xlfn.XLOOKUP($A911,PROPERTIES[VEHIDCODE],#REF!)</f>
        <v>#REF!</v>
      </c>
      <c r="F911" s="25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 x14ac:dyDescent="0.3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e">
        <f>_xlfn.XLOOKUP($A912,PROPERTIES[VEHIDCODE],#REF!)</f>
        <v>#REF!</v>
      </c>
      <c r="F912" s="25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 x14ac:dyDescent="0.3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e">
        <f>_xlfn.XLOOKUP($A913,PROPERTIES[VEHIDCODE],#REF!)</f>
        <v>#REF!</v>
      </c>
      <c r="F913" s="25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 x14ac:dyDescent="0.3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e">
        <f>_xlfn.XLOOKUP($A914,PROPERTIES[VEHIDCODE],#REF!)</f>
        <v>#REF!</v>
      </c>
      <c r="F914" s="25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 x14ac:dyDescent="0.3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e">
        <f>_xlfn.XLOOKUP($A915,PROPERTIES[VEHIDCODE],#REF!)</f>
        <v>#REF!</v>
      </c>
      <c r="F915" s="25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 x14ac:dyDescent="0.3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e">
        <f>_xlfn.XLOOKUP($A916,PROPERTIES[VEHIDCODE],#REF!)</f>
        <v>#REF!</v>
      </c>
      <c r="F916" s="25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 x14ac:dyDescent="0.3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e">
        <f>_xlfn.XLOOKUP($A917,PROPERTIES[VEHIDCODE],#REF!)</f>
        <v>#REF!</v>
      </c>
      <c r="F917" s="25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 x14ac:dyDescent="0.3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e">
        <f>_xlfn.XLOOKUP($A918,PROPERTIES[VEHIDCODE],#REF!)</f>
        <v>#REF!</v>
      </c>
      <c r="F918" s="25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 x14ac:dyDescent="0.3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e">
        <f>_xlfn.XLOOKUP($A919,PROPERTIES[VEHIDCODE],#REF!)</f>
        <v>#REF!</v>
      </c>
      <c r="F919" s="25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 x14ac:dyDescent="0.3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e">
        <f>_xlfn.XLOOKUP($A920,PROPERTIES[VEHIDCODE],#REF!)</f>
        <v>#REF!</v>
      </c>
      <c r="F920" s="25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 x14ac:dyDescent="0.3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e">
        <f>_xlfn.XLOOKUP($A921,PROPERTIES[VEHIDCODE],#REF!)</f>
        <v>#REF!</v>
      </c>
      <c r="F921" s="25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 x14ac:dyDescent="0.3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e">
        <f>_xlfn.XLOOKUP($A922,PROPERTIES[VEHIDCODE],#REF!)</f>
        <v>#REF!</v>
      </c>
      <c r="F922" s="25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 x14ac:dyDescent="0.3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e">
        <f>_xlfn.XLOOKUP($A923,PROPERTIES[VEHIDCODE],#REF!)</f>
        <v>#REF!</v>
      </c>
      <c r="F923" s="25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 x14ac:dyDescent="0.3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e">
        <f>_xlfn.XLOOKUP($A924,PROPERTIES[VEHIDCODE],#REF!)</f>
        <v>#REF!</v>
      </c>
      <c r="F924" s="25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 x14ac:dyDescent="0.3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e">
        <f>_xlfn.XLOOKUP($A925,PROPERTIES[VEHIDCODE],#REF!)</f>
        <v>#REF!</v>
      </c>
      <c r="F925" s="25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 x14ac:dyDescent="0.3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e">
        <f>_xlfn.XLOOKUP($A926,PROPERTIES[VEHIDCODE],#REF!)</f>
        <v>#REF!</v>
      </c>
      <c r="F926" s="25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 x14ac:dyDescent="0.3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e">
        <f>_xlfn.XLOOKUP($A927,PROPERTIES[VEHIDCODE],#REF!)</f>
        <v>#REF!</v>
      </c>
      <c r="F927" s="25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 x14ac:dyDescent="0.3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e">
        <f>_xlfn.XLOOKUP($A928,PROPERTIES[VEHIDCODE],#REF!)</f>
        <v>#REF!</v>
      </c>
      <c r="F928" s="25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 x14ac:dyDescent="0.3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e">
        <f>_xlfn.XLOOKUP($A929,PROPERTIES[VEHIDCODE],#REF!)</f>
        <v>#REF!</v>
      </c>
      <c r="F929" s="25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 x14ac:dyDescent="0.3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e">
        <f>_xlfn.XLOOKUP($A930,PROPERTIES[VEHIDCODE],#REF!)</f>
        <v>#REF!</v>
      </c>
      <c r="F930" s="25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 x14ac:dyDescent="0.3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e">
        <f>_xlfn.XLOOKUP($A931,PROPERTIES[VEHIDCODE],#REF!)</f>
        <v>#REF!</v>
      </c>
      <c r="F931" s="25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 x14ac:dyDescent="0.3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e">
        <f>_xlfn.XLOOKUP($A932,PROPERTIES[VEHIDCODE],#REF!)</f>
        <v>#REF!</v>
      </c>
      <c r="F932" s="25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 x14ac:dyDescent="0.3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e">
        <f>_xlfn.XLOOKUP($A933,PROPERTIES[VEHIDCODE],#REF!)</f>
        <v>#REF!</v>
      </c>
      <c r="F933" s="25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 x14ac:dyDescent="0.3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e">
        <f>_xlfn.XLOOKUP($A934,PROPERTIES[VEHIDCODE],#REF!)</f>
        <v>#REF!</v>
      </c>
      <c r="F934" s="25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 x14ac:dyDescent="0.3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e">
        <f>_xlfn.XLOOKUP($A935,PROPERTIES[VEHIDCODE],#REF!)</f>
        <v>#REF!</v>
      </c>
      <c r="F935" s="25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 x14ac:dyDescent="0.3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e">
        <f>_xlfn.XLOOKUP($A936,PROPERTIES[VEHIDCODE],#REF!)</f>
        <v>#REF!</v>
      </c>
      <c r="F936" s="25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 x14ac:dyDescent="0.3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e">
        <f>_xlfn.XLOOKUP($A937,PROPERTIES[VEHIDCODE],#REF!)</f>
        <v>#REF!</v>
      </c>
      <c r="F937" s="25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 x14ac:dyDescent="0.3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e">
        <f>_xlfn.XLOOKUP($A938,PROPERTIES[VEHIDCODE],#REF!)</f>
        <v>#REF!</v>
      </c>
      <c r="F938" s="25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 x14ac:dyDescent="0.3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e">
        <f>_xlfn.XLOOKUP($A939,PROPERTIES[VEHIDCODE],#REF!)</f>
        <v>#REF!</v>
      </c>
      <c r="F939" s="25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 x14ac:dyDescent="0.3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e">
        <f>_xlfn.XLOOKUP($A940,PROPERTIES[VEHIDCODE],#REF!)</f>
        <v>#REF!</v>
      </c>
      <c r="F940" s="25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 x14ac:dyDescent="0.3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e">
        <f>_xlfn.XLOOKUP($A941,PROPERTIES[VEHIDCODE],#REF!)</f>
        <v>#REF!</v>
      </c>
      <c r="F941" s="25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 x14ac:dyDescent="0.3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e">
        <f>_xlfn.XLOOKUP($A942,PROPERTIES[VEHIDCODE],#REF!)</f>
        <v>#REF!</v>
      </c>
      <c r="F942" s="25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 x14ac:dyDescent="0.3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e">
        <f>_xlfn.XLOOKUP($A943,PROPERTIES[VEHIDCODE],#REF!)</f>
        <v>#REF!</v>
      </c>
      <c r="F943" s="25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 x14ac:dyDescent="0.3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e">
        <f>_xlfn.XLOOKUP($A944,PROPERTIES[VEHIDCODE],#REF!)</f>
        <v>#REF!</v>
      </c>
      <c r="F944" s="25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 x14ac:dyDescent="0.3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e">
        <f>_xlfn.XLOOKUP($A945,PROPERTIES[VEHIDCODE],#REF!)</f>
        <v>#REF!</v>
      </c>
      <c r="F945" s="25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 x14ac:dyDescent="0.3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e">
        <f>_xlfn.XLOOKUP($A946,PROPERTIES[VEHIDCODE],#REF!)</f>
        <v>#REF!</v>
      </c>
      <c r="F946" s="25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 x14ac:dyDescent="0.3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e">
        <f>_xlfn.XLOOKUP($A947,PROPERTIES[VEHIDCODE],#REF!)</f>
        <v>#REF!</v>
      </c>
      <c r="F947" s="25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 x14ac:dyDescent="0.3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e">
        <f>_xlfn.XLOOKUP($A948,PROPERTIES[VEHIDCODE],#REF!)</f>
        <v>#REF!</v>
      </c>
      <c r="F948" s="25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 x14ac:dyDescent="0.3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e">
        <f>_xlfn.XLOOKUP($A949,PROPERTIES[VEHIDCODE],#REF!)</f>
        <v>#REF!</v>
      </c>
      <c r="F949" s="25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 x14ac:dyDescent="0.3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e">
        <f>_xlfn.XLOOKUP($A950,PROPERTIES[VEHIDCODE],#REF!)</f>
        <v>#REF!</v>
      </c>
      <c r="F950" s="25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 x14ac:dyDescent="0.3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e">
        <f>_xlfn.XLOOKUP($A951,PROPERTIES[VEHIDCODE],#REF!)</f>
        <v>#REF!</v>
      </c>
      <c r="F951" s="25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 x14ac:dyDescent="0.3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e">
        <f>_xlfn.XLOOKUP($A952,PROPERTIES[VEHIDCODE],#REF!)</f>
        <v>#REF!</v>
      </c>
      <c r="F952" s="25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 x14ac:dyDescent="0.3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e">
        <f>_xlfn.XLOOKUP($A953,PROPERTIES[VEHIDCODE],#REF!)</f>
        <v>#REF!</v>
      </c>
      <c r="F953" s="25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 x14ac:dyDescent="0.3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e">
        <f>_xlfn.XLOOKUP($A954,PROPERTIES[VEHIDCODE],#REF!)</f>
        <v>#REF!</v>
      </c>
      <c r="F954" s="25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 x14ac:dyDescent="0.3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e">
        <f>_xlfn.XLOOKUP($A955,PROPERTIES[VEHIDCODE],#REF!)</f>
        <v>#REF!</v>
      </c>
      <c r="F955" s="25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 x14ac:dyDescent="0.3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e">
        <f>_xlfn.XLOOKUP($A956,PROPERTIES[VEHIDCODE],#REF!)</f>
        <v>#REF!</v>
      </c>
      <c r="F956" s="25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 x14ac:dyDescent="0.3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e">
        <f>_xlfn.XLOOKUP($A957,PROPERTIES[VEHIDCODE],#REF!)</f>
        <v>#REF!</v>
      </c>
      <c r="F957" s="25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 x14ac:dyDescent="0.3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e">
        <f>_xlfn.XLOOKUP($A958,PROPERTIES[VEHIDCODE],#REF!)</f>
        <v>#REF!</v>
      </c>
      <c r="F958" s="25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 x14ac:dyDescent="0.3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e">
        <f>_xlfn.XLOOKUP($A959,PROPERTIES[VEHIDCODE],#REF!)</f>
        <v>#REF!</v>
      </c>
      <c r="F959" s="25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 x14ac:dyDescent="0.3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e">
        <f>_xlfn.XLOOKUP($A960,PROPERTIES[VEHIDCODE],#REF!)</f>
        <v>#REF!</v>
      </c>
      <c r="F960" s="25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 x14ac:dyDescent="0.3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e">
        <f>_xlfn.XLOOKUP($A961,PROPERTIES[VEHIDCODE],#REF!)</f>
        <v>#REF!</v>
      </c>
      <c r="F961" s="25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 x14ac:dyDescent="0.3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e">
        <f>_xlfn.XLOOKUP($A962,PROPERTIES[VEHIDCODE],#REF!)</f>
        <v>#REF!</v>
      </c>
      <c r="F962" s="25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 x14ac:dyDescent="0.3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e">
        <f>_xlfn.XLOOKUP($A963,PROPERTIES[VEHIDCODE],#REF!)</f>
        <v>#REF!</v>
      </c>
      <c r="F963" s="25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 x14ac:dyDescent="0.3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e">
        <f>_xlfn.XLOOKUP($A964,PROPERTIES[VEHIDCODE],#REF!)</f>
        <v>#REF!</v>
      </c>
      <c r="F964" s="25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 x14ac:dyDescent="0.3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e">
        <f>_xlfn.XLOOKUP($A965,PROPERTIES[VEHIDCODE],#REF!)</f>
        <v>#REF!</v>
      </c>
      <c r="F965" s="25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 x14ac:dyDescent="0.3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e">
        <f>_xlfn.XLOOKUP($A966,PROPERTIES[VEHIDCODE],#REF!)</f>
        <v>#REF!</v>
      </c>
      <c r="F966" s="25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 x14ac:dyDescent="0.3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e">
        <f>_xlfn.XLOOKUP($A967,PROPERTIES[VEHIDCODE],#REF!)</f>
        <v>#REF!</v>
      </c>
      <c r="F967" s="25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 x14ac:dyDescent="0.3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e">
        <f>_xlfn.XLOOKUP($A968,PROPERTIES[VEHIDCODE],#REF!)</f>
        <v>#REF!</v>
      </c>
      <c r="F968" s="25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 x14ac:dyDescent="0.3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e">
        <f>_xlfn.XLOOKUP($A969,PROPERTIES[VEHIDCODE],#REF!)</f>
        <v>#REF!</v>
      </c>
      <c r="F969" s="25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 x14ac:dyDescent="0.3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e">
        <f>_xlfn.XLOOKUP($A970,PROPERTIES[VEHIDCODE],#REF!)</f>
        <v>#REF!</v>
      </c>
      <c r="F970" s="25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 x14ac:dyDescent="0.3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e">
        <f>_xlfn.XLOOKUP($A971,PROPERTIES[VEHIDCODE],#REF!)</f>
        <v>#REF!</v>
      </c>
      <c r="F971" s="25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 x14ac:dyDescent="0.3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e">
        <f>_xlfn.XLOOKUP($A972,PROPERTIES[VEHIDCODE],#REF!)</f>
        <v>#REF!</v>
      </c>
      <c r="F972" s="25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 x14ac:dyDescent="0.3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e">
        <f>_xlfn.XLOOKUP($A973,PROPERTIES[VEHIDCODE],#REF!)</f>
        <v>#REF!</v>
      </c>
      <c r="F973" s="25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 x14ac:dyDescent="0.3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e">
        <f>_xlfn.XLOOKUP($A974,PROPERTIES[VEHIDCODE],#REF!)</f>
        <v>#REF!</v>
      </c>
      <c r="F974" s="25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 x14ac:dyDescent="0.3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e">
        <f>_xlfn.XLOOKUP($A975,PROPERTIES[VEHIDCODE],#REF!)</f>
        <v>#REF!</v>
      </c>
      <c r="F975" s="25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 x14ac:dyDescent="0.3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e">
        <f>_xlfn.XLOOKUP($A976,PROPERTIES[VEHIDCODE],#REF!)</f>
        <v>#REF!</v>
      </c>
      <c r="F976" s="25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 x14ac:dyDescent="0.3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e">
        <f>_xlfn.XLOOKUP($A977,PROPERTIES[VEHIDCODE],#REF!)</f>
        <v>#REF!</v>
      </c>
      <c r="F977" s="25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 x14ac:dyDescent="0.3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e">
        <f>_xlfn.XLOOKUP($A978,PROPERTIES[VEHIDCODE],#REF!)</f>
        <v>#REF!</v>
      </c>
      <c r="F978" s="25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 x14ac:dyDescent="0.3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e">
        <f>_xlfn.XLOOKUP($A979,PROPERTIES[VEHIDCODE],#REF!)</f>
        <v>#REF!</v>
      </c>
      <c r="F979" s="25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 x14ac:dyDescent="0.3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e">
        <f>_xlfn.XLOOKUP($A980,PROPERTIES[VEHIDCODE],#REF!)</f>
        <v>#REF!</v>
      </c>
      <c r="F980" s="25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 x14ac:dyDescent="0.3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e">
        <f>_xlfn.XLOOKUP($A981,PROPERTIES[VEHIDCODE],#REF!)</f>
        <v>#REF!</v>
      </c>
      <c r="F981" s="25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 x14ac:dyDescent="0.3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e">
        <f>_xlfn.XLOOKUP($A982,PROPERTIES[VEHIDCODE],#REF!)</f>
        <v>#REF!</v>
      </c>
      <c r="F982" s="25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 x14ac:dyDescent="0.3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e">
        <f>_xlfn.XLOOKUP($A983,PROPERTIES[VEHIDCODE],#REF!)</f>
        <v>#REF!</v>
      </c>
      <c r="F983" s="25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 x14ac:dyDescent="0.3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e">
        <f>_xlfn.XLOOKUP($A984,PROPERTIES[VEHIDCODE],#REF!)</f>
        <v>#REF!</v>
      </c>
      <c r="F984" s="25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 x14ac:dyDescent="0.3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e">
        <f>_xlfn.XLOOKUP($A985,PROPERTIES[VEHIDCODE],#REF!)</f>
        <v>#REF!</v>
      </c>
      <c r="F985" s="25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 x14ac:dyDescent="0.3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e">
        <f>_xlfn.XLOOKUP($A986,PROPERTIES[VEHIDCODE],#REF!)</f>
        <v>#REF!</v>
      </c>
      <c r="F986" s="25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 x14ac:dyDescent="0.3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e">
        <f>_xlfn.XLOOKUP($A987,PROPERTIES[VEHIDCODE],#REF!)</f>
        <v>#REF!</v>
      </c>
      <c r="F987" s="25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 x14ac:dyDescent="0.3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e">
        <f>_xlfn.XLOOKUP($A988,PROPERTIES[VEHIDCODE],#REF!)</f>
        <v>#REF!</v>
      </c>
      <c r="F988" s="25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 x14ac:dyDescent="0.3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e">
        <f>_xlfn.XLOOKUP($A989,PROPERTIES[VEHIDCODE],#REF!)</f>
        <v>#REF!</v>
      </c>
      <c r="F989" s="25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 x14ac:dyDescent="0.3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e">
        <f>_xlfn.XLOOKUP($A990,PROPERTIES[VEHIDCODE],#REF!)</f>
        <v>#REF!</v>
      </c>
      <c r="F990" s="25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 x14ac:dyDescent="0.3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e">
        <f>_xlfn.XLOOKUP($A991,PROPERTIES[VEHIDCODE],#REF!)</f>
        <v>#REF!</v>
      </c>
      <c r="F991" s="25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 x14ac:dyDescent="0.3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e">
        <f>_xlfn.XLOOKUP($A992,PROPERTIES[VEHIDCODE],#REF!)</f>
        <v>#REF!</v>
      </c>
      <c r="F992" s="25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 x14ac:dyDescent="0.3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e">
        <f>_xlfn.XLOOKUP($A993,PROPERTIES[VEHIDCODE],#REF!)</f>
        <v>#REF!</v>
      </c>
      <c r="F993" s="25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 x14ac:dyDescent="0.3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e">
        <f>_xlfn.XLOOKUP($A994,PROPERTIES[VEHIDCODE],#REF!)</f>
        <v>#REF!</v>
      </c>
      <c r="F994" s="25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 x14ac:dyDescent="0.3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e">
        <f>_xlfn.XLOOKUP($A995,PROPERTIES[VEHIDCODE],#REF!)</f>
        <v>#REF!</v>
      </c>
      <c r="F995" s="25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 x14ac:dyDescent="0.3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e">
        <f>_xlfn.XLOOKUP($A996,PROPERTIES[VEHIDCODE],#REF!)</f>
        <v>#REF!</v>
      </c>
      <c r="F996" s="25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 x14ac:dyDescent="0.3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e">
        <f>_xlfn.XLOOKUP($A997,PROPERTIES[VEHIDCODE],#REF!)</f>
        <v>#REF!</v>
      </c>
      <c r="F997" s="25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 x14ac:dyDescent="0.3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e">
        <f>_xlfn.XLOOKUP($A998,PROPERTIES[VEHIDCODE],#REF!)</f>
        <v>#REF!</v>
      </c>
      <c r="F998" s="25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 x14ac:dyDescent="0.3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e">
        <f>_xlfn.XLOOKUP($A999,PROPERTIES[VEHIDCODE],#REF!)</f>
        <v>#REF!</v>
      </c>
      <c r="F999" s="25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 x14ac:dyDescent="0.3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e">
        <f>_xlfn.XLOOKUP($A1000,PROPERTIES[VEHIDCODE],#REF!)</f>
        <v>#REF!</v>
      </c>
      <c r="F1000" s="25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 x14ac:dyDescent="0.3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e">
        <f>_xlfn.XLOOKUP($A1001,PROPERTIES[VEHIDCODE],#REF!)</f>
        <v>#REF!</v>
      </c>
      <c r="F1001" s="25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 x14ac:dyDescent="0.3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e">
        <f>_xlfn.XLOOKUP($A1002,PROPERTIES[VEHIDCODE],#REF!)</f>
        <v>#REF!</v>
      </c>
      <c r="F1002" s="25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 x14ac:dyDescent="0.3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e">
        <f>_xlfn.XLOOKUP($A1003,PROPERTIES[VEHIDCODE],#REF!)</f>
        <v>#REF!</v>
      </c>
      <c r="F1003" s="25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 x14ac:dyDescent="0.3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e">
        <f>_xlfn.XLOOKUP($A1004,PROPERTIES[VEHIDCODE],#REF!)</f>
        <v>#REF!</v>
      </c>
      <c r="F1004" s="25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 x14ac:dyDescent="0.3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e">
        <f>_xlfn.XLOOKUP($A1005,PROPERTIES[VEHIDCODE],#REF!)</f>
        <v>#REF!</v>
      </c>
      <c r="F1005" s="25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 x14ac:dyDescent="0.3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e">
        <f>_xlfn.XLOOKUP($A1006,PROPERTIES[VEHIDCODE],#REF!)</f>
        <v>#REF!</v>
      </c>
      <c r="F1006" s="25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 x14ac:dyDescent="0.3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e">
        <f>_xlfn.XLOOKUP($A1007,PROPERTIES[VEHIDCODE],#REF!)</f>
        <v>#REF!</v>
      </c>
      <c r="F1007" s="25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 x14ac:dyDescent="0.3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e">
        <f>_xlfn.XLOOKUP($A1008,PROPERTIES[VEHIDCODE],#REF!)</f>
        <v>#REF!</v>
      </c>
      <c r="F1008" s="25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 x14ac:dyDescent="0.3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e">
        <f>_xlfn.XLOOKUP($A1009,PROPERTIES[VEHIDCODE],#REF!)</f>
        <v>#REF!</v>
      </c>
      <c r="F1009" s="25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 x14ac:dyDescent="0.3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e">
        <f>_xlfn.XLOOKUP($A1010,PROPERTIES[VEHIDCODE],#REF!)</f>
        <v>#REF!</v>
      </c>
      <c r="F1010" s="25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 x14ac:dyDescent="0.3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e">
        <f>_xlfn.XLOOKUP($A1011,PROPERTIES[VEHIDCODE],#REF!)</f>
        <v>#REF!</v>
      </c>
      <c r="F1011" s="25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 x14ac:dyDescent="0.3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e">
        <f>_xlfn.XLOOKUP($A1012,PROPERTIES[VEHIDCODE],#REF!)</f>
        <v>#REF!</v>
      </c>
      <c r="F1012" s="25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 x14ac:dyDescent="0.3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e">
        <f>_xlfn.XLOOKUP($A1013,PROPERTIES[VEHIDCODE],#REF!)</f>
        <v>#REF!</v>
      </c>
      <c r="F1013" s="25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 x14ac:dyDescent="0.3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e">
        <f>_xlfn.XLOOKUP($A1014,PROPERTIES[VEHIDCODE],#REF!)</f>
        <v>#REF!</v>
      </c>
      <c r="F1014" s="25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 x14ac:dyDescent="0.3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e">
        <f>_xlfn.XLOOKUP($A1015,PROPERTIES[VEHIDCODE],#REF!)</f>
        <v>#REF!</v>
      </c>
      <c r="F1015" s="25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 x14ac:dyDescent="0.3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e">
        <f>_xlfn.XLOOKUP($A1016,PROPERTIES[VEHIDCODE],#REF!)</f>
        <v>#REF!</v>
      </c>
      <c r="F1016" s="25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 x14ac:dyDescent="0.3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e">
        <f>_xlfn.XLOOKUP($A1017,PROPERTIES[VEHIDCODE],#REF!)</f>
        <v>#REF!</v>
      </c>
      <c r="F1017" s="25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 x14ac:dyDescent="0.35">
      <c r="A1018" t="str">
        <v>rbd_Ganz_MAVAG_Ikarus_725_00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e">
        <f>_xlfn.XLOOKUP($A1018,PROPERTIES[VEHIDCODE],#REF!)</f>
        <v>#REF!</v>
      </c>
      <c r="F1018" s="25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 x14ac:dyDescent="0.3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e">
        <f>_xlfn.XLOOKUP($A1019,PROPERTIES[VEHIDCODE],#REF!)</f>
        <v>#REF!</v>
      </c>
      <c r="F1019" s="25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 x14ac:dyDescent="0.3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e">
        <f>_xlfn.XLOOKUP($A1020,PROPERTIES[VEHIDCODE],#REF!)</f>
        <v>#REF!</v>
      </c>
      <c r="F1020" s="25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 x14ac:dyDescent="0.3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e">
        <f>_xlfn.XLOOKUP($A1021,PROPERTIES[VEHIDCODE],#REF!)</f>
        <v>#REF!</v>
      </c>
      <c r="F1021" s="25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 x14ac:dyDescent="0.3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e">
        <f>_xlfn.XLOOKUP($A1022,PROPERTIES[VEHIDCODE],#REF!)</f>
        <v>#REF!</v>
      </c>
      <c r="F1022" s="25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 x14ac:dyDescent="0.3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e">
        <f>_xlfn.XLOOKUP($A1023,PROPERTIES[VEHIDCODE],#REF!)</f>
        <v>#REF!</v>
      </c>
      <c r="F1023" s="25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 x14ac:dyDescent="0.3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e">
        <f>_xlfn.XLOOKUP($A1024,PROPERTIES[VEHIDCODE],#REF!)</f>
        <v>#REF!</v>
      </c>
      <c r="F1024" s="25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 x14ac:dyDescent="0.3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e">
        <f>_xlfn.XLOOKUP($A1025,PROPERTIES[VEHIDCODE],#REF!)</f>
        <v>#REF!</v>
      </c>
      <c r="F1025" s="25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 x14ac:dyDescent="0.3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e">
        <f>_xlfn.XLOOKUP($A1026,PROPERTIES[VEHIDCODE],#REF!)</f>
        <v>#REF!</v>
      </c>
      <c r="F1026" s="25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 x14ac:dyDescent="0.3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e">
        <f>_xlfn.XLOOKUP($A1027,PROPERTIES[VEHIDCODE],#REF!)</f>
        <v>#REF!</v>
      </c>
      <c r="F1027" s="25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 x14ac:dyDescent="0.3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e">
        <f>_xlfn.XLOOKUP($A1028,PROPERTIES[VEHIDCODE],#REF!)</f>
        <v>#REF!</v>
      </c>
      <c r="F1028" s="25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 x14ac:dyDescent="0.3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e">
        <f>_xlfn.XLOOKUP($A1029,PROPERTIES[VEHIDCODE],#REF!)</f>
        <v>#REF!</v>
      </c>
      <c r="F1029" s="25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 x14ac:dyDescent="0.3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e">
        <f>_xlfn.XLOOKUP($A1030,PROPERTIES[VEHIDCODE],#REF!)</f>
        <v>#REF!</v>
      </c>
      <c r="F1030" s="25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 x14ac:dyDescent="0.3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e">
        <f>_xlfn.XLOOKUP($A1031,PROPERTIES[VEHIDCODE],#REF!)</f>
        <v>#REF!</v>
      </c>
      <c r="F1031" s="25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 x14ac:dyDescent="0.3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e">
        <f>_xlfn.XLOOKUP($A1032,PROPERTIES[VEHIDCODE],#REF!)</f>
        <v>#REF!</v>
      </c>
      <c r="F1032" s="25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 x14ac:dyDescent="0.3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e">
        <f>_xlfn.XLOOKUP($A1033,PROPERTIES[VEHIDCODE],#REF!)</f>
        <v>#REF!</v>
      </c>
      <c r="F1033" s="25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 x14ac:dyDescent="0.3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e">
        <f>_xlfn.XLOOKUP($A1034,PROPERTIES[VEHIDCODE],#REF!)</f>
        <v>#REF!</v>
      </c>
      <c r="F1034" s="25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 x14ac:dyDescent="0.3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e">
        <f>_xlfn.XLOOKUP($A1035,PROPERTIES[VEHIDCODE],#REF!)</f>
        <v>#REF!</v>
      </c>
      <c r="F1035" s="25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 x14ac:dyDescent="0.3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e">
        <f>_xlfn.XLOOKUP($A1036,PROPERTIES[VEHIDCODE],#REF!)</f>
        <v>#REF!</v>
      </c>
      <c r="F1036" s="25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 x14ac:dyDescent="0.3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e">
        <f>_xlfn.XLOOKUP($A1037,PROPERTIES[VEHIDCODE],#REF!)</f>
        <v>#REF!</v>
      </c>
      <c r="F1037" s="25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 x14ac:dyDescent="0.3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e">
        <f>_xlfn.XLOOKUP($A1038,PROPERTIES[VEHIDCODE],#REF!)</f>
        <v>#REF!</v>
      </c>
      <c r="F1038" s="25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 x14ac:dyDescent="0.35">
      <c r="A1039" t="str">
        <v>rbd_Faur_A20DP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e">
        <f>_xlfn.XLOOKUP($A1039,PROPERTIES[VEHIDCODE],#REF!)</f>
        <v>#REF!</v>
      </c>
      <c r="F1039" s="25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 x14ac:dyDescent="0.3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e">
        <f>_xlfn.XLOOKUP($A1040,PROPERTIES[VEHIDCODE],#REF!)</f>
        <v>#REF!</v>
      </c>
      <c r="F1040" s="25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 x14ac:dyDescent="0.3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e">
        <f>_xlfn.XLOOKUP($A1041,PROPERTIES[VEHIDCODE],#REF!)</f>
        <v>#REF!</v>
      </c>
      <c r="F1041" s="25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 x14ac:dyDescent="0.3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e">
        <f>_xlfn.XLOOKUP($A1042,PROPERTIES[VEHIDCODE],#REF!)</f>
        <v>#REF!</v>
      </c>
      <c r="F1042" s="25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 x14ac:dyDescent="0.3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e">
        <f>_xlfn.XLOOKUP($A1043,PROPERTIES[VEHIDCODE],#REF!)</f>
        <v>#REF!</v>
      </c>
      <c r="F1043" s="25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 x14ac:dyDescent="0.3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e">
        <f>_xlfn.XLOOKUP($A1044,PROPERTIES[VEHIDCODE],#REF!)</f>
        <v>#REF!</v>
      </c>
      <c r="F1044" s="25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 x14ac:dyDescent="0.3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e">
        <f>_xlfn.XLOOKUP($A1045,PROPERTIES[VEHIDCODE],#REF!)</f>
        <v>#REF!</v>
      </c>
      <c r="F1045" s="25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 x14ac:dyDescent="0.35">
      <c r="A1046" t="str">
        <v>electric_Siemens_Vectron_MS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e">
        <f>_xlfn.XLOOKUP($A1046,PROPERTIES[VEHIDCODE],#REF!)</f>
        <v>#REF!</v>
      </c>
      <c r="F1046" s="25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 x14ac:dyDescent="0.3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e">
        <f>_xlfn.XLOOKUP($A1047,PROPERTIES[VEHIDCODE],#REF!)</f>
        <v>#REF!</v>
      </c>
      <c r="F1047" s="25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 x14ac:dyDescent="0.3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e">
        <f>_xlfn.XLOOKUP($A1048,PROPERTIES[VEHIDCODE],#REF!)</f>
        <v>#REF!</v>
      </c>
      <c r="F1048" s="25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 x14ac:dyDescent="0.35">
      <c r="A1049" t="str">
        <v>steam_Tours_Chapelon_2_12_0_160A</v>
      </c>
      <c r="B1049" t="b" cm="1">
        <f t="array" ref="B1049">_xlfn.XLOOKUP(A1049,CONTROL[VEHIDCODE],PROPERTIES[EXCLUDE])</f>
        <v>0</v>
      </c>
      <c r="C1049" t="b">
        <f>_xlfn.XLOOKUP(A1049,CONTROL[VEHIDCODE],CONTROL[IS_WAGON_OR_COACH])</f>
        <v>0</v>
      </c>
      <c r="D1049">
        <f>FLOOR(_xlfn.XLOOKUP($A1049,PROPERTIES[VEHIDCODE],PROPERTIES[INTRODUCTION_YEAR]),20)</f>
        <v>1940</v>
      </c>
      <c r="E1049" t="e">
        <f>_xlfn.XLOOKUP($A1049,PROPERTIES[VEHIDCODE],#REF!)</f>
        <v>#REF!</v>
      </c>
      <c r="F1049" s="25" t="str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WESTERN_EUROPE_NO_REGION_NO_REGION_NO_REGION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1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 x14ac:dyDescent="0.35">
      <c r="A1050" t="str">
        <v>diesel_LTZ_TE166</v>
      </c>
      <c r="B1050" t="b" cm="1">
        <f t="array" ref="B1050">_xlfn.XLOOKUP(A1050,CONTROL[VEHIDCODE],PROPERTIES[EXCLUDE])</f>
        <v>0</v>
      </c>
      <c r="C1050" t="b">
        <f>_xlfn.XLOOKUP(A1050,CONTROL[VEHIDCODE],CONTROL[IS_WAGON_OR_COACH])</f>
        <v>0</v>
      </c>
      <c r="D1050">
        <f>FLOOR(_xlfn.XLOOKUP($A1050,PROPERTIES[VEHIDCODE],PROPERTIES[INTRODUCTION_YEAR]),20)</f>
        <v>1960</v>
      </c>
      <c r="E1050" t="e">
        <f>_xlfn.XLOOKUP($A1050,PROPERTIES[VEHIDCODE],#REF!)</f>
        <v>#REF!</v>
      </c>
      <c r="F1050" s="25" t="str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COMECON_NO_REGION_NO_REGION_NO_REGION</v>
      </c>
      <c r="G1050" t="b">
        <f t="shared" si="135"/>
        <v>0</v>
      </c>
      <c r="H1050" t="b">
        <f t="shared" si="142"/>
        <v>1</v>
      </c>
      <c r="I1050" t="b">
        <f t="shared" si="136"/>
        <v>0</v>
      </c>
      <c r="J1050" t="b">
        <f t="shared" si="143"/>
        <v>1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 x14ac:dyDescent="0.35">
      <c r="A1051" t="str">
        <v>rbd_Ganz_MAVAG_SN61</v>
      </c>
      <c r="B1051" t="b" cm="1">
        <f t="array" ref="B1051">_xlfn.XLOOKUP(A1051,CONTROL[VEHIDCODE],PROPERTIES[EXCLUDE])</f>
        <v>0</v>
      </c>
      <c r="C1051" t="b">
        <f>_xlfn.XLOOKUP(A1051,CONTROL[VEHIDCODE],CONTROL[IS_WAGON_OR_COACH])</f>
        <v>0</v>
      </c>
      <c r="D1051">
        <f>FLOOR(_xlfn.XLOOKUP($A1051,PROPERTIES[VEHIDCODE],PROPERTIES[INTRODUCTION_YEAR]),20)</f>
        <v>1960</v>
      </c>
      <c r="E1051" t="e">
        <f>_xlfn.XLOOKUP($A1051,PROPERTIES[VEHIDCODE],#REF!)</f>
        <v>#REF!</v>
      </c>
      <c r="F1051" s="25" t="str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EASTERN_EUROPE_NO_REGION_NO_REGION_NO_REGION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1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 x14ac:dyDescent="0.3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_xlfn.XLOOKUP($A1052,PROPERTIES[VEHIDCODE],#REF!)</f>
        <v>#REF!</v>
      </c>
      <c r="F1052" s="25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 x14ac:dyDescent="0.3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_xlfn.XLOOKUP($A1053,PROPERTIES[VEHIDCODE],#REF!)</f>
        <v>#REF!</v>
      </c>
      <c r="F1053" s="25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 x14ac:dyDescent="0.3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_xlfn.XLOOKUP($A1054,PROPERTIES[VEHIDCODE],#REF!)</f>
        <v>#REF!</v>
      </c>
      <c r="F1054" s="25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 x14ac:dyDescent="0.3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_xlfn.XLOOKUP($A1055,PROPERTIES[VEHIDCODE],#REF!)</f>
        <v>#REF!</v>
      </c>
      <c r="F1055" s="25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 x14ac:dyDescent="0.3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_xlfn.XLOOKUP($A1056,PROPERTIES[VEHIDCODE],#REF!)</f>
        <v>#REF!</v>
      </c>
      <c r="F1056" s="25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 x14ac:dyDescent="0.3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_xlfn.XLOOKUP($A1057,PROPERTIES[VEHIDCODE],#REF!)</f>
        <v>#REF!</v>
      </c>
      <c r="F1057" s="25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 x14ac:dyDescent="0.3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_xlfn.XLOOKUP($A1058,PROPERTIES[VEHIDCODE],#REF!)</f>
        <v>#REF!</v>
      </c>
      <c r="F1058" s="25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 x14ac:dyDescent="0.3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_xlfn.XLOOKUP($A1059,PROPERTIES[VEHIDCODE],#REF!)</f>
        <v>#REF!</v>
      </c>
      <c r="F1059" s="25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 x14ac:dyDescent="0.3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_xlfn.XLOOKUP($A1060,PROPERTIES[VEHIDCODE],#REF!)</f>
        <v>#REF!</v>
      </c>
      <c r="F1060" s="25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 x14ac:dyDescent="0.3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_xlfn.XLOOKUP($A1061,PROPERTIES[VEHIDCODE],#REF!)</f>
        <v>#REF!</v>
      </c>
      <c r="F1061" s="25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 x14ac:dyDescent="0.3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_xlfn.XLOOKUP($A1062,PROPERTIES[VEHIDCODE],#REF!)</f>
        <v>#REF!</v>
      </c>
      <c r="F1062" s="25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 x14ac:dyDescent="0.3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_xlfn.XLOOKUP($A1063,PROPERTIES[VEHIDCODE],#REF!)</f>
        <v>#REF!</v>
      </c>
      <c r="F1063" s="25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 x14ac:dyDescent="0.3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_xlfn.XLOOKUP($A1064,PROPERTIES[VEHIDCODE],#REF!)</f>
        <v>#REF!</v>
      </c>
      <c r="F1064" s="25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 x14ac:dyDescent="0.3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_xlfn.XLOOKUP($A1065,PROPERTIES[VEHIDCODE],#REF!)</f>
        <v>#REF!</v>
      </c>
      <c r="F1065" s="25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 x14ac:dyDescent="0.3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_xlfn.XLOOKUP($A1066,PROPERTIES[VEHIDCODE],#REF!)</f>
        <v>#REF!</v>
      </c>
      <c r="F1066" s="25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 x14ac:dyDescent="0.3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_xlfn.XLOOKUP($A1067,PROPERTIES[VEHIDCODE],#REF!)</f>
        <v>#REF!</v>
      </c>
      <c r="F1067" s="25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 x14ac:dyDescent="0.3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_xlfn.XLOOKUP($A1068,PROPERTIES[VEHIDCODE],#REF!)</f>
        <v>#REF!</v>
      </c>
      <c r="F1068" s="25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 x14ac:dyDescent="0.3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_xlfn.XLOOKUP($A1069,PROPERTIES[VEHIDCODE],#REF!)</f>
        <v>#REF!</v>
      </c>
      <c r="F1069" s="25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 x14ac:dyDescent="0.3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_xlfn.XLOOKUP($A1070,PROPERTIES[VEHIDCODE],#REF!)</f>
        <v>#REF!</v>
      </c>
      <c r="F1070" s="25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 x14ac:dyDescent="0.3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_xlfn.XLOOKUP($A1071,PROPERTIES[VEHIDCODE],#REF!)</f>
        <v>#REF!</v>
      </c>
      <c r="F1071" s="25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 x14ac:dyDescent="0.3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_xlfn.XLOOKUP($A1072,PROPERTIES[VEHIDCODE],#REF!)</f>
        <v>#REF!</v>
      </c>
      <c r="F1072" s="25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 x14ac:dyDescent="0.3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_xlfn.XLOOKUP($A1073,PROPERTIES[VEHIDCODE],#REF!)</f>
        <v>#REF!</v>
      </c>
      <c r="F1073" s="25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 x14ac:dyDescent="0.3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_xlfn.XLOOKUP($A1074,PROPERTIES[VEHIDCODE],#REF!)</f>
        <v>#REF!</v>
      </c>
      <c r="F1074" s="25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 x14ac:dyDescent="0.3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_xlfn.XLOOKUP($A1075,PROPERTIES[VEHIDCODE],#REF!)</f>
        <v>#REF!</v>
      </c>
      <c r="F1075" s="25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 x14ac:dyDescent="0.3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_xlfn.XLOOKUP($A1076,PROPERTIES[VEHIDCODE],#REF!)</f>
        <v>#REF!</v>
      </c>
      <c r="F1076" s="25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 x14ac:dyDescent="0.3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_xlfn.XLOOKUP($A1077,PROPERTIES[VEHIDCODE],#REF!)</f>
        <v>#REF!</v>
      </c>
      <c r="F1077" s="25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 x14ac:dyDescent="0.3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_xlfn.XLOOKUP($A1078,PROPERTIES[VEHIDCODE],#REF!)</f>
        <v>#REF!</v>
      </c>
      <c r="F1078" s="25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 x14ac:dyDescent="0.3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_xlfn.XLOOKUP($A1079,PROPERTIES[VEHIDCODE],#REF!)</f>
        <v>#REF!</v>
      </c>
      <c r="F1079" s="25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 x14ac:dyDescent="0.3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_xlfn.XLOOKUP($A1080,PROPERTIES[VEHIDCODE],#REF!)</f>
        <v>#REF!</v>
      </c>
      <c r="F1080" s="25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 x14ac:dyDescent="0.3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_xlfn.XLOOKUP($A1081,PROPERTIES[VEHIDCODE],#REF!)</f>
        <v>#REF!</v>
      </c>
      <c r="F1081" s="25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 x14ac:dyDescent="0.3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_xlfn.XLOOKUP($A1082,PROPERTIES[VEHIDCODE],#REF!)</f>
        <v>#REF!</v>
      </c>
      <c r="F1082" s="25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 x14ac:dyDescent="0.3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_xlfn.XLOOKUP($A1083,PROPERTIES[VEHIDCODE],#REF!)</f>
        <v>#REF!</v>
      </c>
      <c r="F1083" s="25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 x14ac:dyDescent="0.3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_xlfn.XLOOKUP($A1084,PROPERTIES[VEHIDCODE],#REF!)</f>
        <v>#REF!</v>
      </c>
      <c r="F1084" s="25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 x14ac:dyDescent="0.3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_xlfn.XLOOKUP($A1085,PROPERTIES[VEHIDCODE],#REF!)</f>
        <v>#REF!</v>
      </c>
      <c r="F1085" s="25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 x14ac:dyDescent="0.3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_xlfn.XLOOKUP($A1086,PROPERTIES[VEHIDCODE],#REF!)</f>
        <v>#REF!</v>
      </c>
      <c r="F1086" s="25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 x14ac:dyDescent="0.3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_xlfn.XLOOKUP($A1087,PROPERTIES[VEHIDCODE],#REF!)</f>
        <v>#REF!</v>
      </c>
      <c r="F1087" s="25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 x14ac:dyDescent="0.3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_xlfn.XLOOKUP($A1088,PROPERTIES[VEHIDCODE],#REF!)</f>
        <v>#REF!</v>
      </c>
      <c r="F1088" s="25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 x14ac:dyDescent="0.3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_xlfn.XLOOKUP($A1089,PROPERTIES[VEHIDCODE],#REF!)</f>
        <v>#REF!</v>
      </c>
      <c r="F1089" s="25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 x14ac:dyDescent="0.3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_xlfn.XLOOKUP($A1090,PROPERTIES[VEHIDCODE],#REF!)</f>
        <v>#REF!</v>
      </c>
      <c r="F1090" s="25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 x14ac:dyDescent="0.3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_xlfn.XLOOKUP($A1091,PROPERTIES[VEHIDCODE],#REF!)</f>
        <v>#REF!</v>
      </c>
      <c r="F1091" s="25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 x14ac:dyDescent="0.3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_xlfn.XLOOKUP($A1092,PROPERTIES[VEHIDCODE],#REF!)</f>
        <v>#REF!</v>
      </c>
      <c r="F1092" s="25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 x14ac:dyDescent="0.3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_xlfn.XLOOKUP($A1093,PROPERTIES[VEHIDCODE],#REF!)</f>
        <v>#REF!</v>
      </c>
      <c r="F1093" s="25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 x14ac:dyDescent="0.3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_xlfn.XLOOKUP($A1094,PROPERTIES[VEHIDCODE],#REF!)</f>
        <v>#REF!</v>
      </c>
      <c r="F1094" s="25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 x14ac:dyDescent="0.3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_xlfn.XLOOKUP($A1095,PROPERTIES[VEHIDCODE],#REF!)</f>
        <v>#REF!</v>
      </c>
      <c r="F1095" s="25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 x14ac:dyDescent="0.3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_xlfn.XLOOKUP($A1096,PROPERTIES[VEHIDCODE],#REF!)</f>
        <v>#REF!</v>
      </c>
      <c r="F1096" s="25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 x14ac:dyDescent="0.3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_xlfn.XLOOKUP($A1097,PROPERTIES[VEHIDCODE],#REF!)</f>
        <v>#REF!</v>
      </c>
      <c r="F1097" s="25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 x14ac:dyDescent="0.3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_xlfn.XLOOKUP($A1098,PROPERTIES[VEHIDCODE],#REF!)</f>
        <v>#REF!</v>
      </c>
      <c r="F1098" s="25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 x14ac:dyDescent="0.3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_xlfn.XLOOKUP($A1099,PROPERTIES[VEHIDCODE],#REF!)</f>
        <v>#REF!</v>
      </c>
      <c r="F1099" s="25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 x14ac:dyDescent="0.3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_xlfn.XLOOKUP($A1100,PROPERTIES[VEHIDCODE],#REF!)</f>
        <v>#REF!</v>
      </c>
      <c r="F1100" s="25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 x14ac:dyDescent="0.3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_xlfn.XLOOKUP($A1101,PROPERTIES[VEHIDCODE],#REF!)</f>
        <v>#REF!</v>
      </c>
      <c r="F1101" s="25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 x14ac:dyDescent="0.3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_xlfn.XLOOKUP($A1102,PROPERTIES[VEHIDCODE],#REF!)</f>
        <v>#REF!</v>
      </c>
      <c r="F1102" s="25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 x14ac:dyDescent="0.3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_xlfn.XLOOKUP($A1103,PROPERTIES[VEHIDCODE],#REF!)</f>
        <v>#REF!</v>
      </c>
      <c r="F1103" s="25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 x14ac:dyDescent="0.3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_xlfn.XLOOKUP($A1104,PROPERTIES[VEHIDCODE],#REF!)</f>
        <v>#REF!</v>
      </c>
      <c r="F1104" s="25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 x14ac:dyDescent="0.3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_xlfn.XLOOKUP($A1105,PROPERTIES[VEHIDCODE],#REF!)</f>
        <v>#REF!</v>
      </c>
      <c r="F1105" s="25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 x14ac:dyDescent="0.3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_xlfn.XLOOKUP($A1106,PROPERTIES[VEHIDCODE],#REF!)</f>
        <v>#REF!</v>
      </c>
      <c r="F1106" s="25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 x14ac:dyDescent="0.3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_xlfn.XLOOKUP($A1107,PROPERTIES[VEHIDCODE],#REF!)</f>
        <v>#REF!</v>
      </c>
      <c r="F1107" s="25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 x14ac:dyDescent="0.3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_xlfn.XLOOKUP($A1108,PROPERTIES[VEHIDCODE],#REF!)</f>
        <v>#REF!</v>
      </c>
      <c r="F1108" s="25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 x14ac:dyDescent="0.3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_xlfn.XLOOKUP($A1109,PROPERTIES[VEHIDCODE],#REF!)</f>
        <v>#REF!</v>
      </c>
      <c r="F1109" s="25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 x14ac:dyDescent="0.3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_xlfn.XLOOKUP($A1110,PROPERTIES[VEHIDCODE],#REF!)</f>
        <v>#REF!</v>
      </c>
      <c r="F1110" s="25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 x14ac:dyDescent="0.3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_xlfn.XLOOKUP($A1111,PROPERTIES[VEHIDCODE],#REF!)</f>
        <v>#REF!</v>
      </c>
      <c r="F1111" s="25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 x14ac:dyDescent="0.3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_xlfn.XLOOKUP($A1112,PROPERTIES[VEHIDCODE],#REF!)</f>
        <v>#REF!</v>
      </c>
      <c r="F1112" s="25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 x14ac:dyDescent="0.3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_xlfn.XLOOKUP($A1113,PROPERTIES[VEHIDCODE],#REF!)</f>
        <v>#REF!</v>
      </c>
      <c r="F1113" s="25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 x14ac:dyDescent="0.3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_xlfn.XLOOKUP($A1114,PROPERTIES[VEHIDCODE],#REF!)</f>
        <v>#REF!</v>
      </c>
      <c r="F1114" s="25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 x14ac:dyDescent="0.3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_xlfn.XLOOKUP($A1115,PROPERTIES[VEHIDCODE],#REF!)</f>
        <v>#REF!</v>
      </c>
      <c r="F1115" s="25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115" xr:uid="{94AF2F1A-9287-4526-9497-B34C300AF4DB}"/>
  <conditionalFormatting sqref="B2:C1115">
    <cfRule type="containsText" dxfId="5" priority="2" operator="containsText" text="FALSE">
      <formula>NOT(ISERROR(SEARCH("FALSE",B2)))</formula>
    </cfRule>
  </conditionalFormatting>
  <conditionalFormatting sqref="G1:G813 H795:I813 G814:I1048576">
    <cfRule type="containsText" dxfId="4" priority="59" operator="containsText" text="FALSE">
      <formula>NOT(ISERROR(SEARCH("FALSE",G1)))</formula>
    </cfRule>
  </conditionalFormatting>
  <conditionalFormatting sqref="H1:I792">
    <cfRule type="containsText" dxfId="3" priority="58" operator="containsText" text="FALSE">
      <formula>NOT(ISERROR(SEARCH("FALSE",H1)))</formula>
    </cfRule>
  </conditionalFormatting>
  <conditionalFormatting sqref="H2:O1115">
    <cfRule type="containsText" dxfId="2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8"/>
  <sheetViews>
    <sheetView workbookViewId="0">
      <selection activeCell="A9" sqref="A9"/>
    </sheetView>
  </sheetViews>
  <sheetFormatPr defaultColWidth="7.7265625" defaultRowHeight="14.5" x14ac:dyDescent="0.35"/>
  <cols>
    <col min="1" max="1" width="20.26953125" bestFit="1" customWidth="1"/>
    <col min="2" max="11" width="13.36328125" bestFit="1" customWidth="1"/>
    <col min="12" max="12" width="10.36328125" bestFit="1" customWidth="1"/>
    <col min="13" max="17" width="25" bestFit="1" customWidth="1"/>
    <col min="18" max="18" width="10.453125" bestFit="1" customWidth="1"/>
  </cols>
  <sheetData>
    <row r="1" spans="1:18" x14ac:dyDescent="0.35">
      <c r="A1" s="24" t="s">
        <v>1885</v>
      </c>
      <c r="B1" t="s">
        <v>1888</v>
      </c>
    </row>
    <row r="2" spans="1:18" x14ac:dyDescent="0.35">
      <c r="A2" s="24" t="s">
        <v>246</v>
      </c>
      <c r="B2" t="s">
        <v>1888</v>
      </c>
    </row>
    <row r="3" spans="1:18" x14ac:dyDescent="0.35">
      <c r="A3" s="37" t="s">
        <v>233</v>
      </c>
      <c r="B3" t="s">
        <v>1650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1647</v>
      </c>
      <c r="B5" s="37" t="s">
        <v>1648</v>
      </c>
    </row>
    <row r="6" spans="1:18" x14ac:dyDescent="0.35">
      <c r="A6" s="24" t="s">
        <v>1036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1889</v>
      </c>
    </row>
    <row r="7" spans="1:18" x14ac:dyDescent="0.35">
      <c r="A7" t="s">
        <v>3699</v>
      </c>
      <c r="B7">
        <v>3</v>
      </c>
      <c r="C7">
        <v>5</v>
      </c>
      <c r="D7">
        <v>5</v>
      </c>
      <c r="E7">
        <v>10</v>
      </c>
      <c r="F7">
        <v>15</v>
      </c>
      <c r="G7">
        <v>28</v>
      </c>
      <c r="H7">
        <v>13</v>
      </c>
      <c r="I7">
        <v>13</v>
      </c>
      <c r="J7">
        <v>2</v>
      </c>
      <c r="K7">
        <v>2</v>
      </c>
      <c r="L7">
        <v>96</v>
      </c>
    </row>
    <row r="8" spans="1:18" x14ac:dyDescent="0.35">
      <c r="A8" t="s">
        <v>1889</v>
      </c>
      <c r="B8">
        <v>3</v>
      </c>
      <c r="C8">
        <v>5</v>
      </c>
      <c r="D8">
        <v>5</v>
      </c>
      <c r="E8">
        <v>10</v>
      </c>
      <c r="F8">
        <v>15</v>
      </c>
      <c r="G8">
        <v>28</v>
      </c>
      <c r="H8">
        <v>13</v>
      </c>
      <c r="I8">
        <v>13</v>
      </c>
      <c r="J8">
        <v>2</v>
      </c>
      <c r="K8">
        <v>2</v>
      </c>
      <c r="L8">
        <v>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4" t="s">
        <v>1885</v>
      </c>
      <c r="B1" t="s">
        <v>1888</v>
      </c>
    </row>
    <row r="2" spans="1:18" x14ac:dyDescent="0.35">
      <c r="A2" s="24" t="s">
        <v>246</v>
      </c>
      <c r="B2" t="s">
        <v>1888</v>
      </c>
    </row>
    <row r="3" spans="1:18" x14ac:dyDescent="0.35">
      <c r="A3" s="24" t="s">
        <v>235</v>
      </c>
      <c r="B3" t="s">
        <v>1650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1647</v>
      </c>
      <c r="B5" s="37" t="s">
        <v>1648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18" x14ac:dyDescent="0.35">
      <c r="A7" t="s">
        <v>3699</v>
      </c>
      <c r="B7">
        <v>2</v>
      </c>
      <c r="C7">
        <v>3</v>
      </c>
      <c r="D7">
        <v>4</v>
      </c>
      <c r="E7">
        <v>13</v>
      </c>
      <c r="F7">
        <v>16</v>
      </c>
      <c r="G7">
        <v>22</v>
      </c>
      <c r="H7">
        <v>17</v>
      </c>
      <c r="I7">
        <v>15</v>
      </c>
      <c r="J7">
        <v>10</v>
      </c>
      <c r="K7">
        <v>1</v>
      </c>
      <c r="L7">
        <v>2</v>
      </c>
      <c r="M7">
        <v>105</v>
      </c>
    </row>
    <row r="8" spans="1:18" x14ac:dyDescent="0.35">
      <c r="A8" t="s">
        <v>1889</v>
      </c>
      <c r="B8">
        <v>2</v>
      </c>
      <c r="C8">
        <v>3</v>
      </c>
      <c r="D8">
        <v>4</v>
      </c>
      <c r="E8">
        <v>13</v>
      </c>
      <c r="F8">
        <v>16</v>
      </c>
      <c r="G8">
        <v>22</v>
      </c>
      <c r="H8">
        <v>17</v>
      </c>
      <c r="I8">
        <v>15</v>
      </c>
      <c r="J8">
        <v>10</v>
      </c>
      <c r="K8">
        <v>1</v>
      </c>
      <c r="L8">
        <v>2</v>
      </c>
      <c r="M8">
        <v>105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 x14ac:dyDescent="0.35">
      <c r="A1" s="24" t="s">
        <v>1885</v>
      </c>
      <c r="B1" t="s">
        <v>1888</v>
      </c>
    </row>
    <row r="2" spans="1:67" x14ac:dyDescent="0.35">
      <c r="A2" s="24" t="s">
        <v>246</v>
      </c>
      <c r="B2" t="s">
        <v>1888</v>
      </c>
    </row>
    <row r="3" spans="1:67" x14ac:dyDescent="0.35">
      <c r="A3" s="37" t="s">
        <v>237</v>
      </c>
      <c r="B3" t="s">
        <v>1650</v>
      </c>
    </row>
    <row r="4" spans="1:67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x14ac:dyDescent="0.35">
      <c r="A5" s="24" t="s">
        <v>1647</v>
      </c>
      <c r="B5" s="37" t="s">
        <v>1648</v>
      </c>
    </row>
    <row r="6" spans="1:67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67" x14ac:dyDescent="0.35">
      <c r="A7" t="s">
        <v>3699</v>
      </c>
      <c r="B7">
        <v>3</v>
      </c>
      <c r="C7">
        <v>2</v>
      </c>
      <c r="D7">
        <v>1</v>
      </c>
      <c r="E7">
        <v>6</v>
      </c>
      <c r="F7">
        <v>9</v>
      </c>
      <c r="G7">
        <v>10</v>
      </c>
      <c r="H7">
        <v>24</v>
      </c>
      <c r="I7">
        <v>16</v>
      </c>
      <c r="J7">
        <v>10</v>
      </c>
      <c r="K7">
        <v>2</v>
      </c>
      <c r="L7">
        <v>2</v>
      </c>
      <c r="M7">
        <v>85</v>
      </c>
    </row>
    <row r="8" spans="1:67" x14ac:dyDescent="0.35">
      <c r="A8" t="s">
        <v>1889</v>
      </c>
      <c r="B8">
        <v>3</v>
      </c>
      <c r="C8">
        <v>2</v>
      </c>
      <c r="D8">
        <v>1</v>
      </c>
      <c r="E8">
        <v>6</v>
      </c>
      <c r="F8">
        <v>9</v>
      </c>
      <c r="G8">
        <v>10</v>
      </c>
      <c r="H8">
        <v>24</v>
      </c>
      <c r="I8">
        <v>16</v>
      </c>
      <c r="J8">
        <v>10</v>
      </c>
      <c r="K8">
        <v>2</v>
      </c>
      <c r="L8">
        <v>2</v>
      </c>
      <c r="M8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1" width="13.36328125" bestFit="1" customWidth="1"/>
    <col min="12" max="12" width="10.36328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 x14ac:dyDescent="0.35">
      <c r="A1" s="24" t="s">
        <v>1885</v>
      </c>
      <c r="B1" t="s">
        <v>1888</v>
      </c>
    </row>
    <row r="2" spans="1:19" x14ac:dyDescent="0.35">
      <c r="A2" s="37" t="s">
        <v>238</v>
      </c>
      <c r="B2" t="s">
        <v>1650</v>
      </c>
    </row>
    <row r="3" spans="1:19" x14ac:dyDescent="0.35">
      <c r="A3" s="24" t="s">
        <v>246</v>
      </c>
      <c r="B3" t="s">
        <v>1888</v>
      </c>
    </row>
    <row r="4" spans="1:19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 x14ac:dyDescent="0.35">
      <c r="A5" s="24" t="s">
        <v>1647</v>
      </c>
      <c r="B5" s="37" t="s">
        <v>1648</v>
      </c>
    </row>
    <row r="6" spans="1:19" x14ac:dyDescent="0.35">
      <c r="A6" s="24" t="s">
        <v>1036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1889</v>
      </c>
    </row>
    <row r="7" spans="1:19" x14ac:dyDescent="0.35">
      <c r="A7" t="s">
        <v>3699</v>
      </c>
      <c r="B7">
        <v>1</v>
      </c>
      <c r="C7">
        <v>4</v>
      </c>
      <c r="D7">
        <v>4</v>
      </c>
      <c r="E7">
        <v>13</v>
      </c>
      <c r="F7">
        <v>27</v>
      </c>
      <c r="G7">
        <v>36</v>
      </c>
      <c r="H7">
        <v>36</v>
      </c>
      <c r="I7">
        <v>29</v>
      </c>
      <c r="J7">
        <v>2</v>
      </c>
      <c r="K7">
        <v>2</v>
      </c>
      <c r="L7">
        <v>154</v>
      </c>
    </row>
    <row r="8" spans="1:19" x14ac:dyDescent="0.35">
      <c r="A8" t="s">
        <v>1889</v>
      </c>
      <c r="B8">
        <v>1</v>
      </c>
      <c r="C8">
        <v>4</v>
      </c>
      <c r="D8">
        <v>4</v>
      </c>
      <c r="E8">
        <v>13</v>
      </c>
      <c r="F8">
        <v>27</v>
      </c>
      <c r="G8">
        <v>36</v>
      </c>
      <c r="H8">
        <v>36</v>
      </c>
      <c r="I8">
        <v>29</v>
      </c>
      <c r="J8">
        <v>2</v>
      </c>
      <c r="K8">
        <v>2</v>
      </c>
      <c r="L8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 x14ac:dyDescent="0.35">
      <c r="A1" s="24" t="s">
        <v>1885</v>
      </c>
      <c r="B1" t="s">
        <v>1888</v>
      </c>
    </row>
    <row r="2" spans="1:18" x14ac:dyDescent="0.35">
      <c r="A2" s="24" t="s">
        <v>246</v>
      </c>
      <c r="B2" t="s">
        <v>1888</v>
      </c>
    </row>
    <row r="3" spans="1:18" x14ac:dyDescent="0.35">
      <c r="A3" s="37" t="s">
        <v>232</v>
      </c>
      <c r="B3" t="s">
        <v>1650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1647</v>
      </c>
      <c r="B5" s="37" t="s">
        <v>1648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18" x14ac:dyDescent="0.35">
      <c r="A7" t="s">
        <v>3699</v>
      </c>
      <c r="B7">
        <v>1</v>
      </c>
      <c r="C7">
        <v>3</v>
      </c>
      <c r="D7">
        <v>5</v>
      </c>
      <c r="E7">
        <v>7</v>
      </c>
      <c r="F7">
        <v>14</v>
      </c>
      <c r="G7">
        <v>24</v>
      </c>
      <c r="H7">
        <v>25</v>
      </c>
      <c r="I7">
        <v>28</v>
      </c>
      <c r="J7">
        <v>13</v>
      </c>
      <c r="K7">
        <v>3</v>
      </c>
      <c r="L7">
        <v>2</v>
      </c>
      <c r="M7">
        <v>125</v>
      </c>
    </row>
    <row r="8" spans="1:18" x14ac:dyDescent="0.35">
      <c r="A8" t="s">
        <v>1889</v>
      </c>
      <c r="B8">
        <v>1</v>
      </c>
      <c r="C8">
        <v>3</v>
      </c>
      <c r="D8">
        <v>5</v>
      </c>
      <c r="E8">
        <v>7</v>
      </c>
      <c r="F8">
        <v>14</v>
      </c>
      <c r="G8">
        <v>24</v>
      </c>
      <c r="H8">
        <v>25</v>
      </c>
      <c r="I8">
        <v>28</v>
      </c>
      <c r="J8">
        <v>13</v>
      </c>
      <c r="K8">
        <v>3</v>
      </c>
      <c r="L8">
        <v>2</v>
      </c>
      <c r="M8">
        <v>125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3" width="13.36328125" bestFit="1" customWidth="1"/>
    <col min="14" max="14" width="10.36328125" bestFit="1" customWidth="1"/>
    <col min="15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4" t="s">
        <v>1885</v>
      </c>
      <c r="B1" t="s">
        <v>1888</v>
      </c>
    </row>
    <row r="2" spans="1:20" x14ac:dyDescent="0.35">
      <c r="A2" s="24" t="s">
        <v>246</v>
      </c>
      <c r="B2" t="s">
        <v>1888</v>
      </c>
    </row>
    <row r="3" spans="1:20" x14ac:dyDescent="0.35">
      <c r="A3" s="37" t="s">
        <v>230</v>
      </c>
      <c r="B3" t="s">
        <v>1650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4" t="s">
        <v>1647</v>
      </c>
      <c r="B5" s="37" t="s">
        <v>1648</v>
      </c>
    </row>
    <row r="6" spans="1:20" x14ac:dyDescent="0.35">
      <c r="A6" s="24" t="s">
        <v>1036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1889</v>
      </c>
    </row>
    <row r="7" spans="1:20" x14ac:dyDescent="0.35">
      <c r="A7" t="s">
        <v>3699</v>
      </c>
      <c r="B7">
        <v>1</v>
      </c>
      <c r="C7">
        <v>1</v>
      </c>
      <c r="D7">
        <v>1</v>
      </c>
      <c r="E7">
        <v>7</v>
      </c>
      <c r="F7">
        <v>20</v>
      </c>
      <c r="G7">
        <v>28</v>
      </c>
      <c r="H7">
        <v>34</v>
      </c>
      <c r="I7">
        <v>29</v>
      </c>
      <c r="J7">
        <v>34</v>
      </c>
      <c r="K7">
        <v>23</v>
      </c>
      <c r="L7">
        <v>3</v>
      </c>
      <c r="M7">
        <v>6</v>
      </c>
      <c r="N7">
        <v>187</v>
      </c>
    </row>
    <row r="8" spans="1:20" x14ac:dyDescent="0.35">
      <c r="A8" t="s">
        <v>1889</v>
      </c>
      <c r="B8">
        <v>1</v>
      </c>
      <c r="C8">
        <v>1</v>
      </c>
      <c r="D8">
        <v>1</v>
      </c>
      <c r="E8">
        <v>7</v>
      </c>
      <c r="F8">
        <v>20</v>
      </c>
      <c r="G8">
        <v>28</v>
      </c>
      <c r="H8">
        <v>34</v>
      </c>
      <c r="I8">
        <v>29</v>
      </c>
      <c r="J8">
        <v>34</v>
      </c>
      <c r="K8">
        <v>23</v>
      </c>
      <c r="L8">
        <v>3</v>
      </c>
      <c r="M8">
        <v>6</v>
      </c>
      <c r="N8">
        <v>187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4" t="s">
        <v>1885</v>
      </c>
      <c r="B1" t="s">
        <v>1888</v>
      </c>
    </row>
    <row r="2" spans="1:20" x14ac:dyDescent="0.35">
      <c r="A2" s="24" t="s">
        <v>246</v>
      </c>
      <c r="B2" t="s">
        <v>1888</v>
      </c>
    </row>
    <row r="3" spans="1:20" x14ac:dyDescent="0.35">
      <c r="A3" s="24" t="s">
        <v>234</v>
      </c>
      <c r="B3" t="s">
        <v>1650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4" t="s">
        <v>1647</v>
      </c>
      <c r="B5" s="37" t="s">
        <v>1648</v>
      </c>
    </row>
    <row r="6" spans="1:20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20" x14ac:dyDescent="0.35">
      <c r="A7" t="s">
        <v>3699</v>
      </c>
      <c r="B7">
        <v>1</v>
      </c>
      <c r="C7">
        <v>2</v>
      </c>
      <c r="D7">
        <v>2</v>
      </c>
      <c r="E7">
        <v>9</v>
      </c>
      <c r="F7">
        <v>20</v>
      </c>
      <c r="G7">
        <v>20</v>
      </c>
      <c r="H7">
        <v>23</v>
      </c>
      <c r="I7">
        <v>26</v>
      </c>
      <c r="J7">
        <v>20</v>
      </c>
      <c r="K7">
        <v>3</v>
      </c>
      <c r="L7">
        <v>2</v>
      </c>
      <c r="M7">
        <v>128</v>
      </c>
    </row>
    <row r="8" spans="1:20" x14ac:dyDescent="0.35">
      <c r="A8" t="s">
        <v>1889</v>
      </c>
      <c r="B8">
        <v>1</v>
      </c>
      <c r="C8">
        <v>2</v>
      </c>
      <c r="D8">
        <v>2</v>
      </c>
      <c r="E8">
        <v>9</v>
      </c>
      <c r="F8">
        <v>20</v>
      </c>
      <c r="G8">
        <v>20</v>
      </c>
      <c r="H8">
        <v>23</v>
      </c>
      <c r="I8">
        <v>26</v>
      </c>
      <c r="J8">
        <v>20</v>
      </c>
      <c r="K8">
        <v>3</v>
      </c>
      <c r="L8">
        <v>2</v>
      </c>
      <c r="M8">
        <v>128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1" width="13.36328125" bestFit="1" customWidth="1"/>
    <col min="12" max="12" width="10.36328125" bestFit="1" customWidth="1"/>
    <col min="13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 x14ac:dyDescent="0.35">
      <c r="A1" s="24" t="s">
        <v>1885</v>
      </c>
      <c r="B1" t="s">
        <v>1888</v>
      </c>
    </row>
    <row r="2" spans="1:68" x14ac:dyDescent="0.35">
      <c r="A2" s="24" t="s">
        <v>246</v>
      </c>
      <c r="B2" t="s">
        <v>1888</v>
      </c>
    </row>
    <row r="3" spans="1:68" x14ac:dyDescent="0.35">
      <c r="A3" s="37" t="s">
        <v>236</v>
      </c>
      <c r="B3" t="s">
        <v>1650</v>
      </c>
    </row>
    <row r="4" spans="1:6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 x14ac:dyDescent="0.35">
      <c r="A5" s="24" t="s">
        <v>1647</v>
      </c>
      <c r="B5" s="37" t="s">
        <v>1648</v>
      </c>
    </row>
    <row r="6" spans="1:68" x14ac:dyDescent="0.35">
      <c r="A6" s="24" t="s">
        <v>1036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1889</v>
      </c>
    </row>
    <row r="7" spans="1:68" x14ac:dyDescent="0.35">
      <c r="A7" t="s">
        <v>3699</v>
      </c>
      <c r="B7">
        <v>1</v>
      </c>
      <c r="C7">
        <v>1</v>
      </c>
      <c r="D7">
        <v>9</v>
      </c>
      <c r="E7">
        <v>15</v>
      </c>
      <c r="F7">
        <v>22</v>
      </c>
      <c r="G7">
        <v>32</v>
      </c>
      <c r="H7">
        <v>34</v>
      </c>
      <c r="I7">
        <v>30</v>
      </c>
      <c r="J7">
        <v>2</v>
      </c>
      <c r="K7">
        <v>2</v>
      </c>
      <c r="L7">
        <v>148</v>
      </c>
    </row>
    <row r="8" spans="1:68" x14ac:dyDescent="0.35">
      <c r="A8" t="s">
        <v>1889</v>
      </c>
      <c r="B8">
        <v>1</v>
      </c>
      <c r="C8">
        <v>1</v>
      </c>
      <c r="D8">
        <v>9</v>
      </c>
      <c r="E8">
        <v>15</v>
      </c>
      <c r="F8">
        <v>22</v>
      </c>
      <c r="G8">
        <v>32</v>
      </c>
      <c r="H8">
        <v>34</v>
      </c>
      <c r="I8">
        <v>30</v>
      </c>
      <c r="J8">
        <v>2</v>
      </c>
      <c r="K8">
        <v>2</v>
      </c>
      <c r="L8">
        <v>148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4" t="s">
        <v>1885</v>
      </c>
      <c r="B1" t="s">
        <v>1888</v>
      </c>
    </row>
    <row r="2" spans="1:18" x14ac:dyDescent="0.35">
      <c r="A2" s="24" t="s">
        <v>246</v>
      </c>
      <c r="B2" t="s">
        <v>1888</v>
      </c>
    </row>
    <row r="3" spans="1:18" x14ac:dyDescent="0.35">
      <c r="A3" s="37" t="s">
        <v>231</v>
      </c>
      <c r="B3" t="s">
        <v>1650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1647</v>
      </c>
      <c r="B5" s="37" t="s">
        <v>1648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18" x14ac:dyDescent="0.35">
      <c r="A7" t="s">
        <v>3699</v>
      </c>
      <c r="B7">
        <v>1</v>
      </c>
      <c r="C7">
        <v>1</v>
      </c>
      <c r="D7">
        <v>1</v>
      </c>
      <c r="E7">
        <v>5</v>
      </c>
      <c r="F7">
        <v>9</v>
      </c>
      <c r="G7">
        <v>23</v>
      </c>
      <c r="H7">
        <v>15</v>
      </c>
      <c r="I7">
        <v>17</v>
      </c>
      <c r="J7">
        <v>16</v>
      </c>
      <c r="K7">
        <v>3</v>
      </c>
      <c r="L7">
        <v>2</v>
      </c>
      <c r="M7">
        <v>93</v>
      </c>
    </row>
    <row r="8" spans="1:18" x14ac:dyDescent="0.35">
      <c r="A8" t="s">
        <v>1889</v>
      </c>
      <c r="B8">
        <v>1</v>
      </c>
      <c r="C8">
        <v>1</v>
      </c>
      <c r="D8">
        <v>1</v>
      </c>
      <c r="E8">
        <v>5</v>
      </c>
      <c r="F8">
        <v>9</v>
      </c>
      <c r="G8">
        <v>23</v>
      </c>
      <c r="H8">
        <v>15</v>
      </c>
      <c r="I8">
        <v>17</v>
      </c>
      <c r="J8">
        <v>16</v>
      </c>
      <c r="K8">
        <v>3</v>
      </c>
      <c r="L8">
        <v>2</v>
      </c>
      <c r="M8">
        <v>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P16" sqref="P16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22.54296875" bestFit="1" customWidth="1"/>
  </cols>
  <sheetData>
    <row r="1" spans="1:17" x14ac:dyDescent="0.35">
      <c r="A1" t="s">
        <v>242</v>
      </c>
      <c r="C1" t="s">
        <v>243</v>
      </c>
      <c r="E1" s="9" t="s">
        <v>294</v>
      </c>
      <c r="G1" s="9" t="s">
        <v>295</v>
      </c>
      <c r="I1" t="s">
        <v>3</v>
      </c>
      <c r="K1" t="s">
        <v>293</v>
      </c>
      <c r="M1" s="14" t="s">
        <v>1025</v>
      </c>
      <c r="N1" s="14" t="s">
        <v>1026</v>
      </c>
      <c r="O1" s="15" t="s">
        <v>1669</v>
      </c>
      <c r="Q1" s="1" t="s">
        <v>1</v>
      </c>
    </row>
    <row r="2" spans="1:17" x14ac:dyDescent="0.35">
      <c r="A2" t="s">
        <v>233</v>
      </c>
      <c r="C2" t="s">
        <v>244</v>
      </c>
      <c r="E2" t="s">
        <v>320</v>
      </c>
      <c r="G2" t="s">
        <v>321</v>
      </c>
      <c r="I2" t="s">
        <v>18</v>
      </c>
      <c r="K2" s="12" t="s">
        <v>254</v>
      </c>
      <c r="M2" s="15" t="s">
        <v>779</v>
      </c>
      <c r="N2" s="15" t="s">
        <v>531</v>
      </c>
      <c r="O2" s="15">
        <f>COUNTIF(COUNTRIES[COUNTRY_LABEL],COUNTRIES[[#This Row],[COUNTRY_LABEL]])</f>
        <v>1</v>
      </c>
      <c r="Q2" t="s">
        <v>25</v>
      </c>
    </row>
    <row r="3" spans="1:17" x14ac:dyDescent="0.35">
      <c r="A3" t="s">
        <v>240</v>
      </c>
      <c r="C3" t="s">
        <v>245</v>
      </c>
      <c r="E3" t="s">
        <v>304</v>
      </c>
      <c r="G3" t="s">
        <v>305</v>
      </c>
      <c r="I3" t="s">
        <v>20</v>
      </c>
      <c r="K3" s="12" t="s">
        <v>256</v>
      </c>
      <c r="M3" s="15" t="s">
        <v>791</v>
      </c>
      <c r="N3" s="15" t="s">
        <v>543</v>
      </c>
      <c r="O3" s="15">
        <f>COUNTIF(COUNTRIES[COUNTRY_LABEL],COUNTRIES[[#This Row],[COUNTRY_LABEL]])</f>
        <v>1</v>
      </c>
      <c r="Q3" t="s">
        <v>3672</v>
      </c>
    </row>
    <row r="4" spans="1:17" x14ac:dyDescent="0.35">
      <c r="A4" t="s">
        <v>239</v>
      </c>
      <c r="E4" t="s">
        <v>298</v>
      </c>
      <c r="G4" t="s">
        <v>299</v>
      </c>
      <c r="I4" t="s">
        <v>21</v>
      </c>
      <c r="K4" s="12" t="s">
        <v>257</v>
      </c>
      <c r="M4" s="15" t="s">
        <v>782</v>
      </c>
      <c r="N4" s="15" t="s">
        <v>534</v>
      </c>
      <c r="O4" s="15">
        <f>COUNTIF(COUNTRIES[COUNTRY_LABEL],COUNTRIES[[#This Row],[COUNTRY_LABEL]])</f>
        <v>1</v>
      </c>
      <c r="Q4" t="s">
        <v>3671</v>
      </c>
    </row>
    <row r="5" spans="1:17" x14ac:dyDescent="0.35">
      <c r="A5" t="s">
        <v>241</v>
      </c>
      <c r="E5" t="s">
        <v>310</v>
      </c>
      <c r="G5" t="s">
        <v>311</v>
      </c>
      <c r="I5" t="s">
        <v>16</v>
      </c>
      <c r="K5" s="12" t="s">
        <v>259</v>
      </c>
      <c r="M5" s="15" t="s">
        <v>838</v>
      </c>
      <c r="N5" s="15" t="s">
        <v>589</v>
      </c>
      <c r="O5" s="15">
        <f>COUNTIF(COUNTRIES[COUNTRY_LABEL],COUNTRIES[[#This Row],[COUNTRY_LABEL]])</f>
        <v>1</v>
      </c>
      <c r="Q5" t="s">
        <v>26</v>
      </c>
    </row>
    <row r="6" spans="1:17" x14ac:dyDescent="0.35">
      <c r="A6" t="s">
        <v>1947</v>
      </c>
      <c r="E6" t="s">
        <v>308</v>
      </c>
      <c r="G6" t="s">
        <v>309</v>
      </c>
      <c r="K6" s="12" t="s">
        <v>261</v>
      </c>
      <c r="M6" s="15" t="s">
        <v>787</v>
      </c>
      <c r="N6" s="15" t="s">
        <v>539</v>
      </c>
      <c r="O6" s="15">
        <f>COUNTIF(COUNTRIES[COUNTRY_LABEL],COUNTRIES[[#This Row],[COUNTRY_LABEL]])</f>
        <v>1</v>
      </c>
      <c r="Q6" t="s">
        <v>27</v>
      </c>
    </row>
    <row r="7" spans="1:17" x14ac:dyDescent="0.35">
      <c r="A7" t="s">
        <v>238</v>
      </c>
      <c r="E7" t="s">
        <v>300</v>
      </c>
      <c r="G7" t="s">
        <v>301</v>
      </c>
      <c r="K7" s="12" t="s">
        <v>263</v>
      </c>
      <c r="M7" s="15" t="s">
        <v>777</v>
      </c>
      <c r="N7" s="15" t="s">
        <v>529</v>
      </c>
      <c r="O7" s="15">
        <f>COUNTIF(COUNTRIES[COUNTRY_LABEL],COUNTRIES[[#This Row],[COUNTRY_LABEL]])</f>
        <v>1</v>
      </c>
      <c r="Q7" t="s">
        <v>24</v>
      </c>
    </row>
    <row r="8" spans="1:17" x14ac:dyDescent="0.35">
      <c r="A8" t="s">
        <v>1948</v>
      </c>
      <c r="E8" t="s">
        <v>312</v>
      </c>
      <c r="G8" t="s">
        <v>313</v>
      </c>
      <c r="K8" s="13" t="s">
        <v>265</v>
      </c>
      <c r="M8" s="15" t="s">
        <v>784</v>
      </c>
      <c r="N8" s="15" t="s">
        <v>536</v>
      </c>
      <c r="O8" s="15">
        <f>COUNTIF(COUNTRIES[COUNTRY_LABEL],COUNTRIES[[#This Row],[COUNTRY_LABEL]])</f>
        <v>1</v>
      </c>
      <c r="Q8" t="s">
        <v>28</v>
      </c>
    </row>
    <row r="9" spans="1:17" x14ac:dyDescent="0.35">
      <c r="A9" t="s">
        <v>1949</v>
      </c>
      <c r="E9" t="s">
        <v>1824</v>
      </c>
      <c r="G9" t="s">
        <v>1825</v>
      </c>
      <c r="K9" s="13" t="s">
        <v>267</v>
      </c>
      <c r="M9" s="15" t="s">
        <v>781</v>
      </c>
      <c r="N9" s="15" t="s">
        <v>533</v>
      </c>
      <c r="O9" s="15">
        <f>COUNTIF(COUNTRIES[COUNTRY_LABEL],COUNTRIES[[#This Row],[COUNTRY_LABEL]])</f>
        <v>1</v>
      </c>
      <c r="Q9" t="s">
        <v>29</v>
      </c>
    </row>
    <row r="10" spans="1:17" x14ac:dyDescent="0.35">
      <c r="A10" t="s">
        <v>236</v>
      </c>
      <c r="E10" t="s">
        <v>316</v>
      </c>
      <c r="G10" t="s">
        <v>317</v>
      </c>
      <c r="K10" s="13" t="s">
        <v>269</v>
      </c>
      <c r="M10" s="15" t="s">
        <v>785</v>
      </c>
      <c r="N10" s="15" t="s">
        <v>537</v>
      </c>
      <c r="O10" s="15">
        <f>COUNTIF(COUNTRIES[COUNTRY_LABEL],COUNTRIES[[#This Row],[COUNTRY_LABEL]])</f>
        <v>1</v>
      </c>
      <c r="Q10" t="s">
        <v>30</v>
      </c>
    </row>
    <row r="11" spans="1:17" x14ac:dyDescent="0.35">
      <c r="A11" t="s">
        <v>229</v>
      </c>
      <c r="E11" t="s">
        <v>1705</v>
      </c>
      <c r="G11" t="s">
        <v>1706</v>
      </c>
      <c r="K11" s="13" t="s">
        <v>1827</v>
      </c>
      <c r="M11" s="15" t="s">
        <v>780</v>
      </c>
      <c r="N11" s="15" t="s">
        <v>532</v>
      </c>
      <c r="O11" s="15">
        <f>COUNTIF(COUNTRIES[COUNTRY_LABEL],COUNTRIES[[#This Row],[COUNTRY_LABEL]])</f>
        <v>1</v>
      </c>
      <c r="Q11" t="s">
        <v>19</v>
      </c>
    </row>
    <row r="12" spans="1:17" x14ac:dyDescent="0.35">
      <c r="A12" t="s">
        <v>1946</v>
      </c>
      <c r="E12" t="s">
        <v>306</v>
      </c>
      <c r="G12" t="s">
        <v>307</v>
      </c>
      <c r="K12" s="12" t="s">
        <v>272</v>
      </c>
      <c r="M12" s="15" t="s">
        <v>786</v>
      </c>
      <c r="N12" s="15" t="s">
        <v>538</v>
      </c>
      <c r="O12" s="15">
        <f>COUNTIF(COUNTRIES[COUNTRY_LABEL],COUNTRIES[[#This Row],[COUNTRY_LABEL]])</f>
        <v>1</v>
      </c>
      <c r="Q12" t="s">
        <v>31</v>
      </c>
    </row>
    <row r="13" spans="1:17" x14ac:dyDescent="0.35">
      <c r="A13" t="s">
        <v>235</v>
      </c>
      <c r="E13" t="s">
        <v>314</v>
      </c>
      <c r="G13" t="s">
        <v>315</v>
      </c>
      <c r="K13" s="12" t="s">
        <v>274</v>
      </c>
      <c r="M13" s="15" t="s">
        <v>783</v>
      </c>
      <c r="N13" s="15" t="s">
        <v>535</v>
      </c>
      <c r="O13" s="15">
        <f>COUNTIF(COUNTRIES[COUNTRY_LABEL],COUNTRIES[[#This Row],[COUNTRY_LABEL]])</f>
        <v>1</v>
      </c>
      <c r="Q13" t="s">
        <v>32</v>
      </c>
    </row>
    <row r="14" spans="1:17" x14ac:dyDescent="0.35">
      <c r="A14" t="s">
        <v>1950</v>
      </c>
      <c r="E14" t="s">
        <v>302</v>
      </c>
      <c r="G14" t="s">
        <v>303</v>
      </c>
      <c r="K14" s="13" t="s">
        <v>285</v>
      </c>
      <c r="M14" s="15" t="s">
        <v>790</v>
      </c>
      <c r="N14" s="15" t="s">
        <v>542</v>
      </c>
      <c r="O14" s="15">
        <f>COUNTIF(COUNTRIES[COUNTRY_LABEL],COUNTRIES[[#This Row],[COUNTRY_LABEL]])</f>
        <v>1</v>
      </c>
      <c r="Q14" t="s">
        <v>3667</v>
      </c>
    </row>
    <row r="15" spans="1:17" x14ac:dyDescent="0.35">
      <c r="A15" t="s">
        <v>234</v>
      </c>
      <c r="E15" t="s">
        <v>296</v>
      </c>
      <c r="G15" t="s">
        <v>297</v>
      </c>
      <c r="K15" s="12" t="s">
        <v>286</v>
      </c>
      <c r="M15" s="15" t="s">
        <v>789</v>
      </c>
      <c r="N15" s="15" t="s">
        <v>541</v>
      </c>
      <c r="O15" s="15">
        <f>COUNTIF(COUNTRIES[COUNTRY_LABEL],COUNTRIES[[#This Row],[COUNTRY_LABEL]])</f>
        <v>1</v>
      </c>
      <c r="Q15" t="s">
        <v>3668</v>
      </c>
    </row>
    <row r="16" spans="1:17" x14ac:dyDescent="0.35">
      <c r="A16" t="s">
        <v>232</v>
      </c>
      <c r="E16" t="s">
        <v>318</v>
      </c>
      <c r="G16" t="s">
        <v>319</v>
      </c>
      <c r="K16" s="12" t="s">
        <v>287</v>
      </c>
      <c r="M16" s="15" t="s">
        <v>788</v>
      </c>
      <c r="N16" s="15" t="s">
        <v>540</v>
      </c>
      <c r="O16" s="15">
        <f>COUNTIF(COUNTRIES[COUNTRY_LABEL],COUNTRIES[[#This Row],[COUNTRY_LABEL]])</f>
        <v>1</v>
      </c>
      <c r="Q16" t="s">
        <v>1723</v>
      </c>
    </row>
    <row r="17" spans="1:17" x14ac:dyDescent="0.35">
      <c r="A17" t="s">
        <v>1945</v>
      </c>
      <c r="K17" s="13" t="s">
        <v>288</v>
      </c>
      <c r="M17" s="15" t="s">
        <v>792</v>
      </c>
      <c r="N17" s="15" t="s">
        <v>544</v>
      </c>
      <c r="O17" s="15">
        <f>COUNTIF(COUNTRIES[COUNTRY_LABEL],COUNTRIES[[#This Row],[COUNTRY_LABEL]])</f>
        <v>1</v>
      </c>
      <c r="Q17" t="s">
        <v>36</v>
      </c>
    </row>
    <row r="18" spans="1:17" x14ac:dyDescent="0.35">
      <c r="A18" t="s">
        <v>1951</v>
      </c>
      <c r="K18" s="13" t="s">
        <v>279</v>
      </c>
      <c r="M18" s="15" t="s">
        <v>808</v>
      </c>
      <c r="N18" s="15" t="s">
        <v>559</v>
      </c>
      <c r="O18" s="15">
        <f>COUNTIF(COUNTRIES[COUNTRY_LABEL],COUNTRIES[[#This Row],[COUNTRY_LABEL]])</f>
        <v>1</v>
      </c>
      <c r="Q18" t="s">
        <v>17</v>
      </c>
    </row>
    <row r="19" spans="1:17" x14ac:dyDescent="0.35">
      <c r="A19" t="s">
        <v>237</v>
      </c>
      <c r="K19" s="13" t="s">
        <v>280</v>
      </c>
      <c r="M19" s="15" t="s">
        <v>799</v>
      </c>
      <c r="N19" s="15" t="s">
        <v>551</v>
      </c>
      <c r="O19" s="15">
        <f>COUNTIF(COUNTRIES[COUNTRY_LABEL],COUNTRIES[[#This Row],[COUNTRY_LABEL]])</f>
        <v>1</v>
      </c>
      <c r="Q19" t="s">
        <v>3665</v>
      </c>
    </row>
    <row r="20" spans="1:17" x14ac:dyDescent="0.35">
      <c r="A20" t="s">
        <v>231</v>
      </c>
      <c r="K20" s="13" t="s">
        <v>1708</v>
      </c>
      <c r="M20" s="15" t="s">
        <v>795</v>
      </c>
      <c r="N20" s="15" t="s">
        <v>547</v>
      </c>
      <c r="O20" s="15">
        <f>COUNTIF(COUNTRIES[COUNTRY_LABEL],COUNTRIES[[#This Row],[COUNTRY_LABEL]])</f>
        <v>1</v>
      </c>
      <c r="Q20" t="s">
        <v>3666</v>
      </c>
    </row>
    <row r="21" spans="1:17" x14ac:dyDescent="0.35">
      <c r="A21" t="s">
        <v>230</v>
      </c>
      <c r="K21" s="13" t="s">
        <v>281</v>
      </c>
      <c r="M21" s="15" t="s">
        <v>794</v>
      </c>
      <c r="N21" s="15" t="s">
        <v>546</v>
      </c>
      <c r="O21" s="15">
        <f>COUNTIF(COUNTRIES[COUNTRY_LABEL],COUNTRIES[[#This Row],[COUNTRY_LABEL]])</f>
        <v>1</v>
      </c>
      <c r="Q21" t="s">
        <v>15</v>
      </c>
    </row>
    <row r="22" spans="1:17" x14ac:dyDescent="0.35">
      <c r="K22" s="13" t="s">
        <v>283</v>
      </c>
      <c r="M22" s="15" t="s">
        <v>812</v>
      </c>
      <c r="N22" s="15" t="s">
        <v>563</v>
      </c>
      <c r="O22" s="15">
        <f>COUNTIF(COUNTRIES[COUNTRY_LABEL],COUNTRIES[[#This Row],[COUNTRY_LABEL]])</f>
        <v>1</v>
      </c>
      <c r="Q22" t="s">
        <v>22</v>
      </c>
    </row>
    <row r="23" spans="1:17" x14ac:dyDescent="0.35">
      <c r="K23" s="13" t="s">
        <v>276</v>
      </c>
      <c r="M23" s="15" t="s">
        <v>796</v>
      </c>
      <c r="N23" s="15" t="s">
        <v>548</v>
      </c>
      <c r="O23" s="15">
        <f>COUNTIF(COUNTRIES[COUNTRY_LABEL],COUNTRIES[[#This Row],[COUNTRY_LABEL]])</f>
        <v>1</v>
      </c>
      <c r="Q23" t="s">
        <v>33</v>
      </c>
    </row>
    <row r="24" spans="1:17" x14ac:dyDescent="0.35">
      <c r="K24" s="13" t="s">
        <v>1522</v>
      </c>
      <c r="M24" s="15" t="s">
        <v>813</v>
      </c>
      <c r="N24" s="15" t="s">
        <v>564</v>
      </c>
      <c r="O24" s="15">
        <f>COUNTIF(COUNTRIES[COUNTRY_LABEL],COUNTRIES[[#This Row],[COUNTRY_LABEL]])</f>
        <v>1</v>
      </c>
      <c r="Q24" t="s">
        <v>3669</v>
      </c>
    </row>
    <row r="25" spans="1:17" x14ac:dyDescent="0.35">
      <c r="M25" s="15" t="s">
        <v>801</v>
      </c>
      <c r="N25" s="15" t="s">
        <v>553</v>
      </c>
      <c r="O25" s="15">
        <f>COUNTIF(COUNTRIES[COUNTRY_LABEL],COUNTRIES[[#This Row],[COUNTRY_LABEL]])</f>
        <v>1</v>
      </c>
      <c r="Q25" t="s">
        <v>3670</v>
      </c>
    </row>
    <row r="26" spans="1:17" x14ac:dyDescent="0.35">
      <c r="M26" s="15" t="s">
        <v>803</v>
      </c>
      <c r="N26" s="15" t="s">
        <v>554</v>
      </c>
      <c r="O26" s="15">
        <f>COUNTIF(COUNTRIES[COUNTRY_LABEL],COUNTRIES[[#This Row],[COUNTRY_LABEL]])</f>
        <v>1</v>
      </c>
      <c r="Q26" t="s">
        <v>34</v>
      </c>
    </row>
    <row r="27" spans="1:17" x14ac:dyDescent="0.35">
      <c r="M27" s="15" t="s">
        <v>809</v>
      </c>
      <c r="N27" s="15" t="s">
        <v>560</v>
      </c>
      <c r="O27" s="15">
        <f>COUNTIF(COUNTRIES[COUNTRY_LABEL],COUNTRIES[[#This Row],[COUNTRY_LABEL]])</f>
        <v>1</v>
      </c>
      <c r="Q27" t="s">
        <v>35</v>
      </c>
    </row>
    <row r="28" spans="1:17" x14ac:dyDescent="0.35">
      <c r="M28" s="15" t="s">
        <v>805</v>
      </c>
      <c r="N28" s="15" t="s">
        <v>556</v>
      </c>
      <c r="O28" s="15">
        <f>COUNTIF(COUNTRIES[COUNTRY_LABEL],COUNTRIES[[#This Row],[COUNTRY_LABEL]])</f>
        <v>1</v>
      </c>
    </row>
    <row r="29" spans="1:17" x14ac:dyDescent="0.35">
      <c r="M29" s="15" t="s">
        <v>793</v>
      </c>
      <c r="N29" s="15" t="s">
        <v>545</v>
      </c>
      <c r="O29" s="15">
        <f>COUNTIF(COUNTRIES[COUNTRY_LABEL],COUNTRIES[[#This Row],[COUNTRY_LABEL]])</f>
        <v>1</v>
      </c>
    </row>
    <row r="30" spans="1:17" x14ac:dyDescent="0.35">
      <c r="M30" s="15" t="s">
        <v>811</v>
      </c>
      <c r="N30" s="15" t="s">
        <v>562</v>
      </c>
      <c r="O30" s="15">
        <f>COUNTIF(COUNTRIES[COUNTRY_LABEL],COUNTRIES[[#This Row],[COUNTRY_LABEL]])</f>
        <v>1</v>
      </c>
    </row>
    <row r="31" spans="1:17" x14ac:dyDescent="0.35">
      <c r="M31" s="15" t="s">
        <v>810</v>
      </c>
      <c r="N31" s="15" t="s">
        <v>561</v>
      </c>
      <c r="O31" s="15">
        <f>COUNTIF(COUNTRIES[COUNTRY_LABEL],COUNTRIES[[#This Row],[COUNTRY_LABEL]])</f>
        <v>1</v>
      </c>
    </row>
    <row r="32" spans="1:17" x14ac:dyDescent="0.35">
      <c r="M32" s="15" t="s">
        <v>807</v>
      </c>
      <c r="N32" s="15" t="s">
        <v>558</v>
      </c>
      <c r="O32" s="15">
        <f>COUNTIF(COUNTRIES[COUNTRY_LABEL],COUNTRIES[[#This Row],[COUNTRY_LABEL]])</f>
        <v>1</v>
      </c>
    </row>
    <row r="33" spans="13:15" x14ac:dyDescent="0.35">
      <c r="M33" s="15" t="s">
        <v>882</v>
      </c>
      <c r="N33" s="15" t="s">
        <v>632</v>
      </c>
      <c r="O33" s="15">
        <f>COUNTIF(COUNTRIES[COUNTRY_LABEL],COUNTRIES[[#This Row],[COUNTRY_LABEL]])</f>
        <v>1</v>
      </c>
    </row>
    <row r="34" spans="13:15" x14ac:dyDescent="0.35">
      <c r="M34" s="15" t="s">
        <v>804</v>
      </c>
      <c r="N34" s="15" t="s">
        <v>555</v>
      </c>
      <c r="O34" s="15">
        <f>COUNTIF(COUNTRIES[COUNTRY_LABEL],COUNTRIES[[#This Row],[COUNTRY_LABEL]])</f>
        <v>1</v>
      </c>
    </row>
    <row r="35" spans="13:15" x14ac:dyDescent="0.35">
      <c r="M35" s="15" t="s">
        <v>798</v>
      </c>
      <c r="N35" s="15" t="s">
        <v>550</v>
      </c>
      <c r="O35" s="15">
        <f>COUNTIF(COUNTRIES[COUNTRY_LABEL],COUNTRIES[[#This Row],[COUNTRY_LABEL]])</f>
        <v>1</v>
      </c>
    </row>
    <row r="36" spans="13:15" x14ac:dyDescent="0.35">
      <c r="M36" s="15" t="s">
        <v>797</v>
      </c>
      <c r="N36" s="15" t="s">
        <v>549</v>
      </c>
      <c r="O36" s="15">
        <f>COUNTIF(COUNTRIES[COUNTRY_LABEL],COUNTRIES[[#This Row],[COUNTRY_LABEL]])</f>
        <v>1</v>
      </c>
    </row>
    <row r="37" spans="13:15" x14ac:dyDescent="0.35">
      <c r="M37" s="15" t="s">
        <v>800</v>
      </c>
      <c r="N37" s="15" t="s">
        <v>552</v>
      </c>
      <c r="O37" s="15">
        <f>COUNTIF(COUNTRIES[COUNTRY_LABEL],COUNTRIES[[#This Row],[COUNTRY_LABEL]])</f>
        <v>1</v>
      </c>
    </row>
    <row r="38" spans="13:15" x14ac:dyDescent="0.35">
      <c r="M38" s="15" t="s">
        <v>893</v>
      </c>
      <c r="N38" s="15" t="s">
        <v>643</v>
      </c>
      <c r="O38" s="15">
        <f>COUNTIF(COUNTRIES[COUNTRY_LABEL],COUNTRIES[[#This Row],[COUNTRY_LABEL]])</f>
        <v>1</v>
      </c>
    </row>
    <row r="39" spans="13:15" x14ac:dyDescent="0.35">
      <c r="M39" s="15" t="s">
        <v>823</v>
      </c>
      <c r="N39" s="15" t="s">
        <v>574</v>
      </c>
      <c r="O39" s="15">
        <f>COUNTIF(COUNTRIES[COUNTRY_LABEL],COUNTRIES[[#This Row],[COUNTRY_LABEL]])</f>
        <v>1</v>
      </c>
    </row>
    <row r="40" spans="13:15" x14ac:dyDescent="0.35">
      <c r="M40" s="15" t="s">
        <v>814</v>
      </c>
      <c r="N40" s="15" t="s">
        <v>565</v>
      </c>
      <c r="O40" s="15">
        <f>COUNTIF(COUNTRIES[COUNTRY_LABEL],COUNTRIES[[#This Row],[COUNTRY_LABEL]])</f>
        <v>1</v>
      </c>
    </row>
    <row r="41" spans="13:15" x14ac:dyDescent="0.35">
      <c r="M41" s="15" t="s">
        <v>828</v>
      </c>
      <c r="N41" s="15" t="s">
        <v>579</v>
      </c>
      <c r="O41" s="15">
        <f>COUNTIF(COUNTRIES[COUNTRY_LABEL],COUNTRIES[[#This Row],[COUNTRY_LABEL]])</f>
        <v>1</v>
      </c>
    </row>
    <row r="42" spans="13:15" x14ac:dyDescent="0.35">
      <c r="M42" s="15" t="s">
        <v>806</v>
      </c>
      <c r="N42" s="15" t="s">
        <v>557</v>
      </c>
      <c r="O42" s="15">
        <f>COUNTIF(COUNTRIES[COUNTRY_LABEL],COUNTRIES[[#This Row],[COUNTRY_LABEL]])</f>
        <v>1</v>
      </c>
    </row>
    <row r="43" spans="13:15" x14ac:dyDescent="0.35">
      <c r="M43" s="15" t="s">
        <v>900</v>
      </c>
      <c r="N43" s="15" t="s">
        <v>650</v>
      </c>
      <c r="O43" s="15">
        <f>COUNTIF(COUNTRIES[COUNTRY_LABEL],COUNTRIES[[#This Row],[COUNTRY_LABEL]])</f>
        <v>1</v>
      </c>
    </row>
    <row r="44" spans="13:15" x14ac:dyDescent="0.35">
      <c r="M44" s="15" t="s">
        <v>817</v>
      </c>
      <c r="N44" s="15" t="s">
        <v>568</v>
      </c>
      <c r="O44" s="15">
        <f>COUNTIF(COUNTRIES[COUNTRY_LABEL],COUNTRIES[[#This Row],[COUNTRY_LABEL]])</f>
        <v>1</v>
      </c>
    </row>
    <row r="45" spans="13:15" x14ac:dyDescent="0.35">
      <c r="M45" s="15" t="s">
        <v>990</v>
      </c>
      <c r="N45" s="15" t="s">
        <v>740</v>
      </c>
      <c r="O45" s="15">
        <f>COUNTIF(COUNTRIES[COUNTRY_LABEL],COUNTRIES[[#This Row],[COUNTRY_LABEL]])</f>
        <v>1</v>
      </c>
    </row>
    <row r="46" spans="13:15" x14ac:dyDescent="0.35">
      <c r="M46" s="15" t="s">
        <v>822</v>
      </c>
      <c r="N46" s="15" t="s">
        <v>573</v>
      </c>
      <c r="O46" s="15">
        <f>COUNTIF(COUNTRIES[COUNTRY_LABEL],COUNTRIES[[#This Row],[COUNTRY_LABEL]])</f>
        <v>1</v>
      </c>
    </row>
    <row r="47" spans="13:15" x14ac:dyDescent="0.35">
      <c r="M47" s="15" t="s">
        <v>824</v>
      </c>
      <c r="N47" s="15" t="s">
        <v>575</v>
      </c>
      <c r="O47" s="15">
        <f>COUNTIF(COUNTRIES[COUNTRY_LABEL],COUNTRIES[[#This Row],[COUNTRY_LABEL]])</f>
        <v>1</v>
      </c>
    </row>
    <row r="48" spans="13:15" x14ac:dyDescent="0.35">
      <c r="M48" s="15" t="s">
        <v>830</v>
      </c>
      <c r="N48" s="15" t="s">
        <v>581</v>
      </c>
      <c r="O48" s="15">
        <f>COUNTIF(COUNTRIES[COUNTRY_LABEL],COUNTRIES[[#This Row],[COUNTRY_LABEL]])</f>
        <v>1</v>
      </c>
    </row>
    <row r="49" spans="13:15" x14ac:dyDescent="0.35">
      <c r="M49" s="15" t="s">
        <v>815</v>
      </c>
      <c r="N49" s="15" t="s">
        <v>566</v>
      </c>
      <c r="O49" s="15">
        <f>COUNTIF(COUNTRIES[COUNTRY_LABEL],COUNTRIES[[#This Row],[COUNTRY_LABEL]])</f>
        <v>1</v>
      </c>
    </row>
    <row r="50" spans="13:15" x14ac:dyDescent="0.35">
      <c r="M50" s="15" t="s">
        <v>825</v>
      </c>
      <c r="N50" s="15" t="s">
        <v>576</v>
      </c>
      <c r="O50" s="15">
        <f>COUNTIF(COUNTRIES[COUNTRY_LABEL],COUNTRIES[[#This Row],[COUNTRY_LABEL]])</f>
        <v>1</v>
      </c>
    </row>
    <row r="51" spans="13:15" x14ac:dyDescent="0.35">
      <c r="M51" s="15" t="s">
        <v>895</v>
      </c>
      <c r="N51" s="15" t="s">
        <v>645</v>
      </c>
      <c r="O51" s="15">
        <f>COUNTIF(COUNTRIES[COUNTRY_LABEL],COUNTRIES[[#This Row],[COUNTRY_LABEL]])</f>
        <v>1</v>
      </c>
    </row>
    <row r="52" spans="13:15" x14ac:dyDescent="0.35">
      <c r="M52" s="15" t="s">
        <v>821</v>
      </c>
      <c r="N52" s="15" t="s">
        <v>572</v>
      </c>
      <c r="O52" s="15">
        <f>COUNTIF(COUNTRIES[COUNTRY_LABEL],COUNTRIES[[#This Row],[COUNTRY_LABEL]])</f>
        <v>1</v>
      </c>
    </row>
    <row r="53" spans="13:15" x14ac:dyDescent="0.35">
      <c r="M53" s="15" t="s">
        <v>826</v>
      </c>
      <c r="N53" s="15" t="s">
        <v>577</v>
      </c>
      <c r="O53" s="15">
        <f>COUNTIF(COUNTRIES[COUNTRY_LABEL],COUNTRIES[[#This Row],[COUNTRY_LABEL]])</f>
        <v>1</v>
      </c>
    </row>
    <row r="54" spans="13:15" x14ac:dyDescent="0.35">
      <c r="M54" s="15" t="s">
        <v>874</v>
      </c>
      <c r="N54" s="15" t="s">
        <v>624</v>
      </c>
      <c r="O54" s="15">
        <f>COUNTIF(COUNTRIES[COUNTRY_LABEL],COUNTRIES[[#This Row],[COUNTRY_LABEL]])</f>
        <v>1</v>
      </c>
    </row>
    <row r="55" spans="13:15" x14ac:dyDescent="0.35">
      <c r="M55" s="15" t="s">
        <v>827</v>
      </c>
      <c r="N55" s="15" t="s">
        <v>578</v>
      </c>
      <c r="O55" s="15">
        <f>COUNTIF(COUNTRIES[COUNTRY_LABEL],COUNTRIES[[#This Row],[COUNTRY_LABEL]])</f>
        <v>1</v>
      </c>
    </row>
    <row r="56" spans="13:15" x14ac:dyDescent="0.35">
      <c r="M56" s="15" t="s">
        <v>829</v>
      </c>
      <c r="N56" s="15" t="s">
        <v>580</v>
      </c>
      <c r="O56" s="15">
        <f>COUNTIF(COUNTRIES[COUNTRY_LABEL],COUNTRIES[[#This Row],[COUNTRY_LABEL]])</f>
        <v>1</v>
      </c>
    </row>
    <row r="57" spans="13:15" x14ac:dyDescent="0.35">
      <c r="M57" s="15" t="s">
        <v>831</v>
      </c>
      <c r="N57" s="15" t="s">
        <v>582</v>
      </c>
      <c r="O57" s="15">
        <f>COUNTIF(COUNTRIES[COUNTRY_LABEL],COUNTRIES[[#This Row],[COUNTRY_LABEL]])</f>
        <v>1</v>
      </c>
    </row>
    <row r="58" spans="13:15" x14ac:dyDescent="0.35">
      <c r="M58" s="15" t="s">
        <v>832</v>
      </c>
      <c r="N58" s="15" t="s">
        <v>583</v>
      </c>
      <c r="O58" s="15">
        <f>COUNTIF(COUNTRIES[COUNTRY_LABEL],COUNTRIES[[#This Row],[COUNTRY_LABEL]])</f>
        <v>1</v>
      </c>
    </row>
    <row r="59" spans="13:15" x14ac:dyDescent="0.35">
      <c r="M59" s="15" t="s">
        <v>816</v>
      </c>
      <c r="N59" s="15" t="s">
        <v>567</v>
      </c>
      <c r="O59" s="15">
        <f>COUNTIF(COUNTRIES[COUNTRY_LABEL],COUNTRIES[[#This Row],[COUNTRY_LABEL]])</f>
        <v>1</v>
      </c>
    </row>
    <row r="60" spans="13:15" x14ac:dyDescent="0.35">
      <c r="M60" s="15" t="s">
        <v>835</v>
      </c>
      <c r="N60" s="15" t="s">
        <v>586</v>
      </c>
      <c r="O60" s="15">
        <f>COUNTIF(COUNTRIES[COUNTRY_LABEL],COUNTRIES[[#This Row],[COUNTRY_LABEL]])</f>
        <v>1</v>
      </c>
    </row>
    <row r="61" spans="13:15" x14ac:dyDescent="0.35">
      <c r="M61" s="15" t="s">
        <v>834</v>
      </c>
      <c r="N61" s="15" t="s">
        <v>585</v>
      </c>
      <c r="O61" s="15">
        <f>COUNTIF(COUNTRIES[COUNTRY_LABEL],COUNTRIES[[#This Row],[COUNTRY_LABEL]])</f>
        <v>1</v>
      </c>
    </row>
    <row r="62" spans="13:15" x14ac:dyDescent="0.35">
      <c r="M62" s="15" t="s">
        <v>836</v>
      </c>
      <c r="N62" s="15" t="s">
        <v>587</v>
      </c>
      <c r="O62" s="15">
        <f>COUNTIF(COUNTRIES[COUNTRY_LABEL],COUNTRIES[[#This Row],[COUNTRY_LABEL]])</f>
        <v>1</v>
      </c>
    </row>
    <row r="63" spans="13:15" x14ac:dyDescent="0.35">
      <c r="M63" s="15" t="s">
        <v>837</v>
      </c>
      <c r="N63" s="15" t="s">
        <v>588</v>
      </c>
      <c r="O63" s="15">
        <f>COUNTIF(COUNTRIES[COUNTRY_LABEL],COUNTRIES[[#This Row],[COUNTRY_LABEL]])</f>
        <v>1</v>
      </c>
    </row>
    <row r="64" spans="13:15" x14ac:dyDescent="0.35">
      <c r="M64" s="15" t="s">
        <v>1034</v>
      </c>
      <c r="N64" s="15" t="s">
        <v>774</v>
      </c>
      <c r="O64" s="15">
        <f>COUNTIF(COUNTRIES[COUNTRY_LABEL],COUNTRIES[[#This Row],[COUNTRY_LABEL]])</f>
        <v>1</v>
      </c>
    </row>
    <row r="65" spans="13:15" x14ac:dyDescent="0.35">
      <c r="M65" s="15" t="s">
        <v>839</v>
      </c>
      <c r="N65" s="15" t="s">
        <v>590</v>
      </c>
      <c r="O65" s="15">
        <f>COUNTIF(COUNTRIES[COUNTRY_LABEL],COUNTRIES[[#This Row],[COUNTRY_LABEL]])</f>
        <v>1</v>
      </c>
    </row>
    <row r="66" spans="13:15" x14ac:dyDescent="0.35">
      <c r="M66" s="15" t="s">
        <v>841</v>
      </c>
      <c r="N66" s="15" t="s">
        <v>592</v>
      </c>
      <c r="O66" s="15">
        <f>COUNTIF(COUNTRIES[COUNTRY_LABEL],COUNTRIES[[#This Row],[COUNTRY_LABEL]])</f>
        <v>1</v>
      </c>
    </row>
    <row r="67" spans="13:15" x14ac:dyDescent="0.35">
      <c r="M67" s="15" t="s">
        <v>985</v>
      </c>
      <c r="N67" s="15" t="s">
        <v>735</v>
      </c>
      <c r="O67" s="15">
        <f>COUNTIF(COUNTRIES[COUNTRY_LABEL],COUNTRIES[[#This Row],[COUNTRY_LABEL]])</f>
        <v>1</v>
      </c>
    </row>
    <row r="68" spans="13:15" x14ac:dyDescent="0.35">
      <c r="M68" s="15" t="s">
        <v>864</v>
      </c>
      <c r="N68" s="15" t="s">
        <v>614</v>
      </c>
      <c r="O68" s="15">
        <f>COUNTIF(COUNTRIES[COUNTRY_LABEL],COUNTRIES[[#This Row],[COUNTRY_LABEL]])</f>
        <v>1</v>
      </c>
    </row>
    <row r="69" spans="13:15" x14ac:dyDescent="0.35">
      <c r="M69" s="15" t="s">
        <v>843</v>
      </c>
      <c r="N69" s="15" t="s">
        <v>594</v>
      </c>
      <c r="O69" s="15">
        <f>COUNTIF(COUNTRIES[COUNTRY_LABEL],COUNTRIES[[#This Row],[COUNTRY_LABEL]])</f>
        <v>1</v>
      </c>
    </row>
    <row r="70" spans="13:15" x14ac:dyDescent="0.35">
      <c r="M70" s="15" t="s">
        <v>840</v>
      </c>
      <c r="N70" s="15" t="s">
        <v>591</v>
      </c>
      <c r="O70" s="15">
        <f>COUNTIF(COUNTRIES[COUNTRY_LABEL],COUNTRIES[[#This Row],[COUNTRY_LABEL]])</f>
        <v>1</v>
      </c>
    </row>
    <row r="71" spans="13:15" x14ac:dyDescent="0.35">
      <c r="M71" s="15" t="s">
        <v>988</v>
      </c>
      <c r="N71" s="15" t="s">
        <v>738</v>
      </c>
      <c r="O71" s="15">
        <f>COUNTIF(COUNTRIES[COUNTRY_LABEL],COUNTRIES[[#This Row],[COUNTRY_LABEL]])</f>
        <v>1</v>
      </c>
    </row>
    <row r="72" spans="13:15" x14ac:dyDescent="0.35">
      <c r="M72" s="15" t="s">
        <v>845</v>
      </c>
      <c r="N72" s="15" t="s">
        <v>596</v>
      </c>
      <c r="O72" s="15">
        <f>COUNTIF(COUNTRIES[COUNTRY_LABEL],COUNTRIES[[#This Row],[COUNTRY_LABEL]])</f>
        <v>1</v>
      </c>
    </row>
    <row r="73" spans="13:15" x14ac:dyDescent="0.35">
      <c r="M73" s="15" t="s">
        <v>1033</v>
      </c>
      <c r="N73" s="15" t="s">
        <v>775</v>
      </c>
      <c r="O73" s="15">
        <f>COUNTIF(COUNTRIES[COUNTRY_LABEL],COUNTRIES[[#This Row],[COUNTRY_LABEL]])</f>
        <v>1</v>
      </c>
    </row>
    <row r="74" spans="13:15" x14ac:dyDescent="0.35">
      <c r="M74" s="15" t="s">
        <v>848</v>
      </c>
      <c r="N74" s="15" t="s">
        <v>599</v>
      </c>
      <c r="O74" s="15">
        <f>COUNTIF(COUNTRIES[COUNTRY_LABEL],COUNTRIES[[#This Row],[COUNTRY_LABEL]])</f>
        <v>1</v>
      </c>
    </row>
    <row r="75" spans="13:15" x14ac:dyDescent="0.35">
      <c r="M75" s="15" t="s">
        <v>850</v>
      </c>
      <c r="N75" s="15" t="s">
        <v>601</v>
      </c>
      <c r="O75" s="15">
        <f>COUNTIF(COUNTRIES[COUNTRY_LABEL],COUNTRIES[[#This Row],[COUNTRY_LABEL]])</f>
        <v>1</v>
      </c>
    </row>
    <row r="76" spans="13:15" x14ac:dyDescent="0.35">
      <c r="M76" s="15" t="s">
        <v>847</v>
      </c>
      <c r="N76" s="15" t="s">
        <v>598</v>
      </c>
      <c r="O76" s="15">
        <f>COUNTIF(COUNTRIES[COUNTRY_LABEL],COUNTRIES[[#This Row],[COUNTRY_LABEL]])</f>
        <v>1</v>
      </c>
    </row>
    <row r="77" spans="13:15" x14ac:dyDescent="0.35">
      <c r="M77" s="15" t="s">
        <v>846</v>
      </c>
      <c r="N77" s="15" t="s">
        <v>597</v>
      </c>
      <c r="O77" s="15">
        <f>COUNTIF(COUNTRIES[COUNTRY_LABEL],COUNTRIES[[#This Row],[COUNTRY_LABEL]])</f>
        <v>1</v>
      </c>
    </row>
    <row r="78" spans="13:15" x14ac:dyDescent="0.35">
      <c r="M78" s="15" t="s">
        <v>851</v>
      </c>
      <c r="N78" s="15" t="s">
        <v>602</v>
      </c>
      <c r="O78" s="15">
        <f>COUNTIF(COUNTRIES[COUNTRY_LABEL],COUNTRIES[[#This Row],[COUNTRY_LABEL]])</f>
        <v>1</v>
      </c>
    </row>
    <row r="79" spans="13:15" x14ac:dyDescent="0.35">
      <c r="M79" s="15" t="s">
        <v>856</v>
      </c>
      <c r="N79" s="15" t="s">
        <v>606</v>
      </c>
      <c r="O79" s="15">
        <f>COUNTIF(COUNTRIES[COUNTRY_LABEL],COUNTRIES[[#This Row],[COUNTRY_LABEL]])</f>
        <v>1</v>
      </c>
    </row>
    <row r="80" spans="13:15" x14ac:dyDescent="0.35">
      <c r="M80" s="15" t="s">
        <v>950</v>
      </c>
      <c r="N80" s="15" t="s">
        <v>701</v>
      </c>
      <c r="O80" s="15">
        <f>COUNTIF(COUNTRIES[COUNTRY_LABEL],COUNTRIES[[#This Row],[COUNTRY_LABEL]])</f>
        <v>1</v>
      </c>
    </row>
    <row r="81" spans="13:15" x14ac:dyDescent="0.35">
      <c r="M81" s="15" t="s">
        <v>991</v>
      </c>
      <c r="N81" s="15" t="s">
        <v>741</v>
      </c>
      <c r="O81" s="15">
        <f>COUNTIF(COUNTRIES[COUNTRY_LABEL],COUNTRIES[[#This Row],[COUNTRY_LABEL]])</f>
        <v>1</v>
      </c>
    </row>
    <row r="82" spans="13:15" x14ac:dyDescent="0.35">
      <c r="M82" s="15" t="s">
        <v>852</v>
      </c>
      <c r="N82" s="15" t="s">
        <v>1029</v>
      </c>
      <c r="O82" s="15">
        <f>COUNTIF(COUNTRIES[COUNTRY_LABEL],COUNTRIES[[#This Row],[COUNTRY_LABEL]])</f>
        <v>1</v>
      </c>
    </row>
    <row r="83" spans="13:15" x14ac:dyDescent="0.35">
      <c r="M83" s="15" t="s">
        <v>861</v>
      </c>
      <c r="N83" s="15" t="s">
        <v>611</v>
      </c>
      <c r="O83" s="15">
        <f>COUNTIF(COUNTRIES[COUNTRY_LABEL],COUNTRIES[[#This Row],[COUNTRY_LABEL]])</f>
        <v>1</v>
      </c>
    </row>
    <row r="84" spans="13:15" x14ac:dyDescent="0.35">
      <c r="M84" s="15" t="s">
        <v>867</v>
      </c>
      <c r="N84" s="15" t="s">
        <v>617</v>
      </c>
      <c r="O84" s="15">
        <f>COUNTIF(COUNTRIES[COUNTRY_LABEL],COUNTRIES[[#This Row],[COUNTRY_LABEL]])</f>
        <v>1</v>
      </c>
    </row>
    <row r="85" spans="13:15" x14ac:dyDescent="0.35">
      <c r="M85" s="15" t="s">
        <v>855</v>
      </c>
      <c r="N85" s="15" t="s">
        <v>605</v>
      </c>
      <c r="O85" s="15">
        <f>COUNTIF(COUNTRIES[COUNTRY_LABEL],COUNTRIES[[#This Row],[COUNTRY_LABEL]])</f>
        <v>1</v>
      </c>
    </row>
    <row r="86" spans="13:15" x14ac:dyDescent="0.35">
      <c r="M86" s="15" t="s">
        <v>833</v>
      </c>
      <c r="N86" s="15" t="s">
        <v>584</v>
      </c>
      <c r="O86" s="15">
        <f>COUNTIF(COUNTRIES[COUNTRY_LABEL],COUNTRIES[[#This Row],[COUNTRY_LABEL]])</f>
        <v>1</v>
      </c>
    </row>
    <row r="87" spans="13:15" x14ac:dyDescent="0.35">
      <c r="M87" s="15" t="s">
        <v>858</v>
      </c>
      <c r="N87" s="15" t="s">
        <v>608</v>
      </c>
      <c r="O87" s="15">
        <f>COUNTIF(COUNTRIES[COUNTRY_LABEL],COUNTRIES[[#This Row],[COUNTRY_LABEL]])</f>
        <v>1</v>
      </c>
    </row>
    <row r="88" spans="13:15" x14ac:dyDescent="0.35">
      <c r="M88" s="15" t="s">
        <v>859</v>
      </c>
      <c r="N88" s="15" t="s">
        <v>609</v>
      </c>
      <c r="O88" s="15">
        <f>COUNTIF(COUNTRIES[COUNTRY_LABEL],COUNTRIES[[#This Row],[COUNTRY_LABEL]])</f>
        <v>1</v>
      </c>
    </row>
    <row r="89" spans="13:15" x14ac:dyDescent="0.35">
      <c r="M89" s="15" t="s">
        <v>865</v>
      </c>
      <c r="N89" s="15" t="s">
        <v>615</v>
      </c>
      <c r="O89" s="15">
        <f>COUNTIF(COUNTRIES[COUNTRY_LABEL],COUNTRIES[[#This Row],[COUNTRY_LABEL]])</f>
        <v>1</v>
      </c>
    </row>
    <row r="90" spans="13:15" x14ac:dyDescent="0.35">
      <c r="M90" s="15" t="s">
        <v>860</v>
      </c>
      <c r="N90" s="15" t="s">
        <v>610</v>
      </c>
      <c r="O90" s="15">
        <f>COUNTIF(COUNTRIES[COUNTRY_LABEL],COUNTRIES[[#This Row],[COUNTRY_LABEL]])</f>
        <v>1</v>
      </c>
    </row>
    <row r="91" spans="13:15" x14ac:dyDescent="0.35">
      <c r="M91" s="15" t="s">
        <v>854</v>
      </c>
      <c r="N91" s="15" t="s">
        <v>604</v>
      </c>
      <c r="O91" s="15">
        <f>COUNTIF(COUNTRIES[COUNTRY_LABEL],COUNTRIES[[#This Row],[COUNTRY_LABEL]])</f>
        <v>1</v>
      </c>
    </row>
    <row r="92" spans="13:15" x14ac:dyDescent="0.35">
      <c r="M92" s="15" t="s">
        <v>863</v>
      </c>
      <c r="N92" s="15" t="s">
        <v>613</v>
      </c>
      <c r="O92" s="15">
        <f>COUNTIF(COUNTRIES[COUNTRY_LABEL],COUNTRIES[[#This Row],[COUNTRY_LABEL]])</f>
        <v>1</v>
      </c>
    </row>
    <row r="93" spans="13:15" x14ac:dyDescent="0.35">
      <c r="M93" s="15" t="s">
        <v>868</v>
      </c>
      <c r="N93" s="15" t="s">
        <v>618</v>
      </c>
      <c r="O93" s="15">
        <f>COUNTIF(COUNTRIES[COUNTRY_LABEL],COUNTRIES[[#This Row],[COUNTRY_LABEL]])</f>
        <v>1</v>
      </c>
    </row>
    <row r="94" spans="13:15" x14ac:dyDescent="0.35">
      <c r="M94" s="15" t="s">
        <v>857</v>
      </c>
      <c r="N94" s="15" t="s">
        <v>607</v>
      </c>
      <c r="O94" s="15">
        <f>COUNTIF(COUNTRIES[COUNTRY_LABEL],COUNTRIES[[#This Row],[COUNTRY_LABEL]])</f>
        <v>1</v>
      </c>
    </row>
    <row r="95" spans="13:15" x14ac:dyDescent="0.35">
      <c r="M95" s="15" t="s">
        <v>862</v>
      </c>
      <c r="N95" s="15" t="s">
        <v>612</v>
      </c>
      <c r="O95" s="15">
        <f>COUNTIF(COUNTRIES[COUNTRY_LABEL],COUNTRIES[[#This Row],[COUNTRY_LABEL]])</f>
        <v>1</v>
      </c>
    </row>
    <row r="96" spans="13:15" x14ac:dyDescent="0.35">
      <c r="M96" s="15" t="s">
        <v>869</v>
      </c>
      <c r="N96" s="15" t="s">
        <v>619</v>
      </c>
      <c r="O96" s="15">
        <f>COUNTIF(COUNTRIES[COUNTRY_LABEL],COUNTRIES[[#This Row],[COUNTRY_LABEL]])</f>
        <v>1</v>
      </c>
    </row>
    <row r="97" spans="13:15" x14ac:dyDescent="0.35">
      <c r="M97" s="15" t="s">
        <v>870</v>
      </c>
      <c r="N97" s="15" t="s">
        <v>620</v>
      </c>
      <c r="O97" s="15">
        <f>COUNTIF(COUNTRIES[COUNTRY_LABEL],COUNTRIES[[#This Row],[COUNTRY_LABEL]])</f>
        <v>1</v>
      </c>
    </row>
    <row r="98" spans="13:15" x14ac:dyDescent="0.35">
      <c r="M98" s="15" t="s">
        <v>875</v>
      </c>
      <c r="N98" s="15" t="s">
        <v>625</v>
      </c>
      <c r="O98" s="15">
        <f>COUNTIF(COUNTRIES[COUNTRY_LABEL],COUNTRIES[[#This Row],[COUNTRY_LABEL]])</f>
        <v>1</v>
      </c>
    </row>
    <row r="99" spans="13:15" x14ac:dyDescent="0.35">
      <c r="M99" s="15" t="s">
        <v>872</v>
      </c>
      <c r="N99" s="15" t="s">
        <v>622</v>
      </c>
      <c r="O99" s="15">
        <f>COUNTIF(COUNTRIES[COUNTRY_LABEL],COUNTRIES[[#This Row],[COUNTRY_LABEL]])</f>
        <v>1</v>
      </c>
    </row>
    <row r="100" spans="13:15" x14ac:dyDescent="0.35">
      <c r="M100" s="15" t="s">
        <v>1011</v>
      </c>
      <c r="N100" s="15" t="s">
        <v>760</v>
      </c>
      <c r="O100" s="15">
        <f>COUNTIF(COUNTRIES[COUNTRY_LABEL],COUNTRIES[[#This Row],[COUNTRY_LABEL]])</f>
        <v>1</v>
      </c>
    </row>
    <row r="101" spans="13:15" x14ac:dyDescent="0.35">
      <c r="M101" s="15" t="s">
        <v>873</v>
      </c>
      <c r="N101" s="15" t="s">
        <v>623</v>
      </c>
      <c r="O101" s="15">
        <f>COUNTIF(COUNTRIES[COUNTRY_LABEL],COUNTRIES[[#This Row],[COUNTRY_LABEL]])</f>
        <v>1</v>
      </c>
    </row>
    <row r="102" spans="13:15" x14ac:dyDescent="0.35">
      <c r="M102" s="15" t="s">
        <v>871</v>
      </c>
      <c r="N102" s="15" t="s">
        <v>621</v>
      </c>
      <c r="O102" s="15">
        <f>COUNTIF(COUNTRIES[COUNTRY_LABEL],COUNTRIES[[#This Row],[COUNTRY_LABEL]])</f>
        <v>1</v>
      </c>
    </row>
    <row r="103" spans="13:15" x14ac:dyDescent="0.35">
      <c r="M103" s="15" t="s">
        <v>876</v>
      </c>
      <c r="N103" s="15" t="s">
        <v>626</v>
      </c>
      <c r="O103" s="15">
        <f>COUNTIF(COUNTRIES[COUNTRY_LABEL],COUNTRIES[[#This Row],[COUNTRY_LABEL]])</f>
        <v>1</v>
      </c>
    </row>
    <row r="104" spans="13:15" x14ac:dyDescent="0.35">
      <c r="M104" s="15" t="s">
        <v>885</v>
      </c>
      <c r="N104" s="15" t="s">
        <v>635</v>
      </c>
      <c r="O104" s="15">
        <f>COUNTIF(COUNTRIES[COUNTRY_LABEL],COUNTRIES[[#This Row],[COUNTRY_LABEL]])</f>
        <v>1</v>
      </c>
    </row>
    <row r="105" spans="13:15" x14ac:dyDescent="0.35">
      <c r="M105" s="15" t="s">
        <v>881</v>
      </c>
      <c r="N105" s="15" t="s">
        <v>631</v>
      </c>
      <c r="O105" s="15">
        <f>COUNTIF(COUNTRIES[COUNTRY_LABEL],COUNTRIES[[#This Row],[COUNTRY_LABEL]])</f>
        <v>1</v>
      </c>
    </row>
    <row r="106" spans="13:15" x14ac:dyDescent="0.35">
      <c r="M106" s="15" t="s">
        <v>877</v>
      </c>
      <c r="N106" s="15" t="s">
        <v>627</v>
      </c>
      <c r="O106" s="15">
        <f>COUNTIF(COUNTRIES[COUNTRY_LABEL],COUNTRIES[[#This Row],[COUNTRY_LABEL]])</f>
        <v>1</v>
      </c>
    </row>
    <row r="107" spans="13:15" x14ac:dyDescent="0.35">
      <c r="M107" s="15" t="s">
        <v>884</v>
      </c>
      <c r="N107" s="15" t="s">
        <v>634</v>
      </c>
      <c r="O107" s="15">
        <f>COUNTIF(COUNTRIES[COUNTRY_LABEL],COUNTRIES[[#This Row],[COUNTRY_LABEL]])</f>
        <v>1</v>
      </c>
    </row>
    <row r="108" spans="13:15" x14ac:dyDescent="0.35">
      <c r="M108" s="15" t="s">
        <v>883</v>
      </c>
      <c r="N108" s="15" t="s">
        <v>633</v>
      </c>
      <c r="O108" s="15">
        <f>COUNTIF(COUNTRIES[COUNTRY_LABEL],COUNTRIES[[#This Row],[COUNTRY_LABEL]])</f>
        <v>1</v>
      </c>
    </row>
    <row r="109" spans="13:15" x14ac:dyDescent="0.35">
      <c r="M109" s="15" t="s">
        <v>878</v>
      </c>
      <c r="N109" s="15" t="s">
        <v>628</v>
      </c>
      <c r="O109" s="15">
        <f>COUNTIF(COUNTRIES[COUNTRY_LABEL],COUNTRIES[[#This Row],[COUNTRY_LABEL]])</f>
        <v>1</v>
      </c>
    </row>
    <row r="110" spans="13:15" x14ac:dyDescent="0.35">
      <c r="M110" s="15" t="s">
        <v>880</v>
      </c>
      <c r="N110" s="15" t="s">
        <v>630</v>
      </c>
      <c r="O110" s="15">
        <f>COUNTIF(COUNTRIES[COUNTRY_LABEL],COUNTRIES[[#This Row],[COUNTRY_LABEL]])</f>
        <v>1</v>
      </c>
    </row>
    <row r="111" spans="13:15" x14ac:dyDescent="0.35">
      <c r="M111" s="15" t="s">
        <v>879</v>
      </c>
      <c r="N111" s="15" t="s">
        <v>629</v>
      </c>
      <c r="O111" s="15">
        <f>COUNTIF(COUNTRIES[COUNTRY_LABEL],COUNTRIES[[#This Row],[COUNTRY_LABEL]])</f>
        <v>1</v>
      </c>
    </row>
    <row r="112" spans="13:15" x14ac:dyDescent="0.35">
      <c r="M112" s="15" t="s">
        <v>886</v>
      </c>
      <c r="N112" s="15" t="s">
        <v>636</v>
      </c>
      <c r="O112" s="15">
        <f>COUNTIF(COUNTRIES[COUNTRY_LABEL],COUNTRIES[[#This Row],[COUNTRY_LABEL]])</f>
        <v>1</v>
      </c>
    </row>
    <row r="113" spans="13:15" x14ac:dyDescent="0.35">
      <c r="M113" s="15" t="s">
        <v>820</v>
      </c>
      <c r="N113" s="15" t="s">
        <v>571</v>
      </c>
      <c r="O113" s="15">
        <f>COUNTIF(COUNTRIES[COUNTRY_LABEL],COUNTRIES[[#This Row],[COUNTRY_LABEL]])</f>
        <v>1</v>
      </c>
    </row>
    <row r="114" spans="13:15" x14ac:dyDescent="0.35">
      <c r="M114" s="15" t="s">
        <v>888</v>
      </c>
      <c r="N114" s="15" t="s">
        <v>638</v>
      </c>
      <c r="O114" s="15">
        <f>COUNTIF(COUNTRIES[COUNTRY_LABEL],COUNTRIES[[#This Row],[COUNTRY_LABEL]])</f>
        <v>1</v>
      </c>
    </row>
    <row r="115" spans="13:15" x14ac:dyDescent="0.35">
      <c r="M115" s="15" t="s">
        <v>890</v>
      </c>
      <c r="N115" s="15" t="s">
        <v>640</v>
      </c>
      <c r="O115" s="15">
        <f>COUNTIF(COUNTRIES[COUNTRY_LABEL],COUNTRIES[[#This Row],[COUNTRY_LABEL]])</f>
        <v>1</v>
      </c>
    </row>
    <row r="116" spans="13:15" x14ac:dyDescent="0.35">
      <c r="M116" s="15" t="s">
        <v>887</v>
      </c>
      <c r="N116" s="15" t="s">
        <v>637</v>
      </c>
      <c r="O116" s="15">
        <f>COUNTIF(COUNTRIES[COUNTRY_LABEL],COUNTRIES[[#This Row],[COUNTRY_LABEL]])</f>
        <v>1</v>
      </c>
    </row>
    <row r="117" spans="13:15" x14ac:dyDescent="0.35">
      <c r="M117" s="15" t="s">
        <v>889</v>
      </c>
      <c r="N117" s="15" t="s">
        <v>639</v>
      </c>
      <c r="O117" s="15">
        <f>COUNTIF(COUNTRIES[COUNTRY_LABEL],COUNTRIES[[#This Row],[COUNTRY_LABEL]])</f>
        <v>1</v>
      </c>
    </row>
    <row r="118" spans="13:15" x14ac:dyDescent="0.35">
      <c r="M118" s="15" t="s">
        <v>901</v>
      </c>
      <c r="N118" s="15" t="s">
        <v>651</v>
      </c>
      <c r="O118" s="15">
        <f>COUNTIF(COUNTRIES[COUNTRY_LABEL],COUNTRIES[[#This Row],[COUNTRY_LABEL]])</f>
        <v>1</v>
      </c>
    </row>
    <row r="119" spans="13:15" x14ac:dyDescent="0.35">
      <c r="M119" s="15" t="s">
        <v>891</v>
      </c>
      <c r="N119" s="15" t="s">
        <v>641</v>
      </c>
      <c r="O119" s="15">
        <f>COUNTIF(COUNTRIES[COUNTRY_LABEL],COUNTRIES[[#This Row],[COUNTRY_LABEL]])</f>
        <v>1</v>
      </c>
    </row>
    <row r="120" spans="13:15" x14ac:dyDescent="0.35">
      <c r="M120" s="15" t="s">
        <v>894</v>
      </c>
      <c r="N120" s="15" t="s">
        <v>644</v>
      </c>
      <c r="O120" s="15">
        <f>COUNTIF(COUNTRIES[COUNTRY_LABEL],COUNTRIES[[#This Row],[COUNTRY_LABEL]])</f>
        <v>1</v>
      </c>
    </row>
    <row r="121" spans="13:15" x14ac:dyDescent="0.35">
      <c r="M121" s="15" t="s">
        <v>899</v>
      </c>
      <c r="N121" s="15" t="s">
        <v>649</v>
      </c>
      <c r="O121" s="15">
        <f>COUNTIF(COUNTRIES[COUNTRY_LABEL],COUNTRIES[[#This Row],[COUNTRY_LABEL]])</f>
        <v>1</v>
      </c>
    </row>
    <row r="122" spans="13:15" x14ac:dyDescent="0.35">
      <c r="M122" s="15" t="s">
        <v>892</v>
      </c>
      <c r="N122" s="15" t="s">
        <v>642</v>
      </c>
      <c r="O122" s="15">
        <f>COUNTIF(COUNTRIES[COUNTRY_LABEL],COUNTRIES[[#This Row],[COUNTRY_LABEL]])</f>
        <v>1</v>
      </c>
    </row>
    <row r="123" spans="13:15" x14ac:dyDescent="0.35">
      <c r="M123" s="15" t="s">
        <v>902</v>
      </c>
      <c r="N123" s="15" t="s">
        <v>652</v>
      </c>
      <c r="O123" s="15">
        <f>COUNTIF(COUNTRIES[COUNTRY_LABEL],COUNTRIES[[#This Row],[COUNTRY_LABEL]])</f>
        <v>1</v>
      </c>
    </row>
    <row r="124" spans="13:15" x14ac:dyDescent="0.35">
      <c r="M124" s="15" t="s">
        <v>911</v>
      </c>
      <c r="N124" s="15" t="s">
        <v>661</v>
      </c>
      <c r="O124" s="15">
        <f>COUNTIF(COUNTRIES[COUNTRY_LABEL],COUNTRIES[[#This Row],[COUNTRY_LABEL]])</f>
        <v>1</v>
      </c>
    </row>
    <row r="125" spans="13:15" x14ac:dyDescent="0.35">
      <c r="M125" s="15" t="s">
        <v>903</v>
      </c>
      <c r="N125" s="15" t="s">
        <v>653</v>
      </c>
      <c r="O125" s="15">
        <f>COUNTIF(COUNTRIES[COUNTRY_LABEL],COUNTRIES[[#This Row],[COUNTRY_LABEL]])</f>
        <v>1</v>
      </c>
    </row>
    <row r="126" spans="13:15" x14ac:dyDescent="0.35">
      <c r="M126" s="15" t="s">
        <v>908</v>
      </c>
      <c r="N126" s="15" t="s">
        <v>658</v>
      </c>
      <c r="O126" s="15">
        <f>COUNTIF(COUNTRIES[COUNTRY_LABEL],COUNTRIES[[#This Row],[COUNTRY_LABEL]])</f>
        <v>1</v>
      </c>
    </row>
    <row r="127" spans="13:15" x14ac:dyDescent="0.35">
      <c r="M127" s="15" t="s">
        <v>907</v>
      </c>
      <c r="N127" s="15" t="s">
        <v>657</v>
      </c>
      <c r="O127" s="15">
        <f>COUNTIF(COUNTRIES[COUNTRY_LABEL],COUNTRIES[[#This Row],[COUNTRY_LABEL]])</f>
        <v>1</v>
      </c>
    </row>
    <row r="128" spans="13:15" x14ac:dyDescent="0.35">
      <c r="M128" s="15" t="s">
        <v>912</v>
      </c>
      <c r="N128" s="15" t="s">
        <v>662</v>
      </c>
      <c r="O128" s="15">
        <f>COUNTIF(COUNTRIES[COUNTRY_LABEL],COUNTRIES[[#This Row],[COUNTRY_LABEL]])</f>
        <v>1</v>
      </c>
    </row>
    <row r="129" spans="13:15" x14ac:dyDescent="0.35">
      <c r="M129" s="15" t="s">
        <v>905</v>
      </c>
      <c r="N129" s="15" t="s">
        <v>655</v>
      </c>
      <c r="O129" s="15">
        <f>COUNTIF(COUNTRIES[COUNTRY_LABEL],COUNTRIES[[#This Row],[COUNTRY_LABEL]])</f>
        <v>1</v>
      </c>
    </row>
    <row r="130" spans="13:15" x14ac:dyDescent="0.35">
      <c r="M130" s="15" t="s">
        <v>909</v>
      </c>
      <c r="N130" s="15" t="s">
        <v>659</v>
      </c>
      <c r="O130" s="15">
        <f>COUNTIF(COUNTRIES[COUNTRY_LABEL],COUNTRIES[[#This Row],[COUNTRY_LABEL]])</f>
        <v>1</v>
      </c>
    </row>
    <row r="131" spans="13:15" x14ac:dyDescent="0.35">
      <c r="M131" s="15" t="s">
        <v>910</v>
      </c>
      <c r="N131" s="15" t="s">
        <v>660</v>
      </c>
      <c r="O131" s="15">
        <f>COUNTIF(COUNTRIES[COUNTRY_LABEL],COUNTRIES[[#This Row],[COUNTRY_LABEL]])</f>
        <v>1</v>
      </c>
    </row>
    <row r="132" spans="13:15" x14ac:dyDescent="0.35">
      <c r="M132" s="15" t="s">
        <v>924</v>
      </c>
      <c r="N132" s="15" t="s">
        <v>674</v>
      </c>
      <c r="O132" s="15">
        <f>COUNTIF(COUNTRIES[COUNTRY_LABEL],COUNTRIES[[#This Row],[COUNTRY_LABEL]])</f>
        <v>1</v>
      </c>
    </row>
    <row r="133" spans="13:15" x14ac:dyDescent="0.35">
      <c r="M133" s="15" t="s">
        <v>918</v>
      </c>
      <c r="N133" s="15" t="s">
        <v>668</v>
      </c>
      <c r="O133" s="15">
        <f>COUNTIF(COUNTRIES[COUNTRY_LABEL],COUNTRIES[[#This Row],[COUNTRY_LABEL]])</f>
        <v>1</v>
      </c>
    </row>
    <row r="134" spans="13:15" x14ac:dyDescent="0.35">
      <c r="M134" s="15" t="s">
        <v>932</v>
      </c>
      <c r="N134" s="15" t="s">
        <v>682</v>
      </c>
      <c r="O134" s="15">
        <f>COUNTIF(COUNTRIES[COUNTRY_LABEL],COUNTRIES[[#This Row],[COUNTRY_LABEL]])</f>
        <v>1</v>
      </c>
    </row>
    <row r="135" spans="13:15" x14ac:dyDescent="0.35">
      <c r="M135" s="15" t="s">
        <v>934</v>
      </c>
      <c r="N135" s="15" t="s">
        <v>684</v>
      </c>
      <c r="O135" s="15">
        <f>COUNTIF(COUNTRIES[COUNTRY_LABEL],COUNTRIES[[#This Row],[COUNTRY_LABEL]])</f>
        <v>1</v>
      </c>
    </row>
    <row r="136" spans="13:15" x14ac:dyDescent="0.35">
      <c r="M136" s="15" t="s">
        <v>931</v>
      </c>
      <c r="N136" s="15" t="s">
        <v>681</v>
      </c>
      <c r="O136" s="15">
        <f>COUNTIF(COUNTRIES[COUNTRY_LABEL],COUNTRIES[[#This Row],[COUNTRY_LABEL]])</f>
        <v>1</v>
      </c>
    </row>
    <row r="137" spans="13:15" x14ac:dyDescent="0.35">
      <c r="M137" s="15" t="s">
        <v>921</v>
      </c>
      <c r="N137" s="15" t="s">
        <v>671</v>
      </c>
      <c r="O137" s="15">
        <f>COUNTIF(COUNTRIES[COUNTRY_LABEL],COUNTRIES[[#This Row],[COUNTRY_LABEL]])</f>
        <v>1</v>
      </c>
    </row>
    <row r="138" spans="13:15" x14ac:dyDescent="0.35">
      <c r="M138" s="15" t="s">
        <v>929</v>
      </c>
      <c r="N138" s="15" t="s">
        <v>679</v>
      </c>
      <c r="O138" s="15">
        <f>COUNTIF(COUNTRIES[COUNTRY_LABEL],COUNTRIES[[#This Row],[COUNTRY_LABEL]])</f>
        <v>1</v>
      </c>
    </row>
    <row r="139" spans="13:15" x14ac:dyDescent="0.35">
      <c r="M139" s="15" t="s">
        <v>919</v>
      </c>
      <c r="N139" s="15" t="s">
        <v>669</v>
      </c>
      <c r="O139" s="15">
        <f>COUNTIF(COUNTRIES[COUNTRY_LABEL],COUNTRIES[[#This Row],[COUNTRY_LABEL]])</f>
        <v>1</v>
      </c>
    </row>
    <row r="140" spans="13:15" x14ac:dyDescent="0.35">
      <c r="M140" s="15" t="s">
        <v>926</v>
      </c>
      <c r="N140" s="15" t="s">
        <v>676</v>
      </c>
      <c r="O140" s="15">
        <f>COUNTIF(COUNTRIES[COUNTRY_LABEL],COUNTRIES[[#This Row],[COUNTRY_LABEL]])</f>
        <v>1</v>
      </c>
    </row>
    <row r="141" spans="13:15" x14ac:dyDescent="0.35">
      <c r="M141" s="15" t="s">
        <v>927</v>
      </c>
      <c r="N141" s="15" t="s">
        <v>677</v>
      </c>
      <c r="O141" s="15">
        <f>COUNTIF(COUNTRIES[COUNTRY_LABEL],COUNTRIES[[#This Row],[COUNTRY_LABEL]])</f>
        <v>1</v>
      </c>
    </row>
    <row r="142" spans="13:15" x14ac:dyDescent="0.35">
      <c r="M142" s="15" t="s">
        <v>930</v>
      </c>
      <c r="N142" s="15" t="s">
        <v>680</v>
      </c>
      <c r="O142" s="15">
        <f>COUNTIF(COUNTRIES[COUNTRY_LABEL],COUNTRIES[[#This Row],[COUNTRY_LABEL]])</f>
        <v>1</v>
      </c>
    </row>
    <row r="143" spans="13:15" x14ac:dyDescent="0.35">
      <c r="M143" s="15" t="s">
        <v>1021</v>
      </c>
      <c r="N143" s="15" t="s">
        <v>770</v>
      </c>
      <c r="O143" s="15">
        <f>COUNTIF(COUNTRIES[COUNTRY_LABEL],COUNTRIES[[#This Row],[COUNTRY_LABEL]])</f>
        <v>1</v>
      </c>
    </row>
    <row r="144" spans="13:15" x14ac:dyDescent="0.35">
      <c r="M144" s="15" t="s">
        <v>933</v>
      </c>
      <c r="N144" s="15" t="s">
        <v>683</v>
      </c>
      <c r="O144" s="15">
        <f>COUNTIF(COUNTRIES[COUNTRY_LABEL],COUNTRIES[[#This Row],[COUNTRY_LABEL]])</f>
        <v>1</v>
      </c>
    </row>
    <row r="145" spans="13:15" x14ac:dyDescent="0.35">
      <c r="M145" s="15" t="s">
        <v>849</v>
      </c>
      <c r="N145" s="15" t="s">
        <v>600</v>
      </c>
      <c r="O145" s="15">
        <f>COUNTIF(COUNTRIES[COUNTRY_LABEL],COUNTRIES[[#This Row],[COUNTRY_LABEL]])</f>
        <v>1</v>
      </c>
    </row>
    <row r="146" spans="13:15" x14ac:dyDescent="0.35">
      <c r="M146" s="15" t="s">
        <v>915</v>
      </c>
      <c r="N146" s="15" t="s">
        <v>665</v>
      </c>
      <c r="O146" s="15">
        <f>COUNTIF(COUNTRIES[COUNTRY_LABEL],COUNTRIES[[#This Row],[COUNTRY_LABEL]])</f>
        <v>1</v>
      </c>
    </row>
    <row r="147" spans="13:15" x14ac:dyDescent="0.35">
      <c r="M147" s="15" t="s">
        <v>914</v>
      </c>
      <c r="N147" s="15" t="s">
        <v>664</v>
      </c>
      <c r="O147" s="15">
        <f>COUNTIF(COUNTRIES[COUNTRY_LABEL],COUNTRIES[[#This Row],[COUNTRY_LABEL]])</f>
        <v>1</v>
      </c>
    </row>
    <row r="148" spans="13:15" x14ac:dyDescent="0.35">
      <c r="M148" s="15" t="s">
        <v>923</v>
      </c>
      <c r="N148" s="15" t="s">
        <v>673</v>
      </c>
      <c r="O148" s="15">
        <f>COUNTIF(COUNTRIES[COUNTRY_LABEL],COUNTRIES[[#This Row],[COUNTRY_LABEL]])</f>
        <v>1</v>
      </c>
    </row>
    <row r="149" spans="13:15" x14ac:dyDescent="0.35">
      <c r="M149" s="15" t="s">
        <v>916</v>
      </c>
      <c r="N149" s="15" t="s">
        <v>666</v>
      </c>
      <c r="O149" s="15">
        <f>COUNTIF(COUNTRIES[COUNTRY_LABEL],COUNTRIES[[#This Row],[COUNTRY_LABEL]])</f>
        <v>1</v>
      </c>
    </row>
    <row r="150" spans="13:15" x14ac:dyDescent="0.35">
      <c r="M150" s="15" t="s">
        <v>928</v>
      </c>
      <c r="N150" s="15" t="s">
        <v>678</v>
      </c>
      <c r="O150" s="15">
        <f>COUNTIF(COUNTRIES[COUNTRY_LABEL],COUNTRIES[[#This Row],[COUNTRY_LABEL]])</f>
        <v>1</v>
      </c>
    </row>
    <row r="151" spans="13:15" x14ac:dyDescent="0.35">
      <c r="M151" s="15" t="s">
        <v>913</v>
      </c>
      <c r="N151" s="15" t="s">
        <v>663</v>
      </c>
      <c r="O151" s="15">
        <f>COUNTIF(COUNTRIES[COUNTRY_LABEL],COUNTRIES[[#This Row],[COUNTRY_LABEL]])</f>
        <v>1</v>
      </c>
    </row>
    <row r="152" spans="13:15" x14ac:dyDescent="0.35">
      <c r="M152" s="15" t="s">
        <v>935</v>
      </c>
      <c r="N152" s="15" t="s">
        <v>685</v>
      </c>
      <c r="O152" s="15">
        <f>COUNTIF(COUNTRIES[COUNTRY_LABEL],COUNTRIES[[#This Row],[COUNTRY_LABEL]])</f>
        <v>1</v>
      </c>
    </row>
    <row r="153" spans="13:15" x14ac:dyDescent="0.35">
      <c r="M153" s="15" t="s">
        <v>922</v>
      </c>
      <c r="N153" s="15" t="s">
        <v>672</v>
      </c>
      <c r="O153" s="15">
        <f>COUNTIF(COUNTRIES[COUNTRY_LABEL],COUNTRIES[[#This Row],[COUNTRY_LABEL]])</f>
        <v>1</v>
      </c>
    </row>
    <row r="154" spans="13:15" x14ac:dyDescent="0.35">
      <c r="M154" s="15" t="s">
        <v>523</v>
      </c>
      <c r="N154" s="15" t="s">
        <v>686</v>
      </c>
      <c r="O154" s="15">
        <f>COUNTIF(COUNTRIES[COUNTRY_LABEL],COUNTRIES[[#This Row],[COUNTRY_LABEL]])</f>
        <v>1</v>
      </c>
    </row>
    <row r="155" spans="13:15" x14ac:dyDescent="0.35">
      <c r="M155" s="15" t="s">
        <v>944</v>
      </c>
      <c r="N155" s="15" t="s">
        <v>695</v>
      </c>
      <c r="O155" s="15">
        <f>COUNTIF(COUNTRIES[COUNTRY_LABEL],COUNTRIES[[#This Row],[COUNTRY_LABEL]])</f>
        <v>1</v>
      </c>
    </row>
    <row r="156" spans="13:15" x14ac:dyDescent="0.35">
      <c r="M156" s="15" t="s">
        <v>943</v>
      </c>
      <c r="N156" s="15" t="s">
        <v>694</v>
      </c>
      <c r="O156" s="15">
        <f>COUNTIF(COUNTRIES[COUNTRY_LABEL],COUNTRIES[[#This Row],[COUNTRY_LABEL]])</f>
        <v>1</v>
      </c>
    </row>
    <row r="157" spans="13:15" x14ac:dyDescent="0.35">
      <c r="M157" s="15" t="s">
        <v>941</v>
      </c>
      <c r="N157" s="15" t="s">
        <v>692</v>
      </c>
      <c r="O157" s="15">
        <f>COUNTIF(COUNTRIES[COUNTRY_LABEL],COUNTRIES[[#This Row],[COUNTRY_LABEL]])</f>
        <v>1</v>
      </c>
    </row>
    <row r="158" spans="13:15" x14ac:dyDescent="0.35">
      <c r="M158" s="15" t="s">
        <v>936</v>
      </c>
      <c r="N158" s="15" t="s">
        <v>687</v>
      </c>
      <c r="O158" s="15">
        <f>COUNTIF(COUNTRIES[COUNTRY_LABEL],COUNTRIES[[#This Row],[COUNTRY_LABEL]])</f>
        <v>1</v>
      </c>
    </row>
    <row r="159" spans="13:15" x14ac:dyDescent="0.35">
      <c r="M159" s="15" t="s">
        <v>946</v>
      </c>
      <c r="N159" s="15" t="s">
        <v>697</v>
      </c>
      <c r="O159" s="15">
        <f>COUNTIF(COUNTRIES[COUNTRY_LABEL],COUNTRIES[[#This Row],[COUNTRY_LABEL]])</f>
        <v>1</v>
      </c>
    </row>
    <row r="160" spans="13:15" x14ac:dyDescent="0.35">
      <c r="M160" s="15" t="s">
        <v>940</v>
      </c>
      <c r="N160" s="15" t="s">
        <v>691</v>
      </c>
      <c r="O160" s="15">
        <f>COUNTIF(COUNTRIES[COUNTRY_LABEL],COUNTRIES[[#This Row],[COUNTRY_LABEL]])</f>
        <v>1</v>
      </c>
    </row>
    <row r="161" spans="13:15" x14ac:dyDescent="0.35">
      <c r="M161" s="15" t="s">
        <v>937</v>
      </c>
      <c r="N161" s="15" t="s">
        <v>688</v>
      </c>
      <c r="O161" s="15">
        <f>COUNTIF(COUNTRIES[COUNTRY_LABEL],COUNTRIES[[#This Row],[COUNTRY_LABEL]])</f>
        <v>1</v>
      </c>
    </row>
    <row r="162" spans="13:15" x14ac:dyDescent="0.35">
      <c r="M162" s="15" t="s">
        <v>939</v>
      </c>
      <c r="N162" s="15" t="s">
        <v>690</v>
      </c>
      <c r="O162" s="15">
        <f>COUNTIF(COUNTRIES[COUNTRY_LABEL],COUNTRIES[[#This Row],[COUNTRY_LABEL]])</f>
        <v>1</v>
      </c>
    </row>
    <row r="163" spans="13:15" x14ac:dyDescent="0.35">
      <c r="M163" s="15" t="s">
        <v>945</v>
      </c>
      <c r="N163" s="15" t="s">
        <v>696</v>
      </c>
      <c r="O163" s="15">
        <f>COUNTIF(COUNTRIES[COUNTRY_LABEL],COUNTRIES[[#This Row],[COUNTRY_LABEL]])</f>
        <v>1</v>
      </c>
    </row>
    <row r="164" spans="13:15" x14ac:dyDescent="0.35">
      <c r="M164" s="15" t="s">
        <v>938</v>
      </c>
      <c r="N164" s="15" t="s">
        <v>689</v>
      </c>
      <c r="O164" s="15">
        <f>COUNTIF(COUNTRIES[COUNTRY_LABEL],COUNTRIES[[#This Row],[COUNTRY_LABEL]])</f>
        <v>1</v>
      </c>
    </row>
    <row r="165" spans="13:15" x14ac:dyDescent="0.35">
      <c r="M165" s="15" t="s">
        <v>897</v>
      </c>
      <c r="N165" s="15" t="s">
        <v>647</v>
      </c>
      <c r="O165" s="15">
        <f>COUNTIF(COUNTRIES[COUNTRY_LABEL],COUNTRIES[[#This Row],[COUNTRY_LABEL]])</f>
        <v>1</v>
      </c>
    </row>
    <row r="166" spans="13:15" x14ac:dyDescent="0.35">
      <c r="M166" s="15" t="s">
        <v>920</v>
      </c>
      <c r="N166" s="15" t="s">
        <v>670</v>
      </c>
      <c r="O166" s="15">
        <f>COUNTIF(COUNTRIES[COUNTRY_LABEL],COUNTRIES[[#This Row],[COUNTRY_LABEL]])</f>
        <v>1</v>
      </c>
    </row>
    <row r="167" spans="13:15" x14ac:dyDescent="0.35">
      <c r="M167" s="15" t="s">
        <v>925</v>
      </c>
      <c r="N167" s="15" t="s">
        <v>675</v>
      </c>
      <c r="O167" s="15">
        <f>COUNTIF(COUNTRIES[COUNTRY_LABEL],COUNTRIES[[#This Row],[COUNTRY_LABEL]])</f>
        <v>1</v>
      </c>
    </row>
    <row r="168" spans="13:15" x14ac:dyDescent="0.35">
      <c r="M168" s="15" t="s">
        <v>942</v>
      </c>
      <c r="N168" s="15" t="s">
        <v>693</v>
      </c>
      <c r="O168" s="15">
        <f>COUNTIF(COUNTRIES[COUNTRY_LABEL],COUNTRIES[[#This Row],[COUNTRY_LABEL]])</f>
        <v>1</v>
      </c>
    </row>
    <row r="169" spans="13:15" x14ac:dyDescent="0.35">
      <c r="M169" s="15" t="s">
        <v>947</v>
      </c>
      <c r="N169" s="15" t="s">
        <v>698</v>
      </c>
      <c r="O169" s="15">
        <f>COUNTIF(COUNTRIES[COUNTRY_LABEL],COUNTRIES[[#This Row],[COUNTRY_LABEL]])</f>
        <v>1</v>
      </c>
    </row>
    <row r="170" spans="13:15" x14ac:dyDescent="0.35">
      <c r="M170" s="15" t="s">
        <v>953</v>
      </c>
      <c r="N170" s="15" t="s">
        <v>704</v>
      </c>
      <c r="O170" s="15">
        <f>COUNTIF(COUNTRIES[COUNTRY_LABEL],COUNTRIES[[#This Row],[COUNTRY_LABEL]])</f>
        <v>1</v>
      </c>
    </row>
    <row r="171" spans="13:15" x14ac:dyDescent="0.35">
      <c r="M171" s="15" t="s">
        <v>960</v>
      </c>
      <c r="N171" s="15" t="s">
        <v>711</v>
      </c>
      <c r="O171" s="15">
        <f>COUNTIF(COUNTRIES[COUNTRY_LABEL],COUNTRIES[[#This Row],[COUNTRY_LABEL]])</f>
        <v>1</v>
      </c>
    </row>
    <row r="172" spans="13:15" x14ac:dyDescent="0.35">
      <c r="M172" s="15" t="s">
        <v>958</v>
      </c>
      <c r="N172" s="15" t="s">
        <v>709</v>
      </c>
      <c r="O172" s="15">
        <f>COUNTIF(COUNTRIES[COUNTRY_LABEL],COUNTRIES[[#This Row],[COUNTRY_LABEL]])</f>
        <v>1</v>
      </c>
    </row>
    <row r="173" spans="13:15" x14ac:dyDescent="0.35">
      <c r="M173" s="15" t="s">
        <v>948</v>
      </c>
      <c r="N173" s="15" t="s">
        <v>699</v>
      </c>
      <c r="O173" s="15">
        <f>COUNTIF(COUNTRIES[COUNTRY_LABEL],COUNTRIES[[#This Row],[COUNTRY_LABEL]])</f>
        <v>1</v>
      </c>
    </row>
    <row r="174" spans="13:15" x14ac:dyDescent="0.35">
      <c r="M174" s="15" t="s">
        <v>951</v>
      </c>
      <c r="N174" s="15" t="s">
        <v>702</v>
      </c>
      <c r="O174" s="15">
        <f>COUNTIF(COUNTRIES[COUNTRY_LABEL],COUNTRIES[[#This Row],[COUNTRY_LABEL]])</f>
        <v>1</v>
      </c>
    </row>
    <row r="175" spans="13:15" x14ac:dyDescent="0.35">
      <c r="M175" s="15" t="s">
        <v>961</v>
      </c>
      <c r="N175" s="15" t="s">
        <v>712</v>
      </c>
      <c r="O175" s="15">
        <f>COUNTIF(COUNTRIES[COUNTRY_LABEL],COUNTRIES[[#This Row],[COUNTRY_LABEL]])</f>
        <v>1</v>
      </c>
    </row>
    <row r="176" spans="13:15" x14ac:dyDescent="0.35">
      <c r="M176" s="15" t="s">
        <v>949</v>
      </c>
      <c r="N176" s="15" t="s">
        <v>700</v>
      </c>
      <c r="O176" s="15">
        <f>COUNTIF(COUNTRIES[COUNTRY_LABEL],COUNTRIES[[#This Row],[COUNTRY_LABEL]])</f>
        <v>1</v>
      </c>
    </row>
    <row r="177" spans="13:15" x14ac:dyDescent="0.35">
      <c r="M177" s="15" t="s">
        <v>952</v>
      </c>
      <c r="N177" s="15" t="s">
        <v>703</v>
      </c>
      <c r="O177" s="15">
        <f>COUNTIF(COUNTRIES[COUNTRY_LABEL],COUNTRIES[[#This Row],[COUNTRY_LABEL]])</f>
        <v>1</v>
      </c>
    </row>
    <row r="178" spans="13:15" x14ac:dyDescent="0.35">
      <c r="M178" s="15" t="s">
        <v>956</v>
      </c>
      <c r="N178" s="15" t="s">
        <v>707</v>
      </c>
      <c r="O178" s="15">
        <f>COUNTIF(COUNTRIES[COUNTRY_LABEL],COUNTRIES[[#This Row],[COUNTRY_LABEL]])</f>
        <v>1</v>
      </c>
    </row>
    <row r="179" spans="13:15" x14ac:dyDescent="0.35">
      <c r="M179" s="15" t="s">
        <v>954</v>
      </c>
      <c r="N179" s="15" t="s">
        <v>705</v>
      </c>
      <c r="O179" s="15">
        <f>COUNTIF(COUNTRIES[COUNTRY_LABEL],COUNTRIES[[#This Row],[COUNTRY_LABEL]])</f>
        <v>1</v>
      </c>
    </row>
    <row r="180" spans="13:15" x14ac:dyDescent="0.35">
      <c r="M180" s="15" t="s">
        <v>959</v>
      </c>
      <c r="N180" s="15" t="s">
        <v>710</v>
      </c>
      <c r="O180" s="15">
        <f>COUNTIF(COUNTRIES[COUNTRY_LABEL],COUNTRIES[[#This Row],[COUNTRY_LABEL]])</f>
        <v>1</v>
      </c>
    </row>
    <row r="181" spans="13:15" x14ac:dyDescent="0.35">
      <c r="M181" s="15" t="s">
        <v>957</v>
      </c>
      <c r="N181" s="15" t="s">
        <v>708</v>
      </c>
      <c r="O181" s="15">
        <f>COUNTIF(COUNTRIES[COUNTRY_LABEL],COUNTRIES[[#This Row],[COUNTRY_LABEL]])</f>
        <v>1</v>
      </c>
    </row>
    <row r="182" spans="13:15" x14ac:dyDescent="0.35">
      <c r="M182" s="15" t="s">
        <v>962</v>
      </c>
      <c r="N182" s="15" t="s">
        <v>713</v>
      </c>
      <c r="O182" s="15">
        <f>COUNTIF(COUNTRIES[COUNTRY_LABEL],COUNTRIES[[#This Row],[COUNTRY_LABEL]])</f>
        <v>1</v>
      </c>
    </row>
    <row r="183" spans="13:15" x14ac:dyDescent="0.35">
      <c r="M183" s="15" t="s">
        <v>818</v>
      </c>
      <c r="N183" s="15" t="s">
        <v>569</v>
      </c>
      <c r="O183" s="15">
        <f>COUNTIF(COUNTRIES[COUNTRY_LABEL],COUNTRIES[[#This Row],[COUNTRY_LABEL]])</f>
        <v>1</v>
      </c>
    </row>
    <row r="184" spans="13:15" x14ac:dyDescent="0.35">
      <c r="M184" s="15" t="s">
        <v>963</v>
      </c>
      <c r="N184" s="15" t="s">
        <v>3448</v>
      </c>
      <c r="O184" s="15">
        <f>COUNTIF(COUNTRIES[COUNTRY_LABEL],COUNTRIES[[#This Row],[COUNTRY_LABEL]])</f>
        <v>1</v>
      </c>
    </row>
    <row r="185" spans="13:15" x14ac:dyDescent="0.35">
      <c r="M185" s="15" t="s">
        <v>964</v>
      </c>
      <c r="N185" s="15" t="s">
        <v>714</v>
      </c>
      <c r="O185" s="15">
        <f>COUNTIF(COUNTRIES[COUNTRY_LABEL],COUNTRIES[[#This Row],[COUNTRY_LABEL]])</f>
        <v>1</v>
      </c>
    </row>
    <row r="186" spans="13:15" x14ac:dyDescent="0.35">
      <c r="M186" s="15" t="s">
        <v>966</v>
      </c>
      <c r="N186" s="15" t="s">
        <v>716</v>
      </c>
      <c r="O186" s="15">
        <f>COUNTIF(COUNTRIES[COUNTRY_LABEL],COUNTRIES[[#This Row],[COUNTRY_LABEL]])</f>
        <v>1</v>
      </c>
    </row>
    <row r="187" spans="13:15" x14ac:dyDescent="0.35">
      <c r="M187" s="15" t="s">
        <v>967</v>
      </c>
      <c r="N187" s="15" t="s">
        <v>717</v>
      </c>
      <c r="O187" s="15">
        <f>COUNTIF(COUNTRIES[COUNTRY_LABEL],COUNTRIES[[#This Row],[COUNTRY_LABEL]])</f>
        <v>1</v>
      </c>
    </row>
    <row r="188" spans="13:15" x14ac:dyDescent="0.35">
      <c r="M188" s="15" t="s">
        <v>802</v>
      </c>
      <c r="N188" s="15" t="s">
        <v>3449</v>
      </c>
      <c r="O188" s="15">
        <f>COUNTIF(COUNTRIES[COUNTRY_LABEL],COUNTRIES[[#This Row],[COUNTRY_LABEL]])</f>
        <v>1</v>
      </c>
    </row>
    <row r="189" spans="13:15" x14ac:dyDescent="0.35">
      <c r="M189" s="15" t="s">
        <v>974</v>
      </c>
      <c r="N189" s="15" t="s">
        <v>724</v>
      </c>
      <c r="O189" s="15">
        <f>COUNTIF(COUNTRIES[COUNTRY_LABEL],COUNTRIES[[#This Row],[COUNTRY_LABEL]])</f>
        <v>1</v>
      </c>
    </row>
    <row r="190" spans="13:15" x14ac:dyDescent="0.35">
      <c r="M190" s="15" t="s">
        <v>896</v>
      </c>
      <c r="N190" s="15" t="s">
        <v>646</v>
      </c>
      <c r="O190" s="15">
        <f>COUNTIF(COUNTRIES[COUNTRY_LABEL],COUNTRIES[[#This Row],[COUNTRY_LABEL]])</f>
        <v>1</v>
      </c>
    </row>
    <row r="191" spans="13:15" x14ac:dyDescent="0.35">
      <c r="M191" s="15" t="s">
        <v>904</v>
      </c>
      <c r="N191" s="15" t="s">
        <v>654</v>
      </c>
      <c r="O191" s="15">
        <f>COUNTIF(COUNTRIES[COUNTRY_LABEL],COUNTRIES[[#This Row],[COUNTRY_LABEL]])</f>
        <v>1</v>
      </c>
    </row>
    <row r="192" spans="13:15" x14ac:dyDescent="0.35">
      <c r="M192" s="15" t="s">
        <v>917</v>
      </c>
      <c r="N192" s="15" t="s">
        <v>667</v>
      </c>
      <c r="O192" s="15">
        <f>COUNTIF(COUNTRIES[COUNTRY_LABEL],COUNTRIES[[#This Row],[COUNTRY_LABEL]])</f>
        <v>1</v>
      </c>
    </row>
    <row r="193" spans="13:15" x14ac:dyDescent="0.35">
      <c r="M193" s="15" t="s">
        <v>955</v>
      </c>
      <c r="N193" s="15" t="s">
        <v>706</v>
      </c>
      <c r="O193" s="15">
        <f>COUNTIF(COUNTRIES[COUNTRY_LABEL],COUNTRIES[[#This Row],[COUNTRY_LABEL]])</f>
        <v>1</v>
      </c>
    </row>
    <row r="194" spans="13:15" x14ac:dyDescent="0.35">
      <c r="M194" s="15" t="s">
        <v>1012</v>
      </c>
      <c r="N194" s="15" t="s">
        <v>761</v>
      </c>
      <c r="O194" s="15">
        <f>COUNTIF(COUNTRIES[COUNTRY_LABEL],COUNTRIES[[#This Row],[COUNTRY_LABEL]])</f>
        <v>1</v>
      </c>
    </row>
    <row r="195" spans="13:15" x14ac:dyDescent="0.35">
      <c r="M195" s="15" t="s">
        <v>1019</v>
      </c>
      <c r="N195" s="15" t="s">
        <v>768</v>
      </c>
      <c r="O195" s="15">
        <f>COUNTIF(COUNTRIES[COUNTRY_LABEL],COUNTRIES[[#This Row],[COUNTRY_LABEL]])</f>
        <v>1</v>
      </c>
    </row>
    <row r="196" spans="13:15" x14ac:dyDescent="0.35">
      <c r="M196" s="15" t="s">
        <v>979</v>
      </c>
      <c r="N196" s="15" t="s">
        <v>729</v>
      </c>
      <c r="O196" s="15">
        <f>COUNTIF(COUNTRIES[COUNTRY_LABEL],COUNTRIES[[#This Row],[COUNTRY_LABEL]])</f>
        <v>1</v>
      </c>
    </row>
    <row r="197" spans="13:15" x14ac:dyDescent="0.35">
      <c r="M197" s="15" t="s">
        <v>984</v>
      </c>
      <c r="N197" s="15" t="s">
        <v>734</v>
      </c>
      <c r="O197" s="15">
        <f>COUNTIF(COUNTRIES[COUNTRY_LABEL],COUNTRIES[[#This Row],[COUNTRY_LABEL]])</f>
        <v>1</v>
      </c>
    </row>
    <row r="198" spans="13:15" x14ac:dyDescent="0.35">
      <c r="M198" s="15" t="s">
        <v>968</v>
      </c>
      <c r="N198" s="15" t="s">
        <v>718</v>
      </c>
      <c r="O198" s="15">
        <f>COUNTIF(COUNTRIES[COUNTRY_LABEL],COUNTRIES[[#This Row],[COUNTRY_LABEL]])</f>
        <v>1</v>
      </c>
    </row>
    <row r="199" spans="13:15" x14ac:dyDescent="0.35">
      <c r="M199" s="15" t="s">
        <v>980</v>
      </c>
      <c r="N199" s="15" t="s">
        <v>730</v>
      </c>
      <c r="O199" s="15">
        <f>COUNTIF(COUNTRIES[COUNTRY_LABEL],COUNTRIES[[#This Row],[COUNTRY_LABEL]])</f>
        <v>1</v>
      </c>
    </row>
    <row r="200" spans="13:15" x14ac:dyDescent="0.35">
      <c r="M200" s="15" t="s">
        <v>965</v>
      </c>
      <c r="N200" s="15" t="s">
        <v>715</v>
      </c>
      <c r="O200" s="15">
        <f>COUNTIF(COUNTRIES[COUNTRY_LABEL],COUNTRIES[[#This Row],[COUNTRY_LABEL]])</f>
        <v>1</v>
      </c>
    </row>
    <row r="201" spans="13:15" x14ac:dyDescent="0.35">
      <c r="M201" s="15" t="s">
        <v>970</v>
      </c>
      <c r="N201" s="15" t="s">
        <v>720</v>
      </c>
      <c r="O201" s="15">
        <f>COUNTIF(COUNTRIES[COUNTRY_LABEL],COUNTRIES[[#This Row],[COUNTRY_LABEL]])</f>
        <v>1</v>
      </c>
    </row>
    <row r="202" spans="13:15" x14ac:dyDescent="0.35">
      <c r="M202" s="15" t="s">
        <v>978</v>
      </c>
      <c r="N202" s="15" t="s">
        <v>728</v>
      </c>
      <c r="O202" s="15">
        <f>COUNTIF(COUNTRIES[COUNTRY_LABEL],COUNTRIES[[#This Row],[COUNTRY_LABEL]])</f>
        <v>1</v>
      </c>
    </row>
    <row r="203" spans="13:15" x14ac:dyDescent="0.35">
      <c r="M203" s="15" t="s">
        <v>973</v>
      </c>
      <c r="N203" s="15" t="s">
        <v>723</v>
      </c>
      <c r="O203" s="15">
        <f>COUNTIF(COUNTRIES[COUNTRY_LABEL],COUNTRIES[[#This Row],[COUNTRY_LABEL]])</f>
        <v>1</v>
      </c>
    </row>
    <row r="204" spans="13:15" x14ac:dyDescent="0.35">
      <c r="M204" s="15" t="s">
        <v>986</v>
      </c>
      <c r="N204" s="15" t="s">
        <v>736</v>
      </c>
      <c r="O204" s="15">
        <f>COUNTIF(COUNTRIES[COUNTRY_LABEL],COUNTRIES[[#This Row],[COUNTRY_LABEL]])</f>
        <v>1</v>
      </c>
    </row>
    <row r="205" spans="13:15" x14ac:dyDescent="0.35">
      <c r="M205" s="15" t="s">
        <v>977</v>
      </c>
      <c r="N205" s="15" t="s">
        <v>727</v>
      </c>
      <c r="O205" s="15">
        <f>COUNTIF(COUNTRIES[COUNTRY_LABEL],COUNTRIES[[#This Row],[COUNTRY_LABEL]])</f>
        <v>1</v>
      </c>
    </row>
    <row r="206" spans="13:15" x14ac:dyDescent="0.35">
      <c r="M206" s="15" t="s">
        <v>975</v>
      </c>
      <c r="N206" s="15" t="s">
        <v>725</v>
      </c>
      <c r="O206" s="15">
        <f>COUNTIF(COUNTRIES[COUNTRY_LABEL],COUNTRIES[[#This Row],[COUNTRY_LABEL]])</f>
        <v>1</v>
      </c>
    </row>
    <row r="207" spans="13:15" x14ac:dyDescent="0.35">
      <c r="M207" s="15" t="s">
        <v>969</v>
      </c>
      <c r="N207" s="15" t="s">
        <v>719</v>
      </c>
      <c r="O207" s="15">
        <f>COUNTIF(COUNTRIES[COUNTRY_LABEL],COUNTRIES[[#This Row],[COUNTRY_LABEL]])</f>
        <v>1</v>
      </c>
    </row>
    <row r="208" spans="13:15" x14ac:dyDescent="0.35">
      <c r="M208" s="15" t="s">
        <v>981</v>
      </c>
      <c r="N208" s="15" t="s">
        <v>731</v>
      </c>
      <c r="O208" s="15">
        <f>COUNTIF(COUNTRIES[COUNTRY_LABEL],COUNTRIES[[#This Row],[COUNTRY_LABEL]])</f>
        <v>1</v>
      </c>
    </row>
    <row r="209" spans="13:15" x14ac:dyDescent="0.35">
      <c r="M209" s="15" t="s">
        <v>1022</v>
      </c>
      <c r="N209" s="15" t="s">
        <v>771</v>
      </c>
      <c r="O209" s="15">
        <f>COUNTIF(COUNTRIES[COUNTRY_LABEL],COUNTRIES[[#This Row],[COUNTRY_LABEL]])</f>
        <v>1</v>
      </c>
    </row>
    <row r="210" spans="13:15" x14ac:dyDescent="0.35">
      <c r="M210" s="15" t="s">
        <v>866</v>
      </c>
      <c r="N210" s="15" t="s">
        <v>616</v>
      </c>
      <c r="O210" s="15">
        <f>COUNTIF(COUNTRIES[COUNTRY_LABEL],COUNTRIES[[#This Row],[COUNTRY_LABEL]])</f>
        <v>1</v>
      </c>
    </row>
    <row r="211" spans="13:15" x14ac:dyDescent="0.35">
      <c r="M211" s="15" t="s">
        <v>898</v>
      </c>
      <c r="N211" s="15" t="s">
        <v>648</v>
      </c>
      <c r="O211" s="15">
        <f>COUNTIF(COUNTRIES[COUNTRY_LABEL],COUNTRIES[[#This Row],[COUNTRY_LABEL]])</f>
        <v>1</v>
      </c>
    </row>
    <row r="212" spans="13:15" x14ac:dyDescent="0.35">
      <c r="M212" s="15" t="s">
        <v>983</v>
      </c>
      <c r="N212" s="15" t="s">
        <v>733</v>
      </c>
      <c r="O212" s="15">
        <f>COUNTIF(COUNTRIES[COUNTRY_LABEL],COUNTRIES[[#This Row],[COUNTRY_LABEL]])</f>
        <v>1</v>
      </c>
    </row>
    <row r="213" spans="13:15" x14ac:dyDescent="0.35">
      <c r="M213" s="15" t="s">
        <v>844</v>
      </c>
      <c r="N213" s="15" t="s">
        <v>595</v>
      </c>
      <c r="O213" s="15">
        <f>COUNTIF(COUNTRIES[COUNTRY_LABEL],COUNTRIES[[#This Row],[COUNTRY_LABEL]])</f>
        <v>1</v>
      </c>
    </row>
    <row r="214" spans="13:15" x14ac:dyDescent="0.35">
      <c r="M214" s="15" t="s">
        <v>906</v>
      </c>
      <c r="N214" s="15" t="s">
        <v>656</v>
      </c>
      <c r="O214" s="15">
        <f>COUNTIF(COUNTRIES[COUNTRY_LABEL],COUNTRIES[[#This Row],[COUNTRY_LABEL]])</f>
        <v>1</v>
      </c>
    </row>
    <row r="215" spans="13:15" x14ac:dyDescent="0.35">
      <c r="M215" s="15" t="s">
        <v>971</v>
      </c>
      <c r="N215" s="15" t="s">
        <v>721</v>
      </c>
      <c r="O215" s="15">
        <f>COUNTIF(COUNTRIES[COUNTRY_LABEL],COUNTRIES[[#This Row],[COUNTRY_LABEL]])</f>
        <v>1</v>
      </c>
    </row>
    <row r="216" spans="13:15" x14ac:dyDescent="0.35">
      <c r="M216" s="15" t="s">
        <v>982</v>
      </c>
      <c r="N216" s="15" t="s">
        <v>732</v>
      </c>
      <c r="O216" s="15">
        <f>COUNTIF(COUNTRIES[COUNTRY_LABEL],COUNTRIES[[#This Row],[COUNTRY_LABEL]])</f>
        <v>1</v>
      </c>
    </row>
    <row r="217" spans="13:15" x14ac:dyDescent="0.35">
      <c r="M217" s="15" t="s">
        <v>976</v>
      </c>
      <c r="N217" s="15" t="s">
        <v>726</v>
      </c>
      <c r="O217" s="15">
        <f>COUNTIF(COUNTRIES[COUNTRY_LABEL],COUNTRIES[[#This Row],[COUNTRY_LABEL]])</f>
        <v>1</v>
      </c>
    </row>
    <row r="218" spans="13:15" x14ac:dyDescent="0.35">
      <c r="M218" s="15" t="s">
        <v>972</v>
      </c>
      <c r="N218" s="15" t="s">
        <v>722</v>
      </c>
      <c r="O218" s="15">
        <f>COUNTIF(COUNTRIES[COUNTRY_LABEL],COUNTRIES[[#This Row],[COUNTRY_LABEL]])</f>
        <v>1</v>
      </c>
    </row>
    <row r="219" spans="13:15" x14ac:dyDescent="0.35">
      <c r="M219" s="15" t="s">
        <v>819</v>
      </c>
      <c r="N219" s="15" t="s">
        <v>570</v>
      </c>
      <c r="O219" s="15">
        <f>COUNTIF(COUNTRIES[COUNTRY_LABEL],COUNTRIES[[#This Row],[COUNTRY_LABEL]])</f>
        <v>1</v>
      </c>
    </row>
    <row r="220" spans="13:15" x14ac:dyDescent="0.35">
      <c r="M220" s="15" t="s">
        <v>987</v>
      </c>
      <c r="N220" s="15" t="s">
        <v>737</v>
      </c>
      <c r="O220" s="15">
        <f>COUNTIF(COUNTRIES[COUNTRY_LABEL],COUNTRIES[[#This Row],[COUNTRY_LABEL]])</f>
        <v>1</v>
      </c>
    </row>
    <row r="221" spans="13:15" x14ac:dyDescent="0.35">
      <c r="M221" s="15" t="s">
        <v>1003</v>
      </c>
      <c r="N221" s="15" t="s">
        <v>752</v>
      </c>
      <c r="O221" s="15">
        <f>COUNTIF(COUNTRIES[COUNTRY_LABEL],COUNTRIES[[#This Row],[COUNTRY_LABEL]])</f>
        <v>1</v>
      </c>
    </row>
    <row r="222" spans="13:15" x14ac:dyDescent="0.35">
      <c r="M222" s="15" t="s">
        <v>994</v>
      </c>
      <c r="N222" s="15" t="s">
        <v>744</v>
      </c>
      <c r="O222" s="15">
        <f>COUNTIF(COUNTRIES[COUNTRY_LABEL],COUNTRIES[[#This Row],[COUNTRY_LABEL]])</f>
        <v>1</v>
      </c>
    </row>
    <row r="223" spans="13:15" x14ac:dyDescent="0.35">
      <c r="M223" s="15" t="s">
        <v>1004</v>
      </c>
      <c r="N223" s="15" t="s">
        <v>753</v>
      </c>
      <c r="O223" s="15">
        <f>COUNTIF(COUNTRIES[COUNTRY_LABEL],COUNTRIES[[#This Row],[COUNTRY_LABEL]])</f>
        <v>1</v>
      </c>
    </row>
    <row r="224" spans="13:15" x14ac:dyDescent="0.35">
      <c r="M224" s="15" t="s">
        <v>993</v>
      </c>
      <c r="N224" s="15" t="s">
        <v>743</v>
      </c>
      <c r="O224" s="15">
        <f>COUNTIF(COUNTRIES[COUNTRY_LABEL],COUNTRIES[[#This Row],[COUNTRY_LABEL]])</f>
        <v>1</v>
      </c>
    </row>
    <row r="225" spans="13:15" x14ac:dyDescent="0.35">
      <c r="M225" s="15" t="s">
        <v>996</v>
      </c>
      <c r="N225" s="15" t="s">
        <v>746</v>
      </c>
      <c r="O225" s="15">
        <f>COUNTIF(COUNTRIES[COUNTRY_LABEL],COUNTRIES[[#This Row],[COUNTRY_LABEL]])</f>
        <v>1</v>
      </c>
    </row>
    <row r="226" spans="13:15" x14ac:dyDescent="0.35">
      <c r="M226" s="15" t="s">
        <v>992</v>
      </c>
      <c r="N226" s="15" t="s">
        <v>742</v>
      </c>
      <c r="O226" s="15">
        <f>COUNTIF(COUNTRIES[COUNTRY_LABEL],COUNTRIES[[#This Row],[COUNTRY_LABEL]])</f>
        <v>1</v>
      </c>
    </row>
    <row r="227" spans="13:15" x14ac:dyDescent="0.35">
      <c r="M227" s="15" t="s">
        <v>995</v>
      </c>
      <c r="N227" s="15" t="s">
        <v>745</v>
      </c>
      <c r="O227" s="15">
        <f>COUNTIF(COUNTRIES[COUNTRY_LABEL],COUNTRIES[[#This Row],[COUNTRY_LABEL]])</f>
        <v>1</v>
      </c>
    </row>
    <row r="228" spans="13:15" x14ac:dyDescent="0.35">
      <c r="M228" s="15" t="s">
        <v>999</v>
      </c>
      <c r="N228" s="15" t="s">
        <v>749</v>
      </c>
      <c r="O228" s="15">
        <f>COUNTIF(COUNTRIES[COUNTRY_LABEL],COUNTRIES[[#This Row],[COUNTRY_LABEL]])</f>
        <v>1</v>
      </c>
    </row>
    <row r="229" spans="13:15" x14ac:dyDescent="0.35">
      <c r="M229" s="15" t="s">
        <v>1001</v>
      </c>
      <c r="N229" s="15" t="s">
        <v>750</v>
      </c>
      <c r="O229" s="15">
        <f>COUNTIF(COUNTRIES[COUNTRY_LABEL],COUNTRIES[[#This Row],[COUNTRY_LABEL]])</f>
        <v>1</v>
      </c>
    </row>
    <row r="230" spans="13:15" x14ac:dyDescent="0.35">
      <c r="M230" s="15" t="s">
        <v>998</v>
      </c>
      <c r="N230" s="15" t="s">
        <v>748</v>
      </c>
      <c r="O230" s="15">
        <f>COUNTIF(COUNTRIES[COUNTRY_LABEL],COUNTRIES[[#This Row],[COUNTRY_LABEL]])</f>
        <v>1</v>
      </c>
    </row>
    <row r="231" spans="13:15" x14ac:dyDescent="0.35">
      <c r="M231" s="15" t="s">
        <v>1000</v>
      </c>
      <c r="N231" s="15" t="s">
        <v>1027</v>
      </c>
      <c r="O231" s="15">
        <f>COUNTIF(COUNTRIES[COUNTRY_LABEL],COUNTRIES[[#This Row],[COUNTRY_LABEL]])</f>
        <v>1</v>
      </c>
    </row>
    <row r="232" spans="13:15" x14ac:dyDescent="0.35">
      <c r="M232" s="15" t="s">
        <v>997</v>
      </c>
      <c r="N232" s="15" t="s">
        <v>747</v>
      </c>
      <c r="O232" s="15">
        <f>COUNTIF(COUNTRIES[COUNTRY_LABEL],COUNTRIES[[#This Row],[COUNTRY_LABEL]])</f>
        <v>1</v>
      </c>
    </row>
    <row r="233" spans="13:15" x14ac:dyDescent="0.35">
      <c r="M233" s="15" t="s">
        <v>989</v>
      </c>
      <c r="N233" s="15" t="s">
        <v>739</v>
      </c>
      <c r="O233" s="15">
        <f>COUNTIF(COUNTRIES[COUNTRY_LABEL],COUNTRIES[[#This Row],[COUNTRY_LABEL]])</f>
        <v>1</v>
      </c>
    </row>
    <row r="234" spans="13:15" x14ac:dyDescent="0.35">
      <c r="M234" s="15" t="s">
        <v>1002</v>
      </c>
      <c r="N234" s="15" t="s">
        <v>751</v>
      </c>
      <c r="O234" s="15">
        <f>COUNTIF(COUNTRIES[COUNTRY_LABEL],COUNTRIES[[#This Row],[COUNTRY_LABEL]])</f>
        <v>1</v>
      </c>
    </row>
    <row r="235" spans="13:15" x14ac:dyDescent="0.35">
      <c r="M235" s="15" t="s">
        <v>1006</v>
      </c>
      <c r="N235" s="15" t="s">
        <v>755</v>
      </c>
      <c r="O235" s="15">
        <f>COUNTIF(COUNTRIES[COUNTRY_LABEL],COUNTRIES[[#This Row],[COUNTRY_LABEL]])</f>
        <v>1</v>
      </c>
    </row>
    <row r="236" spans="13:15" x14ac:dyDescent="0.35">
      <c r="M236" s="15" t="s">
        <v>1005</v>
      </c>
      <c r="N236" s="15" t="s">
        <v>754</v>
      </c>
      <c r="O236" s="15">
        <f>COUNTIF(COUNTRIES[COUNTRY_LABEL],COUNTRIES[[#This Row],[COUNTRY_LABEL]])</f>
        <v>1</v>
      </c>
    </row>
    <row r="237" spans="13:15" x14ac:dyDescent="0.35">
      <c r="M237" s="15" t="s">
        <v>778</v>
      </c>
      <c r="N237" s="15" t="s">
        <v>530</v>
      </c>
      <c r="O237" s="15">
        <f>COUNTIF(COUNTRIES[COUNTRY_LABEL],COUNTRIES[[#This Row],[COUNTRY_LABEL]])</f>
        <v>1</v>
      </c>
    </row>
    <row r="238" spans="13:15" x14ac:dyDescent="0.35">
      <c r="M238" s="15" t="s">
        <v>853</v>
      </c>
      <c r="N238" s="15" t="s">
        <v>603</v>
      </c>
      <c r="O238" s="15">
        <f>COUNTIF(COUNTRIES[COUNTRY_LABEL],COUNTRIES[[#This Row],[COUNTRY_LABEL]])</f>
        <v>1</v>
      </c>
    </row>
    <row r="239" spans="13:15" x14ac:dyDescent="0.35">
      <c r="M239" s="15" t="s">
        <v>1008</v>
      </c>
      <c r="N239" s="15" t="s">
        <v>757</v>
      </c>
      <c r="O239" s="15">
        <f>COUNTIF(COUNTRIES[COUNTRY_LABEL],COUNTRIES[[#This Row],[COUNTRY_LABEL]])</f>
        <v>1</v>
      </c>
    </row>
    <row r="240" spans="13:15" x14ac:dyDescent="0.35">
      <c r="M240" s="15" t="s">
        <v>1007</v>
      </c>
      <c r="N240" s="15" t="s">
        <v>756</v>
      </c>
      <c r="O240" s="15">
        <f>COUNTIF(COUNTRIES[COUNTRY_LABEL],COUNTRIES[[#This Row],[COUNTRY_LABEL]])</f>
        <v>1</v>
      </c>
    </row>
    <row r="241" spans="13:15" x14ac:dyDescent="0.35">
      <c r="M241" s="15" t="s">
        <v>1009</v>
      </c>
      <c r="N241" s="15" t="s">
        <v>758</v>
      </c>
      <c r="O241" s="15">
        <f>COUNTIF(COUNTRIES[COUNTRY_LABEL],COUNTRIES[[#This Row],[COUNTRY_LABEL]])</f>
        <v>1</v>
      </c>
    </row>
    <row r="242" spans="13:15" x14ac:dyDescent="0.35">
      <c r="M242" s="15" t="s">
        <v>1032</v>
      </c>
      <c r="N242" s="15" t="s">
        <v>1948</v>
      </c>
      <c r="O242" s="15">
        <f>COUNTIF(COUNTRIES[COUNTRY_LABEL],COUNTRIES[[#This Row],[COUNTRY_LABEL]])</f>
        <v>1</v>
      </c>
    </row>
    <row r="243" spans="13:15" x14ac:dyDescent="0.35">
      <c r="M243" s="15" t="s">
        <v>1010</v>
      </c>
      <c r="N243" s="15" t="s">
        <v>759</v>
      </c>
      <c r="O243" s="15">
        <f>COUNTIF(COUNTRIES[COUNTRY_LABEL],COUNTRIES[[#This Row],[COUNTRY_LABEL]])</f>
        <v>1</v>
      </c>
    </row>
    <row r="244" spans="13:15" x14ac:dyDescent="0.35">
      <c r="M244" s="15" t="s">
        <v>1017</v>
      </c>
      <c r="N244" s="15" t="s">
        <v>766</v>
      </c>
      <c r="O244" s="15">
        <f>COUNTIF(COUNTRIES[COUNTRY_LABEL],COUNTRIES[[#This Row],[COUNTRY_LABEL]])</f>
        <v>1</v>
      </c>
    </row>
    <row r="245" spans="13:15" x14ac:dyDescent="0.35">
      <c r="M245" s="15" t="s">
        <v>1013</v>
      </c>
      <c r="N245" s="15" t="s">
        <v>762</v>
      </c>
      <c r="O245" s="15">
        <f>COUNTIF(COUNTRIES[COUNTRY_LABEL],COUNTRIES[[#This Row],[COUNTRY_LABEL]])</f>
        <v>1</v>
      </c>
    </row>
    <row r="246" spans="13:15" x14ac:dyDescent="0.35">
      <c r="M246" s="15" t="s">
        <v>1016</v>
      </c>
      <c r="N246" s="15" t="s">
        <v>765</v>
      </c>
      <c r="O246" s="15">
        <f>COUNTIF(COUNTRIES[COUNTRY_LABEL],COUNTRIES[[#This Row],[COUNTRY_LABEL]])</f>
        <v>1</v>
      </c>
    </row>
    <row r="247" spans="13:15" x14ac:dyDescent="0.35">
      <c r="M247" s="15" t="s">
        <v>1014</v>
      </c>
      <c r="N247" s="15" t="s">
        <v>763</v>
      </c>
      <c r="O247" s="15">
        <f>COUNTIF(COUNTRIES[COUNTRY_LABEL],COUNTRIES[[#This Row],[COUNTRY_LABEL]])</f>
        <v>1</v>
      </c>
    </row>
    <row r="248" spans="13:15" x14ac:dyDescent="0.35">
      <c r="M248" s="15" t="s">
        <v>1015</v>
      </c>
      <c r="N248" s="15" t="s">
        <v>764</v>
      </c>
      <c r="O248" s="15">
        <f>COUNTIF(COUNTRIES[COUNTRY_LABEL],COUNTRIES[[#This Row],[COUNTRY_LABEL]])</f>
        <v>1</v>
      </c>
    </row>
    <row r="249" spans="13:15" x14ac:dyDescent="0.35">
      <c r="M249" s="15" t="s">
        <v>1018</v>
      </c>
      <c r="N249" s="15" t="s">
        <v>767</v>
      </c>
      <c r="O249" s="15">
        <f>COUNTIF(COUNTRIES[COUNTRY_LABEL],COUNTRIES[[#This Row],[COUNTRY_LABEL]])</f>
        <v>1</v>
      </c>
    </row>
    <row r="250" spans="13:15" x14ac:dyDescent="0.35">
      <c r="M250" s="15" t="s">
        <v>842</v>
      </c>
      <c r="N250" s="15" t="s">
        <v>593</v>
      </c>
      <c r="O250" s="15">
        <f>COUNTIF(COUNTRIES[COUNTRY_LABEL],COUNTRIES[[#This Row],[COUNTRY_LABEL]])</f>
        <v>1</v>
      </c>
    </row>
    <row r="251" spans="13:15" x14ac:dyDescent="0.35">
      <c r="M251" s="15" t="s">
        <v>1020</v>
      </c>
      <c r="N251" s="15" t="s">
        <v>769</v>
      </c>
      <c r="O251" s="15">
        <f>COUNTIF(COUNTRIES[COUNTRY_LABEL],COUNTRIES[[#This Row],[COUNTRY_LABEL]])</f>
        <v>1</v>
      </c>
    </row>
    <row r="252" spans="13:15" x14ac:dyDescent="0.35">
      <c r="M252" s="15" t="s">
        <v>1031</v>
      </c>
      <c r="N252" s="15" t="s">
        <v>776</v>
      </c>
      <c r="O252" s="15">
        <f>COUNTIF(COUNTRIES[COUNTRY_LABEL],COUNTRIES[[#This Row],[COUNTRY_LABEL]])</f>
        <v>1</v>
      </c>
    </row>
    <row r="253" spans="13:15" x14ac:dyDescent="0.35">
      <c r="M253" s="15" t="s">
        <v>1023</v>
      </c>
      <c r="N253" s="15" t="s">
        <v>772</v>
      </c>
      <c r="O253" s="15">
        <f>COUNTIF(COUNTRIES[COUNTRY_LABEL],COUNTRIES[[#This Row],[COUNTRY_LABEL]])</f>
        <v>1</v>
      </c>
    </row>
    <row r="254" spans="13:15" x14ac:dyDescent="0.35">
      <c r="M254" s="15" t="s">
        <v>1024</v>
      </c>
      <c r="N254" s="15" t="s">
        <v>773</v>
      </c>
      <c r="O254" s="15">
        <f>COUNTIF(COUNTRIES[COUNTRY_LABEL],COUNTRIES[[#This Row],[COUNTRY_LABEL]])</f>
        <v>1</v>
      </c>
    </row>
    <row r="255" spans="13:15" x14ac:dyDescent="0.35">
      <c r="M255" s="15" t="s">
        <v>1035</v>
      </c>
      <c r="N255" s="15" t="s">
        <v>1028</v>
      </c>
      <c r="O255" s="15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21" sqref="A21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250</v>
      </c>
      <c r="B1" t="s">
        <v>251</v>
      </c>
      <c r="C1" s="6" t="s">
        <v>252</v>
      </c>
      <c r="D1" s="6" t="s">
        <v>253</v>
      </c>
      <c r="E1" s="6" t="s">
        <v>1800</v>
      </c>
    </row>
    <row r="2" spans="1:5" x14ac:dyDescent="0.35">
      <c r="A2" t="s">
        <v>254</v>
      </c>
      <c r="B2" t="s">
        <v>255</v>
      </c>
      <c r="C2" s="6">
        <v>1000</v>
      </c>
      <c r="D2" s="6">
        <v>1199</v>
      </c>
      <c r="E2" t="s">
        <v>327</v>
      </c>
    </row>
    <row r="3" spans="1:5" x14ac:dyDescent="0.35">
      <c r="A3" t="s">
        <v>256</v>
      </c>
      <c r="B3" t="s">
        <v>3547</v>
      </c>
      <c r="C3" s="6">
        <v>2000</v>
      </c>
      <c r="D3" s="6">
        <v>2499</v>
      </c>
      <c r="E3" t="s">
        <v>328</v>
      </c>
    </row>
    <row r="4" spans="1:5" x14ac:dyDescent="0.35">
      <c r="A4" t="s">
        <v>1812</v>
      </c>
      <c r="B4" t="s">
        <v>258</v>
      </c>
      <c r="C4" s="6">
        <v>3000</v>
      </c>
      <c r="D4" s="6">
        <v>3499</v>
      </c>
      <c r="E4" t="s">
        <v>329</v>
      </c>
    </row>
    <row r="5" spans="1:5" x14ac:dyDescent="0.35">
      <c r="A5" t="s">
        <v>259</v>
      </c>
      <c r="B5" t="s">
        <v>260</v>
      </c>
      <c r="C5" s="6">
        <v>4000</v>
      </c>
      <c r="D5" s="6">
        <v>4999</v>
      </c>
      <c r="E5" t="s">
        <v>347</v>
      </c>
    </row>
    <row r="6" spans="1:5" x14ac:dyDescent="0.35">
      <c r="A6" t="s">
        <v>261</v>
      </c>
      <c r="B6" t="s">
        <v>262</v>
      </c>
      <c r="C6" s="6">
        <v>5000</v>
      </c>
      <c r="D6" s="6">
        <v>5999</v>
      </c>
      <c r="E6" t="s">
        <v>348</v>
      </c>
    </row>
    <row r="7" spans="1:5" x14ac:dyDescent="0.35">
      <c r="A7" t="s">
        <v>263</v>
      </c>
      <c r="B7" t="s">
        <v>264</v>
      </c>
      <c r="C7" s="6">
        <v>6000</v>
      </c>
      <c r="D7" s="6">
        <v>6999</v>
      </c>
      <c r="E7" t="s">
        <v>349</v>
      </c>
    </row>
    <row r="8" spans="1:5" x14ac:dyDescent="0.35">
      <c r="A8" t="s">
        <v>265</v>
      </c>
      <c r="B8" t="s">
        <v>266</v>
      </c>
      <c r="C8" s="6">
        <v>7000</v>
      </c>
      <c r="D8" s="6">
        <v>7999</v>
      </c>
      <c r="E8" t="s">
        <v>266</v>
      </c>
    </row>
    <row r="9" spans="1:5" x14ac:dyDescent="0.35">
      <c r="A9" t="s">
        <v>267</v>
      </c>
      <c r="B9" t="s">
        <v>268</v>
      </c>
      <c r="C9" s="6">
        <v>8000</v>
      </c>
      <c r="D9" s="6">
        <v>8999</v>
      </c>
      <c r="E9" t="s">
        <v>268</v>
      </c>
    </row>
    <row r="10" spans="1:5" x14ac:dyDescent="0.35">
      <c r="A10" t="s">
        <v>269</v>
      </c>
      <c r="B10" t="s">
        <v>270</v>
      </c>
      <c r="C10" s="6">
        <v>9000</v>
      </c>
      <c r="D10" s="6">
        <v>9999</v>
      </c>
      <c r="E10" t="s">
        <v>23</v>
      </c>
    </row>
    <row r="11" spans="1:5" x14ac:dyDescent="0.35">
      <c r="A11" t="s">
        <v>1827</v>
      </c>
      <c r="B11" t="s">
        <v>271</v>
      </c>
      <c r="C11" s="6">
        <v>10000</v>
      </c>
      <c r="D11" s="6">
        <v>10499</v>
      </c>
      <c r="E11" t="s">
        <v>1826</v>
      </c>
    </row>
    <row r="12" spans="1:5" x14ac:dyDescent="0.35">
      <c r="A12" t="s">
        <v>276</v>
      </c>
      <c r="B12" t="s">
        <v>277</v>
      </c>
      <c r="C12" s="6">
        <v>10500</v>
      </c>
      <c r="D12" s="6">
        <v>10999</v>
      </c>
      <c r="E12" t="s">
        <v>325</v>
      </c>
    </row>
    <row r="13" spans="1:5" x14ac:dyDescent="0.35">
      <c r="A13" t="s">
        <v>272</v>
      </c>
      <c r="B13" t="s">
        <v>273</v>
      </c>
      <c r="C13" s="6">
        <v>11000</v>
      </c>
      <c r="D13" s="6">
        <v>11999</v>
      </c>
      <c r="E13" t="s">
        <v>324</v>
      </c>
    </row>
    <row r="14" spans="1:5" x14ac:dyDescent="0.35">
      <c r="A14" t="s">
        <v>274</v>
      </c>
      <c r="B14" t="s">
        <v>275</v>
      </c>
      <c r="C14" s="6">
        <v>12000</v>
      </c>
      <c r="D14" s="6">
        <v>12999</v>
      </c>
      <c r="E14" t="s">
        <v>325</v>
      </c>
    </row>
    <row r="15" spans="1:5" x14ac:dyDescent="0.35">
      <c r="A15" t="s">
        <v>285</v>
      </c>
      <c r="B15" t="s">
        <v>289</v>
      </c>
      <c r="C15" s="6">
        <v>13000</v>
      </c>
      <c r="D15" s="6">
        <v>13001</v>
      </c>
      <c r="E15" t="s">
        <v>266</v>
      </c>
    </row>
    <row r="16" spans="1:5" x14ac:dyDescent="0.35">
      <c r="A16" t="s">
        <v>286</v>
      </c>
      <c r="B16" t="s">
        <v>290</v>
      </c>
      <c r="C16" s="6">
        <v>13002</v>
      </c>
      <c r="D16" s="6">
        <v>13003</v>
      </c>
      <c r="E16" t="s">
        <v>23</v>
      </c>
    </row>
    <row r="17" spans="1:5" x14ac:dyDescent="0.35">
      <c r="A17" t="s">
        <v>287</v>
      </c>
      <c r="B17" t="s">
        <v>291</v>
      </c>
      <c r="C17" s="6">
        <v>13004</v>
      </c>
      <c r="D17" s="6">
        <v>13005</v>
      </c>
      <c r="E17" t="s">
        <v>1826</v>
      </c>
    </row>
    <row r="18" spans="1:5" x14ac:dyDescent="0.35">
      <c r="A18" t="s">
        <v>288</v>
      </c>
      <c r="B18" t="s">
        <v>292</v>
      </c>
      <c r="C18" s="6">
        <v>13006</v>
      </c>
      <c r="D18" s="6">
        <v>13007</v>
      </c>
      <c r="E18" t="s">
        <v>266</v>
      </c>
    </row>
    <row r="19" spans="1:5" x14ac:dyDescent="0.35">
      <c r="A19" t="s">
        <v>1917</v>
      </c>
      <c r="B19" t="s">
        <v>1918</v>
      </c>
      <c r="C19" s="6">
        <v>13100</v>
      </c>
      <c r="D19" s="6">
        <v>13999</v>
      </c>
      <c r="E19" t="s">
        <v>324</v>
      </c>
    </row>
    <row r="20" spans="1:5" x14ac:dyDescent="0.35">
      <c r="A20" t="s">
        <v>279</v>
      </c>
      <c r="B20" t="s">
        <v>278</v>
      </c>
      <c r="C20" s="6">
        <v>14000</v>
      </c>
      <c r="D20" s="6">
        <v>14499</v>
      </c>
      <c r="E20" t="s">
        <v>330</v>
      </c>
    </row>
    <row r="21" spans="1:5" x14ac:dyDescent="0.35">
      <c r="A21" t="s">
        <v>1522</v>
      </c>
      <c r="B21" t="s">
        <v>1523</v>
      </c>
      <c r="C21" s="6">
        <v>14500</v>
      </c>
      <c r="D21" s="6">
        <v>14999</v>
      </c>
      <c r="E21" t="s">
        <v>268</v>
      </c>
    </row>
    <row r="22" spans="1:5" x14ac:dyDescent="0.35">
      <c r="A22" t="s">
        <v>1708</v>
      </c>
      <c r="B22" t="s">
        <v>1709</v>
      </c>
      <c r="C22" s="6">
        <v>15000</v>
      </c>
      <c r="D22" s="6">
        <v>15499</v>
      </c>
      <c r="E22" t="s">
        <v>1707</v>
      </c>
    </row>
    <row r="23" spans="1:5" x14ac:dyDescent="0.35">
      <c r="A23" t="s">
        <v>281</v>
      </c>
      <c r="B23" t="s">
        <v>282</v>
      </c>
      <c r="C23" s="6">
        <v>15500</v>
      </c>
      <c r="D23" s="6">
        <v>15999</v>
      </c>
      <c r="E23" t="s">
        <v>266</v>
      </c>
    </row>
    <row r="24" spans="1:5" x14ac:dyDescent="0.35">
      <c r="A24" t="s">
        <v>283</v>
      </c>
      <c r="B24" t="s">
        <v>284</v>
      </c>
      <c r="C24" s="6">
        <v>16000</v>
      </c>
      <c r="D24" s="6">
        <v>16299</v>
      </c>
      <c r="E24" t="s">
        <v>331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332</v>
      </c>
      <c r="B1" t="s">
        <v>10</v>
      </c>
      <c r="C1" t="s">
        <v>333</v>
      </c>
    </row>
    <row r="2" spans="1:3" x14ac:dyDescent="0.35">
      <c r="A2" t="s">
        <v>344</v>
      </c>
      <c r="B2">
        <v>20</v>
      </c>
      <c r="C2" t="s">
        <v>338</v>
      </c>
    </row>
    <row r="3" spans="1:3" x14ac:dyDescent="0.35">
      <c r="A3" t="s">
        <v>342</v>
      </c>
      <c r="B3">
        <v>40</v>
      </c>
      <c r="C3" t="s">
        <v>336</v>
      </c>
    </row>
    <row r="4" spans="1:3" x14ac:dyDescent="0.35">
      <c r="A4" t="s">
        <v>341</v>
      </c>
      <c r="B4">
        <v>16</v>
      </c>
      <c r="C4" t="s">
        <v>335</v>
      </c>
    </row>
    <row r="5" spans="1:3" x14ac:dyDescent="0.35">
      <c r="A5" t="s">
        <v>345</v>
      </c>
      <c r="B5">
        <v>15</v>
      </c>
      <c r="C5" t="s">
        <v>339</v>
      </c>
    </row>
    <row r="6" spans="1:3" x14ac:dyDescent="0.35">
      <c r="A6" t="s">
        <v>343</v>
      </c>
      <c r="B6">
        <v>120</v>
      </c>
      <c r="C6" t="s">
        <v>337</v>
      </c>
    </row>
    <row r="7" spans="1:3" x14ac:dyDescent="0.35">
      <c r="A7" t="s">
        <v>340</v>
      </c>
      <c r="B7">
        <v>0</v>
      </c>
      <c r="C7" t="s">
        <v>334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A821" sqref="A821"/>
    </sheetView>
  </sheetViews>
  <sheetFormatPr defaultRowHeight="14.5" x14ac:dyDescent="0.35"/>
  <sheetData>
    <row r="1" spans="1:1" x14ac:dyDescent="0.35">
      <c r="A1" t="s"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2026-10-07T19:29:54Z</dcterms:modified>
</cp:coreProperties>
</file>